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ha.sharepoint.com/sites/WMPImplementation/Shared Documents/2. Budget/"/>
    </mc:Choice>
  </mc:AlternateContent>
  <xr:revisionPtr revIDLastSave="92" documentId="102_{B455FCC5-F06E-4A8C-B33D-D2C22F057C1B}" xr6:coauthVersionLast="40" xr6:coauthVersionMax="45" xr10:uidLastSave="{FD07D359-23EF-4FE9-A818-7A9A7788DB1F}"/>
  <bookViews>
    <workbookView xWindow="3120" yWindow="3135" windowWidth="24315" windowHeight="11670" tabRatio="727" firstSheet="1" activeTab="8" xr2:uid="{9D8A20C1-3E8F-4F25-8A9F-A5845327B8E9}"/>
  </bookViews>
  <sheets>
    <sheet name="NRR" sheetId="5" state="hidden" r:id="rId1"/>
    <sheet name="all" sheetId="21" r:id="rId2"/>
    <sheet name="FWD" sheetId="18" r:id="rId3"/>
    <sheet name="EHD" sheetId="19" r:id="rId4"/>
    <sheet name="NRR Extension" sheetId="6" state="hidden" r:id="rId5"/>
    <sheet name="year pivot" sheetId="16" state="hidden" r:id="rId6"/>
    <sheet name="borough pivot" sheetId="11" state="hidden" r:id="rId7"/>
    <sheet name="NRR round pivot" sheetId="15" state="hidden" r:id="rId8"/>
    <sheet name="Int. Compactor Pipeline" sheetId="13" r:id="rId9"/>
    <sheet name="Waste Yards" sheetId="17" r:id="rId10"/>
    <sheet name="Ext. Compactor Pipeline" sheetId="14" state="hidden" r:id="rId11"/>
    <sheet name="CPD Information" sheetId="10" state="hidden" r:id="rId12"/>
    <sheet name="Unit Costs" sheetId="12" r:id="rId13"/>
    <sheet name="Development Data" sheetId="7" r:id="rId14"/>
    <sheet name="Data Key" sheetId="20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0" hidden="1">NRR!$A$4:$S$303</definedName>
  </definedNames>
  <calcPr calcId="191029"/>
  <pivotCaches>
    <pivotCache cacheId="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3" l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J25" i="21" l="1"/>
  <c r="J38" i="21"/>
  <c r="J68" i="21"/>
  <c r="J121" i="21"/>
  <c r="J159" i="21"/>
  <c r="J190" i="21"/>
  <c r="J191" i="21"/>
  <c r="J39" i="21"/>
  <c r="J82" i="21"/>
  <c r="J83" i="21"/>
  <c r="J147" i="21"/>
  <c r="J148" i="21"/>
  <c r="J153" i="21"/>
  <c r="J189" i="21"/>
  <c r="J254" i="21"/>
  <c r="J263" i="21"/>
  <c r="J289" i="21"/>
  <c r="J13" i="21"/>
  <c r="J36" i="21"/>
  <c r="J52" i="21"/>
  <c r="J53" i="21"/>
  <c r="J54" i="21"/>
  <c r="J57" i="21"/>
  <c r="J90" i="21"/>
  <c r="J128" i="21"/>
  <c r="J131" i="21"/>
  <c r="J146" i="21"/>
  <c r="J151" i="21"/>
  <c r="J164" i="21"/>
  <c r="J167" i="21"/>
  <c r="J172" i="21"/>
  <c r="J177" i="21"/>
  <c r="J187" i="21"/>
  <c r="J188" i="21"/>
  <c r="J200" i="21"/>
  <c r="J203" i="21"/>
  <c r="J226" i="21"/>
  <c r="J228" i="21"/>
  <c r="J236" i="21"/>
  <c r="J249" i="21"/>
  <c r="J285" i="21"/>
  <c r="J7" i="21"/>
  <c r="J10" i="21"/>
  <c r="J11" i="21"/>
  <c r="J21" i="21"/>
  <c r="J22" i="21"/>
  <c r="J28" i="21"/>
  <c r="J29" i="21"/>
  <c r="J32" i="21"/>
  <c r="J44" i="21"/>
  <c r="J47" i="21"/>
  <c r="J62" i="21"/>
  <c r="J63" i="21"/>
  <c r="J64" i="21"/>
  <c r="J65" i="21"/>
  <c r="J66" i="21"/>
  <c r="J69" i="21"/>
  <c r="J76" i="21"/>
  <c r="J79" i="21"/>
  <c r="J81" i="21"/>
  <c r="J84" i="21"/>
  <c r="J92" i="21"/>
  <c r="J109" i="21"/>
  <c r="J112" i="21"/>
  <c r="J113" i="21"/>
  <c r="J118" i="21"/>
  <c r="J120" i="21"/>
  <c r="J127" i="21"/>
  <c r="J132" i="21"/>
  <c r="J140" i="21"/>
  <c r="J145" i="21"/>
  <c r="J149" i="21"/>
  <c r="J152" i="21"/>
  <c r="J158" i="21"/>
  <c r="J165" i="21"/>
  <c r="J166" i="21"/>
  <c r="J168" i="21"/>
  <c r="J169" i="21"/>
  <c r="J170" i="21"/>
  <c r="J173" i="21"/>
  <c r="J179" i="21"/>
  <c r="J180" i="21"/>
  <c r="J181" i="21"/>
  <c r="J186" i="21"/>
  <c r="J192" i="21"/>
  <c r="J207" i="21"/>
  <c r="J209" i="21"/>
  <c r="J210" i="21"/>
  <c r="J211" i="21"/>
  <c r="J214" i="21"/>
  <c r="J225" i="21"/>
  <c r="J229" i="21"/>
  <c r="J230" i="21"/>
  <c r="J231" i="21"/>
  <c r="J234" i="21"/>
  <c r="J235" i="21"/>
  <c r="J242" i="21"/>
  <c r="J245" i="21"/>
  <c r="J260" i="21"/>
  <c r="J266" i="21"/>
  <c r="J272" i="21"/>
  <c r="J273" i="21"/>
  <c r="J274" i="21"/>
  <c r="J275" i="21"/>
  <c r="J276" i="21"/>
  <c r="J280" i="21"/>
  <c r="J281" i="21"/>
  <c r="J286" i="21"/>
  <c r="J287" i="21"/>
  <c r="J288" i="21"/>
  <c r="J295" i="21"/>
  <c r="J302" i="21"/>
  <c r="J306" i="21"/>
  <c r="J4" i="21"/>
  <c r="J5" i="21"/>
  <c r="J6" i="21"/>
  <c r="J8" i="21"/>
  <c r="J9" i="21"/>
  <c r="J12" i="21"/>
  <c r="J14" i="21"/>
  <c r="J15" i="21"/>
  <c r="J16" i="21"/>
  <c r="J17" i="21"/>
  <c r="J18" i="21"/>
  <c r="J19" i="21"/>
  <c r="J20" i="21"/>
  <c r="J23" i="21"/>
  <c r="J24" i="21"/>
  <c r="J26" i="21"/>
  <c r="J27" i="21"/>
  <c r="J30" i="21"/>
  <c r="J31" i="21"/>
  <c r="J33" i="21"/>
  <c r="J34" i="21"/>
  <c r="J35" i="21"/>
  <c r="J37" i="21"/>
  <c r="J40" i="21"/>
  <c r="J41" i="21"/>
  <c r="J42" i="21"/>
  <c r="J43" i="21"/>
  <c r="J45" i="21"/>
  <c r="J46" i="21"/>
  <c r="J48" i="21"/>
  <c r="J49" i="21"/>
  <c r="J50" i="21"/>
  <c r="J51" i="21"/>
  <c r="J55" i="21"/>
  <c r="J56" i="21"/>
  <c r="J58" i="21"/>
  <c r="J59" i="21"/>
  <c r="J60" i="21"/>
  <c r="J61" i="21"/>
  <c r="J67" i="21"/>
  <c r="J70" i="21"/>
  <c r="J71" i="21"/>
  <c r="J72" i="21"/>
  <c r="J73" i="21"/>
  <c r="J74" i="21"/>
  <c r="J75" i="21"/>
  <c r="J77" i="21"/>
  <c r="J78" i="21"/>
  <c r="J80" i="21"/>
  <c r="J85" i="21"/>
  <c r="J86" i="21"/>
  <c r="J87" i="21"/>
  <c r="J88" i="21"/>
  <c r="J89" i="21"/>
  <c r="J91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10" i="21"/>
  <c r="J111" i="21"/>
  <c r="J114" i="21"/>
  <c r="J115" i="21"/>
  <c r="J116" i="21"/>
  <c r="J117" i="21"/>
  <c r="J119" i="21"/>
  <c r="J122" i="21"/>
  <c r="J123" i="21"/>
  <c r="J124" i="21"/>
  <c r="J125" i="21"/>
  <c r="J126" i="21"/>
  <c r="J129" i="21"/>
  <c r="J130" i="21"/>
  <c r="J133" i="21"/>
  <c r="J134" i="21"/>
  <c r="J135" i="21"/>
  <c r="J136" i="21"/>
  <c r="J137" i="21"/>
  <c r="J138" i="21"/>
  <c r="J139" i="21"/>
  <c r="J141" i="21"/>
  <c r="J142" i="21"/>
  <c r="J143" i="21"/>
  <c r="J144" i="21"/>
  <c r="J150" i="21"/>
  <c r="J154" i="21"/>
  <c r="J155" i="21"/>
  <c r="J156" i="21"/>
  <c r="J157" i="21"/>
  <c r="J160" i="21"/>
  <c r="J161" i="21"/>
  <c r="J162" i="21"/>
  <c r="J163" i="21"/>
  <c r="J171" i="21"/>
  <c r="J174" i="21"/>
  <c r="J175" i="21"/>
  <c r="J176" i="21"/>
  <c r="J178" i="21"/>
  <c r="J182" i="21"/>
  <c r="J183" i="21"/>
  <c r="J184" i="21"/>
  <c r="J185" i="21"/>
  <c r="J193" i="21"/>
  <c r="J194" i="21"/>
  <c r="J195" i="21"/>
  <c r="J196" i="21"/>
  <c r="J197" i="21"/>
  <c r="J198" i="21"/>
  <c r="J199" i="21"/>
  <c r="J201" i="21"/>
  <c r="J202" i="21"/>
  <c r="J204" i="21"/>
  <c r="J205" i="21"/>
  <c r="J206" i="21"/>
  <c r="J208" i="21"/>
  <c r="J212" i="21"/>
  <c r="J213" i="21"/>
  <c r="J215" i="21"/>
  <c r="J216" i="21"/>
  <c r="J217" i="21"/>
  <c r="J218" i="21"/>
  <c r="J219" i="21"/>
  <c r="J220" i="21"/>
  <c r="J221" i="21"/>
  <c r="J222" i="21"/>
  <c r="J223" i="21"/>
  <c r="J224" i="21"/>
  <c r="J227" i="21"/>
  <c r="J232" i="21"/>
  <c r="J233" i="21"/>
  <c r="J237" i="21"/>
  <c r="J238" i="21"/>
  <c r="J239" i="21"/>
  <c r="J240" i="21"/>
  <c r="J241" i="21"/>
  <c r="J243" i="21"/>
  <c r="J244" i="21"/>
  <c r="J246" i="21"/>
  <c r="J247" i="21"/>
  <c r="J248" i="21"/>
  <c r="J250" i="21"/>
  <c r="J251" i="21"/>
  <c r="J252" i="21"/>
  <c r="J253" i="21"/>
  <c r="J255" i="21"/>
  <c r="J256" i="21"/>
  <c r="J257" i="21"/>
  <c r="J258" i="21"/>
  <c r="J259" i="21"/>
  <c r="J261" i="21"/>
  <c r="J262" i="21"/>
  <c r="J264" i="21"/>
  <c r="J265" i="21"/>
  <c r="J267" i="21"/>
  <c r="J268" i="21"/>
  <c r="J269" i="21"/>
  <c r="J270" i="21"/>
  <c r="J271" i="21"/>
  <c r="J277" i="21"/>
  <c r="J278" i="21"/>
  <c r="J279" i="21"/>
  <c r="J282" i="21"/>
  <c r="J283" i="21"/>
  <c r="J284" i="21"/>
  <c r="J290" i="21"/>
  <c r="J291" i="21"/>
  <c r="J292" i="21"/>
  <c r="J293" i="21"/>
  <c r="J294" i="21"/>
  <c r="J296" i="21"/>
  <c r="J297" i="21"/>
  <c r="J298" i="21"/>
  <c r="J299" i="21"/>
  <c r="J300" i="21"/>
  <c r="J301" i="21"/>
  <c r="J303" i="21"/>
  <c r="J304" i="21"/>
  <c r="J305" i="21"/>
  <c r="J307" i="21"/>
  <c r="J308" i="21"/>
  <c r="J309" i="21"/>
  <c r="J310" i="21"/>
  <c r="J311" i="21"/>
  <c r="J312" i="21"/>
  <c r="J313" i="21"/>
  <c r="J314" i="21"/>
  <c r="P4" i="21" l="1"/>
  <c r="Q4" i="21" s="1"/>
  <c r="P5" i="21"/>
  <c r="Q5" i="21" s="1"/>
  <c r="P6" i="21"/>
  <c r="Q6" i="21" s="1"/>
  <c r="P7" i="21"/>
  <c r="Q7" i="21" s="1"/>
  <c r="P8" i="21"/>
  <c r="Q8" i="21" s="1"/>
  <c r="P9" i="21"/>
  <c r="Q9" i="21" s="1"/>
  <c r="P10" i="21"/>
  <c r="Q10" i="21" s="1"/>
  <c r="P11" i="21"/>
  <c r="Q11" i="21" s="1"/>
  <c r="P12" i="21"/>
  <c r="Q12" i="21" s="1"/>
  <c r="P13" i="21"/>
  <c r="Q13" i="21" s="1"/>
  <c r="P14" i="21"/>
  <c r="Q14" i="21" s="1"/>
  <c r="P15" i="21"/>
  <c r="Q15" i="21" s="1"/>
  <c r="P16" i="21"/>
  <c r="Q16" i="21" s="1"/>
  <c r="P17" i="21"/>
  <c r="Q17" i="21" s="1"/>
  <c r="P18" i="21"/>
  <c r="Q18" i="21" s="1"/>
  <c r="P19" i="21"/>
  <c r="Q19" i="21" s="1"/>
  <c r="P20" i="21"/>
  <c r="Q20" i="21" s="1"/>
  <c r="P21" i="21"/>
  <c r="Q21" i="21" s="1"/>
  <c r="P22" i="21"/>
  <c r="Q22" i="21" s="1"/>
  <c r="P23" i="21"/>
  <c r="Q23" i="21" s="1"/>
  <c r="P24" i="21"/>
  <c r="Q24" i="21" s="1"/>
  <c r="P25" i="21"/>
  <c r="Q25" i="21" s="1"/>
  <c r="P26" i="21"/>
  <c r="Q26" i="21" s="1"/>
  <c r="P27" i="21"/>
  <c r="Q27" i="21" s="1"/>
  <c r="P28" i="21"/>
  <c r="Q28" i="21" s="1"/>
  <c r="P29" i="21"/>
  <c r="Q29" i="21" s="1"/>
  <c r="P30" i="21"/>
  <c r="Q30" i="21" s="1"/>
  <c r="P31" i="21"/>
  <c r="Q31" i="21" s="1"/>
  <c r="P32" i="21"/>
  <c r="Q32" i="21" s="1"/>
  <c r="P33" i="21"/>
  <c r="Q33" i="21" s="1"/>
  <c r="P34" i="21"/>
  <c r="Q34" i="21" s="1"/>
  <c r="P35" i="21"/>
  <c r="Q35" i="21" s="1"/>
  <c r="P36" i="21"/>
  <c r="Q36" i="21" s="1"/>
  <c r="P37" i="21"/>
  <c r="Q37" i="21" s="1"/>
  <c r="P38" i="21"/>
  <c r="Q38" i="21" s="1"/>
  <c r="P39" i="21"/>
  <c r="Q39" i="21" s="1"/>
  <c r="P40" i="21"/>
  <c r="Q40" i="21" s="1"/>
  <c r="P41" i="21"/>
  <c r="Q41" i="21" s="1"/>
  <c r="P42" i="21"/>
  <c r="Q42" i="21" s="1"/>
  <c r="P43" i="21"/>
  <c r="Q43" i="21" s="1"/>
  <c r="P44" i="21"/>
  <c r="Q44" i="21" s="1"/>
  <c r="P45" i="21"/>
  <c r="Q45" i="21" s="1"/>
  <c r="P46" i="21"/>
  <c r="Q46" i="21" s="1"/>
  <c r="P47" i="21"/>
  <c r="Q47" i="21" s="1"/>
  <c r="P48" i="21"/>
  <c r="Q48" i="21" s="1"/>
  <c r="P49" i="21"/>
  <c r="Q49" i="21" s="1"/>
  <c r="P50" i="21"/>
  <c r="Q50" i="21" s="1"/>
  <c r="P51" i="21"/>
  <c r="Q51" i="21" s="1"/>
  <c r="P52" i="21"/>
  <c r="Q52" i="21" s="1"/>
  <c r="P53" i="21"/>
  <c r="Q53" i="21" s="1"/>
  <c r="P54" i="21"/>
  <c r="Q54" i="21" s="1"/>
  <c r="P55" i="21"/>
  <c r="Q55" i="21" s="1"/>
  <c r="P56" i="21"/>
  <c r="Q56" i="21" s="1"/>
  <c r="P57" i="21"/>
  <c r="Q57" i="21" s="1"/>
  <c r="P58" i="21"/>
  <c r="Q58" i="21" s="1"/>
  <c r="P59" i="21"/>
  <c r="Q59" i="21" s="1"/>
  <c r="P60" i="21"/>
  <c r="Q60" i="21" s="1"/>
  <c r="P61" i="21"/>
  <c r="Q61" i="21" s="1"/>
  <c r="P62" i="21"/>
  <c r="Q62" i="21" s="1"/>
  <c r="P63" i="21"/>
  <c r="Q63" i="21" s="1"/>
  <c r="P64" i="21"/>
  <c r="Q64" i="21" s="1"/>
  <c r="P65" i="21"/>
  <c r="Q65" i="21" s="1"/>
  <c r="P66" i="21"/>
  <c r="Q66" i="21" s="1"/>
  <c r="P67" i="21"/>
  <c r="Q67" i="21" s="1"/>
  <c r="P68" i="21"/>
  <c r="Q68" i="21" s="1"/>
  <c r="P69" i="21"/>
  <c r="Q69" i="21" s="1"/>
  <c r="P70" i="21"/>
  <c r="Q70" i="21" s="1"/>
  <c r="P71" i="21"/>
  <c r="Q71" i="21" s="1"/>
  <c r="P72" i="21"/>
  <c r="Q72" i="21" s="1"/>
  <c r="P73" i="21"/>
  <c r="Q73" i="21" s="1"/>
  <c r="P74" i="21"/>
  <c r="Q74" i="21" s="1"/>
  <c r="P75" i="21"/>
  <c r="Q75" i="21" s="1"/>
  <c r="P76" i="21"/>
  <c r="Q76" i="21" s="1"/>
  <c r="P77" i="21"/>
  <c r="Q77" i="21" s="1"/>
  <c r="P78" i="21"/>
  <c r="Q78" i="21" s="1"/>
  <c r="P79" i="21"/>
  <c r="Q79" i="21" s="1"/>
  <c r="P80" i="21"/>
  <c r="Q80" i="21" s="1"/>
  <c r="P81" i="21"/>
  <c r="Q81" i="21" s="1"/>
  <c r="P82" i="21"/>
  <c r="Q82" i="21" s="1"/>
  <c r="P83" i="21"/>
  <c r="Q83" i="21" s="1"/>
  <c r="P84" i="21"/>
  <c r="Q84" i="21" s="1"/>
  <c r="P85" i="21"/>
  <c r="Q85" i="21" s="1"/>
  <c r="P86" i="21"/>
  <c r="Q86" i="21" s="1"/>
  <c r="P87" i="21"/>
  <c r="Q87" i="21" s="1"/>
  <c r="P88" i="21"/>
  <c r="Q88" i="21" s="1"/>
  <c r="P89" i="21"/>
  <c r="Q89" i="21" s="1"/>
  <c r="P90" i="21"/>
  <c r="Q90" i="21" s="1"/>
  <c r="P91" i="21"/>
  <c r="Q91" i="21" s="1"/>
  <c r="P92" i="21"/>
  <c r="Q92" i="21" s="1"/>
  <c r="P93" i="21"/>
  <c r="Q93" i="21" s="1"/>
  <c r="P94" i="21"/>
  <c r="Q94" i="21" s="1"/>
  <c r="P95" i="21"/>
  <c r="Q95" i="21" s="1"/>
  <c r="P96" i="21"/>
  <c r="Q96" i="21" s="1"/>
  <c r="P97" i="21"/>
  <c r="Q97" i="21" s="1"/>
  <c r="P98" i="21"/>
  <c r="Q98" i="21" s="1"/>
  <c r="P99" i="21"/>
  <c r="Q99" i="21" s="1"/>
  <c r="P100" i="21"/>
  <c r="Q100" i="21" s="1"/>
  <c r="P101" i="21"/>
  <c r="Q101" i="21" s="1"/>
  <c r="P102" i="21"/>
  <c r="Q102" i="21" s="1"/>
  <c r="P103" i="21"/>
  <c r="Q103" i="21" s="1"/>
  <c r="P104" i="21"/>
  <c r="Q104" i="21" s="1"/>
  <c r="P105" i="21"/>
  <c r="Q105" i="21" s="1"/>
  <c r="P106" i="21"/>
  <c r="Q106" i="21" s="1"/>
  <c r="P107" i="21"/>
  <c r="Q107" i="21" s="1"/>
  <c r="P108" i="21"/>
  <c r="Q108" i="21" s="1"/>
  <c r="P109" i="21"/>
  <c r="Q109" i="21" s="1"/>
  <c r="P110" i="21"/>
  <c r="Q110" i="21" s="1"/>
  <c r="P111" i="21"/>
  <c r="Q111" i="21" s="1"/>
  <c r="P112" i="21"/>
  <c r="Q112" i="21" s="1"/>
  <c r="P113" i="21"/>
  <c r="Q113" i="21" s="1"/>
  <c r="P114" i="21"/>
  <c r="Q114" i="21" s="1"/>
  <c r="P115" i="21"/>
  <c r="Q115" i="21" s="1"/>
  <c r="P116" i="21"/>
  <c r="Q116" i="21" s="1"/>
  <c r="P117" i="21"/>
  <c r="Q117" i="21" s="1"/>
  <c r="P118" i="21"/>
  <c r="Q118" i="21" s="1"/>
  <c r="P119" i="21"/>
  <c r="Q119" i="21" s="1"/>
  <c r="P120" i="21"/>
  <c r="Q120" i="21" s="1"/>
  <c r="P121" i="21"/>
  <c r="Q121" i="21" s="1"/>
  <c r="P122" i="21"/>
  <c r="Q122" i="21" s="1"/>
  <c r="P123" i="21"/>
  <c r="Q123" i="21" s="1"/>
  <c r="P124" i="21"/>
  <c r="Q124" i="21" s="1"/>
  <c r="P125" i="21"/>
  <c r="Q125" i="21" s="1"/>
  <c r="P126" i="21"/>
  <c r="Q126" i="21" s="1"/>
  <c r="P127" i="21"/>
  <c r="Q127" i="21" s="1"/>
  <c r="P128" i="21"/>
  <c r="Q128" i="21" s="1"/>
  <c r="P129" i="21"/>
  <c r="Q129" i="21" s="1"/>
  <c r="P130" i="21"/>
  <c r="Q130" i="21" s="1"/>
  <c r="P131" i="21"/>
  <c r="Q131" i="21" s="1"/>
  <c r="P132" i="21"/>
  <c r="Q132" i="21" s="1"/>
  <c r="P133" i="21"/>
  <c r="Q133" i="21" s="1"/>
  <c r="P134" i="21"/>
  <c r="Q134" i="21" s="1"/>
  <c r="P135" i="21"/>
  <c r="Q135" i="21" s="1"/>
  <c r="P136" i="21"/>
  <c r="Q136" i="21" s="1"/>
  <c r="P137" i="21"/>
  <c r="Q137" i="21" s="1"/>
  <c r="P138" i="21"/>
  <c r="Q138" i="21" s="1"/>
  <c r="P139" i="21"/>
  <c r="Q139" i="21" s="1"/>
  <c r="P140" i="21"/>
  <c r="Q140" i="21" s="1"/>
  <c r="P141" i="21"/>
  <c r="Q141" i="21" s="1"/>
  <c r="P142" i="21"/>
  <c r="Q142" i="21" s="1"/>
  <c r="P143" i="21"/>
  <c r="Q143" i="21" s="1"/>
  <c r="P144" i="21"/>
  <c r="Q144" i="21" s="1"/>
  <c r="P145" i="21"/>
  <c r="Q145" i="21" s="1"/>
  <c r="P146" i="21"/>
  <c r="Q146" i="21" s="1"/>
  <c r="P147" i="21"/>
  <c r="Q147" i="21" s="1"/>
  <c r="P148" i="21"/>
  <c r="Q148" i="21" s="1"/>
  <c r="P149" i="21"/>
  <c r="Q149" i="21" s="1"/>
  <c r="P150" i="21"/>
  <c r="Q150" i="21" s="1"/>
  <c r="P151" i="21"/>
  <c r="Q151" i="21" s="1"/>
  <c r="P152" i="21"/>
  <c r="Q152" i="21" s="1"/>
  <c r="P153" i="21"/>
  <c r="Q153" i="21" s="1"/>
  <c r="P154" i="21"/>
  <c r="Q154" i="21" s="1"/>
  <c r="P155" i="21"/>
  <c r="Q155" i="21" s="1"/>
  <c r="P156" i="21"/>
  <c r="Q156" i="21" s="1"/>
  <c r="P157" i="21"/>
  <c r="Q157" i="21" s="1"/>
  <c r="P158" i="21"/>
  <c r="Q158" i="21" s="1"/>
  <c r="P159" i="21"/>
  <c r="Q159" i="21" s="1"/>
  <c r="P160" i="21"/>
  <c r="Q160" i="21" s="1"/>
  <c r="P161" i="21"/>
  <c r="Q161" i="21" s="1"/>
  <c r="P162" i="21"/>
  <c r="Q162" i="21" s="1"/>
  <c r="P163" i="21"/>
  <c r="Q163" i="21" s="1"/>
  <c r="P164" i="21"/>
  <c r="Q164" i="21" s="1"/>
  <c r="P165" i="21"/>
  <c r="Q165" i="21" s="1"/>
  <c r="P166" i="21"/>
  <c r="Q166" i="21" s="1"/>
  <c r="P167" i="21"/>
  <c r="Q167" i="21" s="1"/>
  <c r="P168" i="21"/>
  <c r="Q168" i="21" s="1"/>
  <c r="P169" i="21"/>
  <c r="Q169" i="21" s="1"/>
  <c r="P170" i="21"/>
  <c r="Q170" i="21" s="1"/>
  <c r="P171" i="21"/>
  <c r="Q171" i="21" s="1"/>
  <c r="P172" i="21"/>
  <c r="Q172" i="21" s="1"/>
  <c r="P173" i="21"/>
  <c r="Q173" i="21" s="1"/>
  <c r="P174" i="21"/>
  <c r="Q174" i="21" s="1"/>
  <c r="P175" i="21"/>
  <c r="Q175" i="21" s="1"/>
  <c r="P176" i="21"/>
  <c r="Q176" i="21" s="1"/>
  <c r="P177" i="21"/>
  <c r="Q177" i="21" s="1"/>
  <c r="P178" i="21"/>
  <c r="Q178" i="21" s="1"/>
  <c r="P179" i="21"/>
  <c r="Q179" i="21" s="1"/>
  <c r="P180" i="21"/>
  <c r="Q180" i="21" s="1"/>
  <c r="P181" i="21"/>
  <c r="Q181" i="21" s="1"/>
  <c r="P182" i="21"/>
  <c r="Q182" i="21" s="1"/>
  <c r="P183" i="21"/>
  <c r="Q183" i="21" s="1"/>
  <c r="P184" i="21"/>
  <c r="Q184" i="21" s="1"/>
  <c r="P185" i="21"/>
  <c r="Q185" i="21" s="1"/>
  <c r="P186" i="21"/>
  <c r="Q186" i="21" s="1"/>
  <c r="P187" i="21"/>
  <c r="Q187" i="21" s="1"/>
  <c r="P188" i="21"/>
  <c r="Q188" i="21" s="1"/>
  <c r="P189" i="21"/>
  <c r="Q189" i="21" s="1"/>
  <c r="P190" i="21"/>
  <c r="Q190" i="21" s="1"/>
  <c r="P191" i="21"/>
  <c r="Q191" i="21" s="1"/>
  <c r="P192" i="21"/>
  <c r="Q192" i="21" s="1"/>
  <c r="P193" i="21"/>
  <c r="Q193" i="21" s="1"/>
  <c r="P194" i="21"/>
  <c r="Q194" i="21" s="1"/>
  <c r="P195" i="21"/>
  <c r="Q195" i="21" s="1"/>
  <c r="P196" i="21"/>
  <c r="Q196" i="21" s="1"/>
  <c r="P197" i="21"/>
  <c r="Q197" i="21" s="1"/>
  <c r="P198" i="21"/>
  <c r="Q198" i="21" s="1"/>
  <c r="P199" i="21"/>
  <c r="Q199" i="21" s="1"/>
  <c r="P200" i="21"/>
  <c r="Q200" i="21" s="1"/>
  <c r="P201" i="21"/>
  <c r="Q201" i="21" s="1"/>
  <c r="P202" i="21"/>
  <c r="Q202" i="21" s="1"/>
  <c r="P203" i="21"/>
  <c r="Q203" i="21" s="1"/>
  <c r="P204" i="21"/>
  <c r="Q204" i="21" s="1"/>
  <c r="P205" i="21"/>
  <c r="Q205" i="21" s="1"/>
  <c r="P206" i="21"/>
  <c r="Q206" i="21" s="1"/>
  <c r="P207" i="21"/>
  <c r="Q207" i="21" s="1"/>
  <c r="P208" i="21"/>
  <c r="Q208" i="21" s="1"/>
  <c r="P209" i="21"/>
  <c r="Q209" i="21" s="1"/>
  <c r="P210" i="21"/>
  <c r="Q210" i="21" s="1"/>
  <c r="P211" i="21"/>
  <c r="Q211" i="21" s="1"/>
  <c r="P212" i="21"/>
  <c r="Q212" i="21" s="1"/>
  <c r="P213" i="21"/>
  <c r="Q213" i="21" s="1"/>
  <c r="P214" i="21"/>
  <c r="Q214" i="21" s="1"/>
  <c r="P215" i="21"/>
  <c r="Q215" i="21" s="1"/>
  <c r="P216" i="21"/>
  <c r="Q216" i="21" s="1"/>
  <c r="P217" i="21"/>
  <c r="Q217" i="21" s="1"/>
  <c r="P218" i="21"/>
  <c r="Q218" i="21" s="1"/>
  <c r="P219" i="21"/>
  <c r="Q219" i="21" s="1"/>
  <c r="P220" i="21"/>
  <c r="Q220" i="21" s="1"/>
  <c r="P221" i="21"/>
  <c r="Q221" i="21" s="1"/>
  <c r="P222" i="21"/>
  <c r="Q222" i="21" s="1"/>
  <c r="P223" i="21"/>
  <c r="Q223" i="21" s="1"/>
  <c r="P224" i="21"/>
  <c r="Q224" i="21" s="1"/>
  <c r="P225" i="21"/>
  <c r="Q225" i="21" s="1"/>
  <c r="P226" i="21"/>
  <c r="Q226" i="21" s="1"/>
  <c r="P227" i="21"/>
  <c r="Q227" i="21" s="1"/>
  <c r="P228" i="21"/>
  <c r="Q228" i="21" s="1"/>
  <c r="P229" i="21"/>
  <c r="Q229" i="21" s="1"/>
  <c r="P230" i="21"/>
  <c r="Q230" i="21" s="1"/>
  <c r="P231" i="21"/>
  <c r="Q231" i="21" s="1"/>
  <c r="P232" i="21"/>
  <c r="Q232" i="21" s="1"/>
  <c r="P233" i="21"/>
  <c r="Q233" i="21" s="1"/>
  <c r="P234" i="21"/>
  <c r="Q234" i="21" s="1"/>
  <c r="P235" i="21"/>
  <c r="Q235" i="21" s="1"/>
  <c r="P236" i="21"/>
  <c r="Q236" i="21" s="1"/>
  <c r="P237" i="21"/>
  <c r="Q237" i="21" s="1"/>
  <c r="P238" i="21"/>
  <c r="Q238" i="21" s="1"/>
  <c r="P239" i="21"/>
  <c r="Q239" i="21" s="1"/>
  <c r="P240" i="21"/>
  <c r="Q240" i="21" s="1"/>
  <c r="P241" i="21"/>
  <c r="Q241" i="21" s="1"/>
  <c r="P242" i="21"/>
  <c r="Q242" i="21" s="1"/>
  <c r="P243" i="21"/>
  <c r="Q243" i="21" s="1"/>
  <c r="P244" i="21"/>
  <c r="Q244" i="21" s="1"/>
  <c r="P245" i="21"/>
  <c r="Q245" i="21" s="1"/>
  <c r="P246" i="21"/>
  <c r="Q246" i="21" s="1"/>
  <c r="P247" i="21"/>
  <c r="Q247" i="21" s="1"/>
  <c r="P248" i="21"/>
  <c r="Q248" i="21" s="1"/>
  <c r="P249" i="21"/>
  <c r="Q249" i="21" s="1"/>
  <c r="P250" i="21"/>
  <c r="Q250" i="21" s="1"/>
  <c r="P251" i="21"/>
  <c r="Q251" i="21" s="1"/>
  <c r="P252" i="21"/>
  <c r="Q252" i="21" s="1"/>
  <c r="P253" i="21"/>
  <c r="Q253" i="21" s="1"/>
  <c r="P254" i="21"/>
  <c r="Q254" i="21" s="1"/>
  <c r="P255" i="21"/>
  <c r="Q255" i="21" s="1"/>
  <c r="P256" i="21"/>
  <c r="Q256" i="21" s="1"/>
  <c r="P257" i="21"/>
  <c r="Q257" i="21" s="1"/>
  <c r="P258" i="21"/>
  <c r="Q258" i="21" s="1"/>
  <c r="P259" i="21"/>
  <c r="Q259" i="21" s="1"/>
  <c r="P260" i="21"/>
  <c r="Q260" i="21" s="1"/>
  <c r="P261" i="21"/>
  <c r="Q261" i="21" s="1"/>
  <c r="P262" i="21"/>
  <c r="Q262" i="21" s="1"/>
  <c r="P263" i="21"/>
  <c r="Q263" i="21" s="1"/>
  <c r="P264" i="21"/>
  <c r="Q264" i="21" s="1"/>
  <c r="P265" i="21"/>
  <c r="Q265" i="21" s="1"/>
  <c r="P266" i="21"/>
  <c r="Q266" i="21" s="1"/>
  <c r="P267" i="21"/>
  <c r="Q267" i="21" s="1"/>
  <c r="P268" i="21"/>
  <c r="Q268" i="21" s="1"/>
  <c r="P269" i="21"/>
  <c r="Q269" i="21" s="1"/>
  <c r="P270" i="21"/>
  <c r="Q270" i="21" s="1"/>
  <c r="P271" i="21"/>
  <c r="Q271" i="21" s="1"/>
  <c r="P272" i="21"/>
  <c r="Q272" i="21" s="1"/>
  <c r="P273" i="21"/>
  <c r="Q273" i="21" s="1"/>
  <c r="P274" i="21"/>
  <c r="Q274" i="21" s="1"/>
  <c r="P275" i="21"/>
  <c r="Q275" i="21" s="1"/>
  <c r="P276" i="21"/>
  <c r="Q276" i="21" s="1"/>
  <c r="P277" i="21"/>
  <c r="Q277" i="21" s="1"/>
  <c r="P278" i="21"/>
  <c r="Q278" i="21" s="1"/>
  <c r="P279" i="21"/>
  <c r="Q279" i="21" s="1"/>
  <c r="P280" i="21"/>
  <c r="Q280" i="21" s="1"/>
  <c r="P281" i="21"/>
  <c r="Q281" i="21" s="1"/>
  <c r="P282" i="21"/>
  <c r="Q282" i="21" s="1"/>
  <c r="P283" i="21"/>
  <c r="Q283" i="21" s="1"/>
  <c r="P284" i="21"/>
  <c r="Q284" i="21" s="1"/>
  <c r="P285" i="21"/>
  <c r="Q285" i="21" s="1"/>
  <c r="P286" i="21"/>
  <c r="Q286" i="21" s="1"/>
  <c r="P287" i="21"/>
  <c r="Q287" i="21" s="1"/>
  <c r="P288" i="21"/>
  <c r="Q288" i="21" s="1"/>
  <c r="P289" i="21"/>
  <c r="Q289" i="21" s="1"/>
  <c r="P290" i="21"/>
  <c r="Q290" i="21" s="1"/>
  <c r="P291" i="21"/>
  <c r="Q291" i="21" s="1"/>
  <c r="P292" i="21"/>
  <c r="Q292" i="21" s="1"/>
  <c r="P293" i="21"/>
  <c r="Q293" i="21" s="1"/>
  <c r="P294" i="21"/>
  <c r="Q294" i="21" s="1"/>
  <c r="P295" i="21"/>
  <c r="Q295" i="21" s="1"/>
  <c r="P296" i="21"/>
  <c r="Q296" i="21" s="1"/>
  <c r="P297" i="21"/>
  <c r="Q297" i="21" s="1"/>
  <c r="P298" i="21"/>
  <c r="Q298" i="21" s="1"/>
  <c r="P299" i="21"/>
  <c r="Q299" i="21" s="1"/>
  <c r="P300" i="21"/>
  <c r="Q300" i="21" s="1"/>
  <c r="P301" i="21"/>
  <c r="Q301" i="21" s="1"/>
  <c r="P302" i="21"/>
  <c r="Q302" i="21" s="1"/>
  <c r="P303" i="21"/>
  <c r="Q303" i="21" s="1"/>
  <c r="P304" i="21"/>
  <c r="Q304" i="21" s="1"/>
  <c r="P305" i="21"/>
  <c r="Q305" i="21" s="1"/>
  <c r="P306" i="21"/>
  <c r="Q306" i="21" s="1"/>
  <c r="P307" i="21"/>
  <c r="Q307" i="21" s="1"/>
  <c r="P308" i="21"/>
  <c r="Q308" i="21" s="1"/>
  <c r="P309" i="21"/>
  <c r="Q309" i="21" s="1"/>
  <c r="P310" i="21"/>
  <c r="Q310" i="21" s="1"/>
  <c r="P311" i="21"/>
  <c r="Q311" i="21" s="1"/>
  <c r="P312" i="21"/>
  <c r="Q312" i="21" s="1"/>
  <c r="P313" i="21"/>
  <c r="Q313" i="21" s="1"/>
  <c r="P314" i="21"/>
  <c r="Q314" i="21" s="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  <c r="O270" i="21"/>
  <c r="O271" i="21"/>
  <c r="O272" i="21"/>
  <c r="O273" i="21"/>
  <c r="O274" i="21"/>
  <c r="O275" i="21"/>
  <c r="O276" i="21"/>
  <c r="O277" i="21"/>
  <c r="O278" i="21"/>
  <c r="O279" i="21"/>
  <c r="O280" i="21"/>
  <c r="O281" i="21"/>
  <c r="O282" i="21"/>
  <c r="O283" i="21"/>
  <c r="O284" i="21"/>
  <c r="O285" i="21"/>
  <c r="O286" i="21"/>
  <c r="O287" i="21"/>
  <c r="O288" i="21"/>
  <c r="O289" i="21"/>
  <c r="O290" i="21"/>
  <c r="O291" i="21"/>
  <c r="O292" i="21"/>
  <c r="O293" i="21"/>
  <c r="O294" i="21"/>
  <c r="O295" i="21"/>
  <c r="O296" i="21"/>
  <c r="O297" i="21"/>
  <c r="O298" i="21"/>
  <c r="O299" i="21"/>
  <c r="O300" i="21"/>
  <c r="O301" i="21"/>
  <c r="O302" i="21"/>
  <c r="O303" i="21"/>
  <c r="O304" i="21"/>
  <c r="O305" i="21"/>
  <c r="O306" i="21"/>
  <c r="O307" i="21"/>
  <c r="O308" i="21"/>
  <c r="O309" i="21"/>
  <c r="O310" i="21"/>
  <c r="O311" i="21"/>
  <c r="O312" i="21"/>
  <c r="O313" i="21"/>
  <c r="O314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63" i="21"/>
  <c r="N264" i="21"/>
  <c r="N265" i="21"/>
  <c r="N266" i="21"/>
  <c r="N267" i="21"/>
  <c r="N268" i="21"/>
  <c r="N269" i="21"/>
  <c r="N270" i="21"/>
  <c r="N271" i="21"/>
  <c r="N272" i="21"/>
  <c r="N273" i="21"/>
  <c r="N274" i="21"/>
  <c r="N275" i="21"/>
  <c r="N276" i="21"/>
  <c r="N277" i="21"/>
  <c r="N278" i="21"/>
  <c r="N279" i="21"/>
  <c r="N280" i="21"/>
  <c r="N281" i="21"/>
  <c r="N282" i="21"/>
  <c r="N283" i="21"/>
  <c r="N284" i="21"/>
  <c r="N285" i="21"/>
  <c r="N286" i="21"/>
  <c r="N287" i="21"/>
  <c r="N288" i="21"/>
  <c r="N289" i="21"/>
  <c r="N290" i="21"/>
  <c r="N291" i="21"/>
  <c r="N292" i="21"/>
  <c r="N293" i="21"/>
  <c r="N294" i="21"/>
  <c r="N295" i="21"/>
  <c r="N296" i="21"/>
  <c r="N297" i="21"/>
  <c r="N298" i="21"/>
  <c r="N299" i="21"/>
  <c r="N300" i="21"/>
  <c r="N301" i="21"/>
  <c r="N302" i="21"/>
  <c r="N303" i="21"/>
  <c r="N304" i="21"/>
  <c r="N305" i="21"/>
  <c r="N306" i="21"/>
  <c r="N307" i="21"/>
  <c r="N308" i="21"/>
  <c r="N309" i="21"/>
  <c r="N310" i="21"/>
  <c r="N311" i="21"/>
  <c r="N312" i="21"/>
  <c r="N313" i="21"/>
  <c r="N314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" i="12"/>
  <c r="R19" i="21" l="1"/>
  <c r="R5" i="21"/>
  <c r="R6" i="21"/>
  <c r="R7" i="21"/>
  <c r="R8" i="21"/>
  <c r="R9" i="21"/>
  <c r="R11" i="21"/>
  <c r="R14" i="21"/>
  <c r="R15" i="21"/>
  <c r="R16" i="21"/>
  <c r="R20" i="21"/>
  <c r="R23" i="21"/>
  <c r="R24" i="21"/>
  <c r="R25" i="21"/>
  <c r="R26" i="21"/>
  <c r="R27" i="21"/>
  <c r="R29" i="21"/>
  <c r="S29" i="21"/>
  <c r="R30" i="21"/>
  <c r="R31" i="21"/>
  <c r="R33" i="21"/>
  <c r="R34" i="21"/>
  <c r="R36" i="21"/>
  <c r="S36" i="21"/>
  <c r="R37" i="21"/>
  <c r="R40" i="21"/>
  <c r="S40" i="21"/>
  <c r="R41" i="21"/>
  <c r="R42" i="21"/>
  <c r="R43" i="21"/>
  <c r="R45" i="21"/>
  <c r="R47" i="21"/>
  <c r="R48" i="21"/>
  <c r="S48" i="21"/>
  <c r="R49" i="21"/>
  <c r="S49" i="21"/>
  <c r="R50" i="21"/>
  <c r="R51" i="21"/>
  <c r="S52" i="21"/>
  <c r="R53" i="21"/>
  <c r="S53" i="21"/>
  <c r="R55" i="21"/>
  <c r="R56" i="21"/>
  <c r="R57" i="21"/>
  <c r="R58" i="21"/>
  <c r="S58" i="21"/>
  <c r="R59" i="21"/>
  <c r="R60" i="21"/>
  <c r="R61" i="21"/>
  <c r="R62" i="21"/>
  <c r="R63" i="21"/>
  <c r="R64" i="21"/>
  <c r="S64" i="21"/>
  <c r="R65" i="21"/>
  <c r="S65" i="21"/>
  <c r="R66" i="21"/>
  <c r="R67" i="21"/>
  <c r="R68" i="21"/>
  <c r="R69" i="21"/>
  <c r="R70" i="21"/>
  <c r="R71" i="21"/>
  <c r="R72" i="21"/>
  <c r="R73" i="21"/>
  <c r="R74" i="21"/>
  <c r="S74" i="21"/>
  <c r="R76" i="21"/>
  <c r="S76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7" i="21"/>
  <c r="R98" i="21"/>
  <c r="R99" i="21"/>
  <c r="R100" i="21"/>
  <c r="R101" i="21"/>
  <c r="R103" i="21"/>
  <c r="R104" i="21"/>
  <c r="R105" i="21"/>
  <c r="R106" i="21"/>
  <c r="R107" i="21"/>
  <c r="R108" i="21"/>
  <c r="R110" i="21"/>
  <c r="R111" i="21"/>
  <c r="R112" i="21"/>
  <c r="R113" i="21"/>
  <c r="R114" i="21"/>
  <c r="R115" i="21"/>
  <c r="R116" i="21"/>
  <c r="R117" i="21"/>
  <c r="R119" i="21"/>
  <c r="R120" i="21"/>
  <c r="R121" i="21"/>
  <c r="R122" i="21"/>
  <c r="R123" i="21"/>
  <c r="R124" i="21"/>
  <c r="S124" i="21"/>
  <c r="R125" i="21"/>
  <c r="R126" i="21"/>
  <c r="R127" i="21"/>
  <c r="R128" i="21"/>
  <c r="R129" i="21"/>
  <c r="R130" i="21"/>
  <c r="R132" i="21"/>
  <c r="R133" i="21"/>
  <c r="R134" i="21"/>
  <c r="R135" i="21"/>
  <c r="R136" i="21"/>
  <c r="R137" i="21"/>
  <c r="R138" i="21"/>
  <c r="R139" i="21"/>
  <c r="R143" i="21"/>
  <c r="S143" i="21"/>
  <c r="R144" i="21"/>
  <c r="R145" i="21"/>
  <c r="S145" i="21"/>
  <c r="R146" i="21"/>
  <c r="R147" i="21"/>
  <c r="R148" i="21"/>
  <c r="S150" i="21"/>
  <c r="S151" i="21"/>
  <c r="S152" i="21"/>
  <c r="S153" i="21"/>
  <c r="R154" i="21"/>
  <c r="R155" i="21"/>
  <c r="R156" i="21"/>
  <c r="R157" i="21"/>
  <c r="R158" i="21"/>
  <c r="R159" i="21"/>
  <c r="R160" i="21"/>
  <c r="R161" i="21"/>
  <c r="R162" i="21"/>
  <c r="R163" i="21"/>
  <c r="R168" i="21"/>
  <c r="R169" i="21"/>
  <c r="R170" i="21"/>
  <c r="R171" i="21"/>
  <c r="S172" i="21"/>
  <c r="R173" i="21"/>
  <c r="R174" i="21"/>
  <c r="R175" i="21"/>
  <c r="R176" i="21"/>
  <c r="R177" i="21"/>
  <c r="S177" i="21"/>
  <c r="R178" i="21"/>
  <c r="R179" i="21"/>
  <c r="S179" i="21"/>
  <c r="R180" i="21"/>
  <c r="S180" i="21"/>
  <c r="R181" i="21"/>
  <c r="R182" i="21"/>
  <c r="S182" i="21"/>
  <c r="R183" i="21"/>
  <c r="R184" i="21"/>
  <c r="R185" i="21"/>
  <c r="R186" i="21"/>
  <c r="R187" i="21"/>
  <c r="R188" i="21"/>
  <c r="S188" i="21"/>
  <c r="R189" i="21"/>
  <c r="R190" i="21"/>
  <c r="R192" i="21"/>
  <c r="S192" i="21"/>
  <c r="R193" i="21"/>
  <c r="R194" i="21"/>
  <c r="S194" i="21"/>
  <c r="R195" i="21"/>
  <c r="R196" i="21"/>
  <c r="R199" i="21"/>
  <c r="R200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S213" i="21"/>
  <c r="R214" i="21"/>
  <c r="R215" i="21"/>
  <c r="R216" i="21"/>
  <c r="R217" i="21"/>
  <c r="R218" i="21"/>
  <c r="R219" i="21"/>
  <c r="R220" i="21"/>
  <c r="R221" i="21"/>
  <c r="R222" i="21"/>
  <c r="R223" i="21"/>
  <c r="S223" i="21"/>
  <c r="R224" i="21"/>
  <c r="R227" i="21"/>
  <c r="S227" i="21"/>
  <c r="R228" i="21"/>
  <c r="S229" i="21"/>
  <c r="S231" i="21"/>
  <c r="R232" i="21"/>
  <c r="R233" i="21"/>
  <c r="R234" i="21"/>
  <c r="R235" i="21"/>
  <c r="R236" i="21"/>
  <c r="R237" i="21"/>
  <c r="R238" i="21"/>
  <c r="R239" i="21"/>
  <c r="R241" i="21"/>
  <c r="R243" i="21"/>
  <c r="R244" i="21"/>
  <c r="S244" i="21"/>
  <c r="S245" i="21"/>
  <c r="R246" i="21"/>
  <c r="R247" i="21"/>
  <c r="R248" i="21"/>
  <c r="R249" i="21"/>
  <c r="R250" i="21"/>
  <c r="R251" i="21"/>
  <c r="R253" i="21"/>
  <c r="R254" i="21"/>
  <c r="S259" i="21"/>
  <c r="S260" i="21"/>
  <c r="R261" i="21"/>
  <c r="R262" i="21"/>
  <c r="R263" i="21"/>
  <c r="R264" i="21"/>
  <c r="R266" i="21"/>
  <c r="R267" i="21"/>
  <c r="R268" i="21"/>
  <c r="R269" i="21"/>
  <c r="R270" i="21"/>
  <c r="R271" i="21"/>
  <c r="S272" i="21"/>
  <c r="R273" i="21"/>
  <c r="S273" i="21"/>
  <c r="R274" i="21"/>
  <c r="R275" i="21"/>
  <c r="S275" i="21"/>
  <c r="R276" i="21"/>
  <c r="R277" i="21"/>
  <c r="R278" i="21"/>
  <c r="R279" i="21"/>
  <c r="R280" i="21"/>
  <c r="S280" i="21"/>
  <c r="R281" i="21"/>
  <c r="R282" i="21"/>
  <c r="R283" i="21"/>
  <c r="R284" i="21"/>
  <c r="S284" i="21"/>
  <c r="R287" i="21"/>
  <c r="R289" i="21"/>
  <c r="R290" i="21"/>
  <c r="R291" i="21"/>
  <c r="R292" i="21"/>
  <c r="R293" i="21"/>
  <c r="R294" i="21"/>
  <c r="R295" i="21"/>
  <c r="S295" i="21"/>
  <c r="R297" i="21"/>
  <c r="R298" i="21"/>
  <c r="R299" i="21"/>
  <c r="R300" i="21"/>
  <c r="R301" i="21"/>
  <c r="R302" i="21"/>
  <c r="S302" i="21"/>
  <c r="R306" i="21"/>
  <c r="R307" i="21"/>
  <c r="R308" i="21"/>
  <c r="R309" i="21"/>
  <c r="S309" i="21"/>
  <c r="R310" i="21"/>
  <c r="R311" i="21"/>
  <c r="R312" i="21"/>
  <c r="R313" i="21"/>
  <c r="R314" i="21"/>
  <c r="R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4" i="21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AF3" i="7" l="1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AF284" i="7"/>
  <c r="AF285" i="7"/>
  <c r="AF286" i="7"/>
  <c r="AF287" i="7"/>
  <c r="AF288" i="7"/>
  <c r="AF289" i="7"/>
  <c r="AF290" i="7"/>
  <c r="AF291" i="7"/>
  <c r="AF292" i="7"/>
  <c r="AF293" i="7"/>
  <c r="AF294" i="7"/>
  <c r="AF295" i="7"/>
  <c r="AF296" i="7"/>
  <c r="AF297" i="7"/>
  <c r="AF298" i="7"/>
  <c r="AF299" i="7"/>
  <c r="AF300" i="7"/>
  <c r="AF301" i="7"/>
  <c r="AF302" i="7"/>
  <c r="AF303" i="7"/>
  <c r="AF304" i="7"/>
  <c r="AF305" i="7"/>
  <c r="AF306" i="7"/>
  <c r="AF307" i="7"/>
  <c r="AF308" i="7"/>
  <c r="AF309" i="7"/>
  <c r="AF310" i="7"/>
  <c r="AF311" i="7"/>
  <c r="AF312" i="7"/>
  <c r="AF313" i="7"/>
  <c r="AF314" i="7"/>
  <c r="AF315" i="7"/>
  <c r="AF316" i="7"/>
  <c r="AF317" i="7"/>
  <c r="AF318" i="7"/>
  <c r="AF319" i="7"/>
  <c r="AF320" i="7"/>
  <c r="AF321" i="7"/>
  <c r="AF322" i="7"/>
  <c r="AF323" i="7"/>
  <c r="K18" i="7" l="1"/>
  <c r="M18" i="7" s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K3" i="7" l="1"/>
  <c r="M3" i="7" s="1"/>
  <c r="K4" i="7"/>
  <c r="M4" i="7" s="1"/>
  <c r="K5" i="7"/>
  <c r="M5" i="7" s="1"/>
  <c r="K6" i="7"/>
  <c r="M6" i="7" s="1"/>
  <c r="K7" i="7"/>
  <c r="M7" i="7" s="1"/>
  <c r="K8" i="7"/>
  <c r="M8" i="7" s="1"/>
  <c r="K9" i="7"/>
  <c r="M9" i="7" s="1"/>
  <c r="K10" i="7"/>
  <c r="M10" i="7" s="1"/>
  <c r="K11" i="7"/>
  <c r="M11" i="7" s="1"/>
  <c r="K12" i="7"/>
  <c r="M12" i="7" s="1"/>
  <c r="K13" i="7"/>
  <c r="M13" i="7" s="1"/>
  <c r="K14" i="7"/>
  <c r="M14" i="7" s="1"/>
  <c r="K15" i="7"/>
  <c r="M15" i="7" s="1"/>
  <c r="K16" i="7"/>
  <c r="M16" i="7" s="1"/>
  <c r="K17" i="7"/>
  <c r="M17" i="7" s="1"/>
  <c r="K19" i="7"/>
  <c r="M19" i="7" s="1"/>
  <c r="K20" i="7"/>
  <c r="M20" i="7" s="1"/>
  <c r="K21" i="7"/>
  <c r="M21" i="7" s="1"/>
  <c r="K22" i="7"/>
  <c r="M22" i="7" s="1"/>
  <c r="K23" i="7"/>
  <c r="M23" i="7" s="1"/>
  <c r="K24" i="7"/>
  <c r="M24" i="7" s="1"/>
  <c r="K25" i="7"/>
  <c r="M25" i="7" s="1"/>
  <c r="K26" i="7"/>
  <c r="M26" i="7" s="1"/>
  <c r="K27" i="7"/>
  <c r="M27" i="7" s="1"/>
  <c r="K28" i="7"/>
  <c r="M28" i="7" s="1"/>
  <c r="K29" i="7"/>
  <c r="M29" i="7" s="1"/>
  <c r="K30" i="7"/>
  <c r="M30" i="7" s="1"/>
  <c r="K31" i="7"/>
  <c r="M31" i="7" s="1"/>
  <c r="K32" i="7"/>
  <c r="M32" i="7" s="1"/>
  <c r="K33" i="7"/>
  <c r="M33" i="7" s="1"/>
  <c r="K34" i="7"/>
  <c r="M34" i="7" s="1"/>
  <c r="K35" i="7"/>
  <c r="M35" i="7" s="1"/>
  <c r="K36" i="7"/>
  <c r="M36" i="7" s="1"/>
  <c r="K37" i="7"/>
  <c r="M37" i="7" s="1"/>
  <c r="K38" i="7"/>
  <c r="M38" i="7" s="1"/>
  <c r="K39" i="7"/>
  <c r="M39" i="7" s="1"/>
  <c r="K40" i="7"/>
  <c r="M40" i="7" s="1"/>
  <c r="K41" i="7"/>
  <c r="M41" i="7" s="1"/>
  <c r="K42" i="7"/>
  <c r="M42" i="7" s="1"/>
  <c r="K43" i="7"/>
  <c r="M43" i="7" s="1"/>
  <c r="K44" i="7"/>
  <c r="M44" i="7" s="1"/>
  <c r="K45" i="7"/>
  <c r="M45" i="7" s="1"/>
  <c r="K46" i="7"/>
  <c r="M46" i="7" s="1"/>
  <c r="K47" i="7"/>
  <c r="M47" i="7" s="1"/>
  <c r="K48" i="7"/>
  <c r="M48" i="7" s="1"/>
  <c r="K49" i="7"/>
  <c r="M49" i="7" s="1"/>
  <c r="K50" i="7"/>
  <c r="M50" i="7" s="1"/>
  <c r="K51" i="7"/>
  <c r="M51" i="7" s="1"/>
  <c r="K52" i="7"/>
  <c r="M52" i="7" s="1"/>
  <c r="K53" i="7"/>
  <c r="M53" i="7" s="1"/>
  <c r="K54" i="7"/>
  <c r="M54" i="7" s="1"/>
  <c r="K55" i="7"/>
  <c r="M55" i="7" s="1"/>
  <c r="K56" i="7"/>
  <c r="M56" i="7" s="1"/>
  <c r="K57" i="7"/>
  <c r="M57" i="7" s="1"/>
  <c r="K58" i="7"/>
  <c r="M58" i="7" s="1"/>
  <c r="K59" i="7"/>
  <c r="M59" i="7" s="1"/>
  <c r="K60" i="7"/>
  <c r="M60" i="7" s="1"/>
  <c r="K61" i="7"/>
  <c r="M61" i="7" s="1"/>
  <c r="K62" i="7"/>
  <c r="M62" i="7" s="1"/>
  <c r="K63" i="7"/>
  <c r="M63" i="7" s="1"/>
  <c r="K64" i="7"/>
  <c r="M64" i="7" s="1"/>
  <c r="K65" i="7"/>
  <c r="M65" i="7" s="1"/>
  <c r="K66" i="7"/>
  <c r="M66" i="7" s="1"/>
  <c r="K67" i="7"/>
  <c r="M67" i="7" s="1"/>
  <c r="K68" i="7"/>
  <c r="M68" i="7" s="1"/>
  <c r="K69" i="7"/>
  <c r="M69" i="7" s="1"/>
  <c r="K70" i="7"/>
  <c r="M70" i="7" s="1"/>
  <c r="K71" i="7"/>
  <c r="M71" i="7" s="1"/>
  <c r="K72" i="7"/>
  <c r="M72" i="7" s="1"/>
  <c r="K73" i="7"/>
  <c r="M73" i="7" s="1"/>
  <c r="K74" i="7"/>
  <c r="M74" i="7" s="1"/>
  <c r="K75" i="7"/>
  <c r="M75" i="7" s="1"/>
  <c r="K76" i="7"/>
  <c r="M76" i="7" s="1"/>
  <c r="K77" i="7"/>
  <c r="M77" i="7" s="1"/>
  <c r="K78" i="7"/>
  <c r="M78" i="7" s="1"/>
  <c r="K79" i="7"/>
  <c r="M79" i="7" s="1"/>
  <c r="K80" i="7"/>
  <c r="M80" i="7" s="1"/>
  <c r="K81" i="7"/>
  <c r="M81" i="7" s="1"/>
  <c r="K82" i="7"/>
  <c r="M82" i="7" s="1"/>
  <c r="K83" i="7"/>
  <c r="M83" i="7" s="1"/>
  <c r="K84" i="7"/>
  <c r="M84" i="7" s="1"/>
  <c r="K85" i="7"/>
  <c r="M85" i="7" s="1"/>
  <c r="K86" i="7"/>
  <c r="M86" i="7" s="1"/>
  <c r="K87" i="7"/>
  <c r="M87" i="7" s="1"/>
  <c r="K88" i="7"/>
  <c r="M88" i="7" s="1"/>
  <c r="K89" i="7"/>
  <c r="M89" i="7" s="1"/>
  <c r="K90" i="7"/>
  <c r="M90" i="7" s="1"/>
  <c r="K91" i="7"/>
  <c r="M91" i="7" s="1"/>
  <c r="K92" i="7"/>
  <c r="M92" i="7" s="1"/>
  <c r="K93" i="7"/>
  <c r="M93" i="7" s="1"/>
  <c r="K94" i="7"/>
  <c r="M94" i="7" s="1"/>
  <c r="K95" i="7"/>
  <c r="M95" i="7" s="1"/>
  <c r="K96" i="7"/>
  <c r="M96" i="7" s="1"/>
  <c r="K97" i="7"/>
  <c r="M97" i="7" s="1"/>
  <c r="K98" i="7"/>
  <c r="M98" i="7" s="1"/>
  <c r="K99" i="7"/>
  <c r="M99" i="7" s="1"/>
  <c r="K100" i="7"/>
  <c r="M100" i="7" s="1"/>
  <c r="K101" i="7"/>
  <c r="M101" i="7" s="1"/>
  <c r="K102" i="7"/>
  <c r="M102" i="7" s="1"/>
  <c r="K103" i="7"/>
  <c r="M103" i="7" s="1"/>
  <c r="K104" i="7"/>
  <c r="M104" i="7" s="1"/>
  <c r="K105" i="7"/>
  <c r="M105" i="7" s="1"/>
  <c r="K106" i="7"/>
  <c r="M106" i="7" s="1"/>
  <c r="K107" i="7"/>
  <c r="M107" i="7" s="1"/>
  <c r="K108" i="7"/>
  <c r="M108" i="7" s="1"/>
  <c r="K109" i="7"/>
  <c r="M109" i="7" s="1"/>
  <c r="K110" i="7"/>
  <c r="M110" i="7" s="1"/>
  <c r="K111" i="7"/>
  <c r="M111" i="7" s="1"/>
  <c r="K112" i="7"/>
  <c r="M112" i="7" s="1"/>
  <c r="K113" i="7"/>
  <c r="M113" i="7" s="1"/>
  <c r="K114" i="7"/>
  <c r="M114" i="7" s="1"/>
  <c r="K115" i="7"/>
  <c r="M115" i="7" s="1"/>
  <c r="K116" i="7"/>
  <c r="M116" i="7" s="1"/>
  <c r="K117" i="7"/>
  <c r="M117" i="7" s="1"/>
  <c r="K118" i="7"/>
  <c r="M118" i="7" s="1"/>
  <c r="K119" i="7"/>
  <c r="M119" i="7" s="1"/>
  <c r="K120" i="7"/>
  <c r="M120" i="7" s="1"/>
  <c r="K121" i="7"/>
  <c r="M121" i="7" s="1"/>
  <c r="K122" i="7"/>
  <c r="M122" i="7" s="1"/>
  <c r="K123" i="7"/>
  <c r="M123" i="7" s="1"/>
  <c r="K124" i="7"/>
  <c r="M124" i="7" s="1"/>
  <c r="K125" i="7"/>
  <c r="M125" i="7" s="1"/>
  <c r="K126" i="7"/>
  <c r="M126" i="7" s="1"/>
  <c r="K127" i="7"/>
  <c r="M127" i="7" s="1"/>
  <c r="K128" i="7"/>
  <c r="M128" i="7" s="1"/>
  <c r="K129" i="7"/>
  <c r="M129" i="7" s="1"/>
  <c r="K130" i="7"/>
  <c r="M130" i="7" s="1"/>
  <c r="K131" i="7"/>
  <c r="M131" i="7" s="1"/>
  <c r="K132" i="7"/>
  <c r="M132" i="7" s="1"/>
  <c r="K133" i="7"/>
  <c r="M133" i="7" s="1"/>
  <c r="K134" i="7"/>
  <c r="M134" i="7" s="1"/>
  <c r="K135" i="7"/>
  <c r="M135" i="7" s="1"/>
  <c r="K136" i="7"/>
  <c r="M136" i="7" s="1"/>
  <c r="K137" i="7"/>
  <c r="M137" i="7" s="1"/>
  <c r="K138" i="7"/>
  <c r="M138" i="7" s="1"/>
  <c r="K139" i="7"/>
  <c r="M139" i="7" s="1"/>
  <c r="K140" i="7"/>
  <c r="M140" i="7" s="1"/>
  <c r="K141" i="7"/>
  <c r="M141" i="7" s="1"/>
  <c r="K142" i="7"/>
  <c r="M142" i="7" s="1"/>
  <c r="K143" i="7"/>
  <c r="M143" i="7" s="1"/>
  <c r="K144" i="7"/>
  <c r="M144" i="7" s="1"/>
  <c r="K145" i="7"/>
  <c r="M145" i="7" s="1"/>
  <c r="K146" i="7"/>
  <c r="M146" i="7" s="1"/>
  <c r="K147" i="7"/>
  <c r="M147" i="7" s="1"/>
  <c r="K148" i="7"/>
  <c r="M148" i="7" s="1"/>
  <c r="K149" i="7"/>
  <c r="M149" i="7" s="1"/>
  <c r="K150" i="7"/>
  <c r="M150" i="7" s="1"/>
  <c r="K151" i="7"/>
  <c r="M151" i="7" s="1"/>
  <c r="K152" i="7"/>
  <c r="M152" i="7" s="1"/>
  <c r="K153" i="7"/>
  <c r="M153" i="7" s="1"/>
  <c r="K154" i="7"/>
  <c r="M154" i="7" s="1"/>
  <c r="K155" i="7"/>
  <c r="M155" i="7" s="1"/>
  <c r="K156" i="7"/>
  <c r="M156" i="7" s="1"/>
  <c r="K157" i="7"/>
  <c r="M157" i="7" s="1"/>
  <c r="K158" i="7"/>
  <c r="M158" i="7" s="1"/>
  <c r="K159" i="7"/>
  <c r="M159" i="7" s="1"/>
  <c r="K160" i="7"/>
  <c r="M160" i="7" s="1"/>
  <c r="K161" i="7"/>
  <c r="M161" i="7" s="1"/>
  <c r="K162" i="7"/>
  <c r="M162" i="7" s="1"/>
  <c r="K163" i="7"/>
  <c r="M163" i="7" s="1"/>
  <c r="K164" i="7"/>
  <c r="M164" i="7" s="1"/>
  <c r="K165" i="7"/>
  <c r="M165" i="7" s="1"/>
  <c r="K166" i="7"/>
  <c r="M166" i="7" s="1"/>
  <c r="K167" i="7"/>
  <c r="M167" i="7" s="1"/>
  <c r="K168" i="7"/>
  <c r="M168" i="7" s="1"/>
  <c r="K169" i="7"/>
  <c r="M169" i="7" s="1"/>
  <c r="K170" i="7"/>
  <c r="M170" i="7" s="1"/>
  <c r="K171" i="7"/>
  <c r="M171" i="7" s="1"/>
  <c r="K172" i="7"/>
  <c r="M172" i="7" s="1"/>
  <c r="K173" i="7"/>
  <c r="M173" i="7" s="1"/>
  <c r="K174" i="7"/>
  <c r="M174" i="7" s="1"/>
  <c r="K175" i="7"/>
  <c r="M175" i="7" s="1"/>
  <c r="K176" i="7"/>
  <c r="M176" i="7" s="1"/>
  <c r="K177" i="7"/>
  <c r="M177" i="7" s="1"/>
  <c r="K178" i="7"/>
  <c r="M178" i="7" s="1"/>
  <c r="K179" i="7"/>
  <c r="M179" i="7" s="1"/>
  <c r="K180" i="7"/>
  <c r="M180" i="7" s="1"/>
  <c r="K181" i="7"/>
  <c r="M181" i="7" s="1"/>
  <c r="K182" i="7"/>
  <c r="M182" i="7" s="1"/>
  <c r="K183" i="7"/>
  <c r="M183" i="7" s="1"/>
  <c r="K184" i="7"/>
  <c r="M184" i="7" s="1"/>
  <c r="K185" i="7"/>
  <c r="M185" i="7" s="1"/>
  <c r="K186" i="7"/>
  <c r="M186" i="7" s="1"/>
  <c r="K187" i="7"/>
  <c r="M187" i="7" s="1"/>
  <c r="K188" i="7"/>
  <c r="M188" i="7" s="1"/>
  <c r="K189" i="7"/>
  <c r="M189" i="7" s="1"/>
  <c r="K190" i="7"/>
  <c r="M190" i="7" s="1"/>
  <c r="K191" i="7"/>
  <c r="M191" i="7" s="1"/>
  <c r="K192" i="7"/>
  <c r="M192" i="7" s="1"/>
  <c r="K193" i="7"/>
  <c r="M193" i="7" s="1"/>
  <c r="K194" i="7"/>
  <c r="M194" i="7" s="1"/>
  <c r="K195" i="7"/>
  <c r="M195" i="7" s="1"/>
  <c r="K196" i="7"/>
  <c r="M196" i="7" s="1"/>
  <c r="K197" i="7"/>
  <c r="M197" i="7" s="1"/>
  <c r="K198" i="7"/>
  <c r="M198" i="7" s="1"/>
  <c r="K199" i="7"/>
  <c r="M199" i="7" s="1"/>
  <c r="K200" i="7"/>
  <c r="M200" i="7" s="1"/>
  <c r="K201" i="7"/>
  <c r="M201" i="7" s="1"/>
  <c r="K202" i="7"/>
  <c r="M202" i="7" s="1"/>
  <c r="K203" i="7"/>
  <c r="M203" i="7" s="1"/>
  <c r="K204" i="7"/>
  <c r="M204" i="7" s="1"/>
  <c r="K205" i="7"/>
  <c r="M205" i="7" s="1"/>
  <c r="K206" i="7"/>
  <c r="M206" i="7" s="1"/>
  <c r="K207" i="7"/>
  <c r="M207" i="7" s="1"/>
  <c r="K208" i="7"/>
  <c r="M208" i="7" s="1"/>
  <c r="K209" i="7"/>
  <c r="M209" i="7" s="1"/>
  <c r="K210" i="7"/>
  <c r="M210" i="7" s="1"/>
  <c r="K211" i="7"/>
  <c r="M211" i="7" s="1"/>
  <c r="K212" i="7"/>
  <c r="M212" i="7" s="1"/>
  <c r="K213" i="7"/>
  <c r="M213" i="7" s="1"/>
  <c r="K214" i="7"/>
  <c r="M214" i="7" s="1"/>
  <c r="K215" i="7"/>
  <c r="M215" i="7" s="1"/>
  <c r="K216" i="7"/>
  <c r="M216" i="7" s="1"/>
  <c r="K217" i="7"/>
  <c r="M217" i="7" s="1"/>
  <c r="K218" i="7"/>
  <c r="M218" i="7" s="1"/>
  <c r="K219" i="7"/>
  <c r="M219" i="7" s="1"/>
  <c r="K220" i="7"/>
  <c r="M220" i="7" s="1"/>
  <c r="K221" i="7"/>
  <c r="M221" i="7" s="1"/>
  <c r="K222" i="7"/>
  <c r="M222" i="7" s="1"/>
  <c r="K223" i="7"/>
  <c r="M223" i="7" s="1"/>
  <c r="K224" i="7"/>
  <c r="M224" i="7" s="1"/>
  <c r="K225" i="7"/>
  <c r="M225" i="7" s="1"/>
  <c r="K226" i="7"/>
  <c r="M226" i="7" s="1"/>
  <c r="K227" i="7"/>
  <c r="M227" i="7" s="1"/>
  <c r="K228" i="7"/>
  <c r="M228" i="7" s="1"/>
  <c r="K229" i="7"/>
  <c r="M229" i="7" s="1"/>
  <c r="K230" i="7"/>
  <c r="M230" i="7" s="1"/>
  <c r="K231" i="7"/>
  <c r="M231" i="7" s="1"/>
  <c r="K232" i="7"/>
  <c r="M232" i="7" s="1"/>
  <c r="K233" i="7"/>
  <c r="M233" i="7" s="1"/>
  <c r="K234" i="7"/>
  <c r="M234" i="7" s="1"/>
  <c r="K235" i="7"/>
  <c r="M235" i="7" s="1"/>
  <c r="K236" i="7"/>
  <c r="M236" i="7" s="1"/>
  <c r="K237" i="7"/>
  <c r="M237" i="7" s="1"/>
  <c r="K238" i="7"/>
  <c r="M238" i="7" s="1"/>
  <c r="K239" i="7"/>
  <c r="M239" i="7" s="1"/>
  <c r="K240" i="7"/>
  <c r="M240" i="7" s="1"/>
  <c r="K241" i="7"/>
  <c r="M241" i="7" s="1"/>
  <c r="K242" i="7"/>
  <c r="M242" i="7" s="1"/>
  <c r="K243" i="7"/>
  <c r="M243" i="7" s="1"/>
  <c r="K244" i="7"/>
  <c r="M244" i="7" s="1"/>
  <c r="K245" i="7"/>
  <c r="M245" i="7" s="1"/>
  <c r="K246" i="7"/>
  <c r="M246" i="7" s="1"/>
  <c r="K247" i="7"/>
  <c r="M247" i="7" s="1"/>
  <c r="K248" i="7"/>
  <c r="M248" i="7" s="1"/>
  <c r="K249" i="7"/>
  <c r="M249" i="7" s="1"/>
  <c r="K250" i="7"/>
  <c r="M250" i="7" s="1"/>
  <c r="K251" i="7"/>
  <c r="M251" i="7" s="1"/>
  <c r="K252" i="7"/>
  <c r="M252" i="7" s="1"/>
  <c r="K253" i="7"/>
  <c r="M253" i="7" s="1"/>
  <c r="K254" i="7"/>
  <c r="M254" i="7" s="1"/>
  <c r="K255" i="7"/>
  <c r="M255" i="7" s="1"/>
  <c r="K256" i="7"/>
  <c r="M256" i="7" s="1"/>
  <c r="K257" i="7"/>
  <c r="M257" i="7" s="1"/>
  <c r="K258" i="7"/>
  <c r="M258" i="7" s="1"/>
  <c r="K259" i="7"/>
  <c r="M259" i="7" s="1"/>
  <c r="K260" i="7"/>
  <c r="M260" i="7" s="1"/>
  <c r="K261" i="7"/>
  <c r="M261" i="7" s="1"/>
  <c r="K262" i="7"/>
  <c r="M262" i="7" s="1"/>
  <c r="K263" i="7"/>
  <c r="M263" i="7" s="1"/>
  <c r="K264" i="7"/>
  <c r="M264" i="7" s="1"/>
  <c r="K265" i="7"/>
  <c r="M265" i="7" s="1"/>
  <c r="K266" i="7"/>
  <c r="M266" i="7" s="1"/>
  <c r="K267" i="7"/>
  <c r="M267" i="7" s="1"/>
  <c r="K268" i="7"/>
  <c r="M268" i="7" s="1"/>
  <c r="K269" i="7"/>
  <c r="M269" i="7" s="1"/>
  <c r="K270" i="7"/>
  <c r="M270" i="7" s="1"/>
  <c r="K271" i="7"/>
  <c r="M271" i="7" s="1"/>
  <c r="K272" i="7"/>
  <c r="M272" i="7" s="1"/>
  <c r="K273" i="7"/>
  <c r="M273" i="7" s="1"/>
  <c r="K274" i="7"/>
  <c r="M274" i="7" s="1"/>
  <c r="K275" i="7"/>
  <c r="M275" i="7" s="1"/>
  <c r="K276" i="7"/>
  <c r="M276" i="7" s="1"/>
  <c r="K277" i="7"/>
  <c r="M277" i="7" s="1"/>
  <c r="K278" i="7"/>
  <c r="M278" i="7" s="1"/>
  <c r="K279" i="7"/>
  <c r="M279" i="7" s="1"/>
  <c r="K280" i="7"/>
  <c r="M280" i="7" s="1"/>
  <c r="K281" i="7"/>
  <c r="M281" i="7" s="1"/>
  <c r="K282" i="7"/>
  <c r="M282" i="7" s="1"/>
  <c r="K283" i="7"/>
  <c r="M283" i="7" s="1"/>
  <c r="K284" i="7"/>
  <c r="M284" i="7" s="1"/>
  <c r="K285" i="7"/>
  <c r="M285" i="7" s="1"/>
  <c r="K286" i="7"/>
  <c r="M286" i="7" s="1"/>
  <c r="K287" i="7"/>
  <c r="M287" i="7" s="1"/>
  <c r="K288" i="7"/>
  <c r="M288" i="7" s="1"/>
  <c r="K289" i="7"/>
  <c r="M289" i="7" s="1"/>
  <c r="K290" i="7"/>
  <c r="M290" i="7" s="1"/>
  <c r="K291" i="7"/>
  <c r="M291" i="7" s="1"/>
  <c r="K292" i="7"/>
  <c r="M292" i="7" s="1"/>
  <c r="K293" i="7"/>
  <c r="M293" i="7" s="1"/>
  <c r="K294" i="7"/>
  <c r="M294" i="7" s="1"/>
  <c r="K295" i="7"/>
  <c r="M295" i="7" s="1"/>
  <c r="K296" i="7"/>
  <c r="M296" i="7" s="1"/>
  <c r="K297" i="7"/>
  <c r="M297" i="7" s="1"/>
  <c r="K298" i="7"/>
  <c r="M298" i="7" s="1"/>
  <c r="K299" i="7"/>
  <c r="M299" i="7" s="1"/>
  <c r="K300" i="7"/>
  <c r="M300" i="7" s="1"/>
  <c r="K301" i="7"/>
  <c r="M301" i="7" s="1"/>
  <c r="K302" i="7"/>
  <c r="M302" i="7" s="1"/>
  <c r="K303" i="7"/>
  <c r="M303" i="7" s="1"/>
  <c r="K304" i="7"/>
  <c r="M304" i="7" s="1"/>
  <c r="K305" i="7"/>
  <c r="M305" i="7" s="1"/>
  <c r="K306" i="7"/>
  <c r="M306" i="7" s="1"/>
  <c r="K307" i="7"/>
  <c r="M307" i="7" s="1"/>
  <c r="K308" i="7"/>
  <c r="M308" i="7" s="1"/>
  <c r="K309" i="7"/>
  <c r="M309" i="7" s="1"/>
  <c r="K310" i="7"/>
  <c r="M310" i="7" s="1"/>
  <c r="K311" i="7"/>
  <c r="M311" i="7" s="1"/>
  <c r="K312" i="7"/>
  <c r="M312" i="7" s="1"/>
  <c r="K313" i="7"/>
  <c r="M313" i="7" s="1"/>
  <c r="K314" i="7"/>
  <c r="M314" i="7" s="1"/>
  <c r="K315" i="7"/>
  <c r="M315" i="7" s="1"/>
  <c r="K316" i="7"/>
  <c r="M316" i="7" s="1"/>
  <c r="K317" i="7"/>
  <c r="M317" i="7" s="1"/>
  <c r="K318" i="7"/>
  <c r="M318" i="7" s="1"/>
  <c r="K319" i="7"/>
  <c r="M319" i="7" s="1"/>
  <c r="K320" i="7"/>
  <c r="M320" i="7" s="1"/>
  <c r="K321" i="7"/>
  <c r="M321" i="7" s="1"/>
  <c r="K322" i="7"/>
  <c r="M322" i="7" s="1"/>
  <c r="K323" i="7"/>
  <c r="M323" i="7" s="1"/>
  <c r="X299" i="7" l="1"/>
  <c r="X83" i="7"/>
  <c r="X221" i="7" l="1"/>
  <c r="AD221" i="7" s="1"/>
  <c r="D263" i="17" s="1"/>
  <c r="C263" i="17" s="1"/>
  <c r="X314" i="7"/>
  <c r="X24" i="7"/>
  <c r="X35" i="7"/>
  <c r="X130" i="7"/>
  <c r="X131" i="7"/>
  <c r="X182" i="7"/>
  <c r="AD299" i="7"/>
  <c r="D53" i="17" s="1"/>
  <c r="C53" i="17" s="1"/>
  <c r="X301" i="7"/>
  <c r="X224" i="7"/>
  <c r="X218" i="7"/>
  <c r="X293" i="7"/>
  <c r="X294" i="7"/>
  <c r="X258" i="7"/>
  <c r="X259" i="7"/>
  <c r="X95" i="7"/>
  <c r="X153" i="7"/>
  <c r="X154" i="7"/>
  <c r="X146" i="7"/>
  <c r="X49" i="7"/>
  <c r="X151" i="7"/>
  <c r="X233" i="7"/>
  <c r="X234" i="7"/>
  <c r="X164" i="7"/>
  <c r="X177" i="7"/>
  <c r="X18" i="7"/>
  <c r="X19" i="7"/>
  <c r="X129" i="7"/>
  <c r="X296" i="7"/>
  <c r="X209" i="7"/>
  <c r="X122" i="7"/>
  <c r="X22" i="7"/>
  <c r="X253" i="7"/>
  <c r="X90" i="7"/>
  <c r="X184" i="7"/>
  <c r="X99" i="7"/>
  <c r="X123" i="7"/>
  <c r="X152" i="7"/>
  <c r="X16" i="7"/>
  <c r="AE16" i="7" s="1"/>
  <c r="X17" i="7"/>
  <c r="AE17" i="7" s="1"/>
  <c r="X305" i="7"/>
  <c r="X42" i="7"/>
  <c r="X46" i="7"/>
  <c r="X47" i="7"/>
  <c r="X317" i="7"/>
  <c r="X96" i="7"/>
  <c r="X187" i="7"/>
  <c r="X199" i="7"/>
  <c r="X256" i="7"/>
  <c r="X200" i="7"/>
  <c r="X251" i="7"/>
  <c r="X222" i="7"/>
  <c r="X243" i="7"/>
  <c r="X39" i="7"/>
  <c r="X210" i="7"/>
  <c r="X126" i="7"/>
  <c r="X88" i="7"/>
  <c r="X279" i="7"/>
  <c r="X120" i="7"/>
  <c r="X249" i="7"/>
  <c r="X310" i="7"/>
  <c r="X32" i="7"/>
  <c r="X41" i="7"/>
  <c r="X208" i="7"/>
  <c r="X223" i="7"/>
  <c r="X176" i="7"/>
  <c r="X33" i="7"/>
  <c r="X214" i="7"/>
  <c r="X226" i="7"/>
  <c r="X44" i="7"/>
  <c r="X97" i="7"/>
  <c r="X59" i="7"/>
  <c r="X89" i="7"/>
  <c r="X113" i="7"/>
  <c r="X183" i="7"/>
  <c r="X27" i="7"/>
  <c r="X28" i="7"/>
  <c r="X290" i="7"/>
  <c r="X163" i="7"/>
  <c r="X297" i="7"/>
  <c r="X220" i="7"/>
  <c r="X276" i="7"/>
  <c r="X277" i="7"/>
  <c r="X10" i="7"/>
  <c r="X78" i="7"/>
  <c r="X150" i="7"/>
  <c r="X45" i="7"/>
  <c r="X7" i="7"/>
  <c r="AE7" i="7" s="1"/>
  <c r="X118" i="7"/>
  <c r="X254" i="7"/>
  <c r="X77" i="7"/>
  <c r="X80" i="7"/>
  <c r="X94" i="7"/>
  <c r="X255" i="7"/>
  <c r="X139" i="7"/>
  <c r="X9" i="7"/>
  <c r="AE9" i="7" s="1"/>
  <c r="X31" i="7"/>
  <c r="X268" i="7"/>
  <c r="X295" i="7"/>
  <c r="X58" i="7"/>
  <c r="X128" i="7"/>
  <c r="X155" i="7"/>
  <c r="X156" i="7"/>
  <c r="X282" i="7"/>
  <c r="X180" i="7"/>
  <c r="X135" i="7"/>
  <c r="X225" i="7"/>
  <c r="X61" i="7"/>
  <c r="X173" i="7"/>
  <c r="X174" i="7"/>
  <c r="X175" i="7"/>
  <c r="X14" i="7"/>
  <c r="X84" i="7"/>
  <c r="X85" i="7"/>
  <c r="X86" i="7"/>
  <c r="X181" i="7"/>
  <c r="X188" i="7"/>
  <c r="X189" i="7"/>
  <c r="X51" i="7"/>
  <c r="X144" i="7"/>
  <c r="X124" i="7"/>
  <c r="X191" i="7"/>
  <c r="X212" i="7"/>
  <c r="X26" i="7"/>
  <c r="X76" i="7"/>
  <c r="X101" i="7"/>
  <c r="X102" i="7"/>
  <c r="X103" i="7"/>
  <c r="X104" i="7"/>
  <c r="X105" i="7"/>
  <c r="X106" i="7"/>
  <c r="X107" i="7"/>
  <c r="X108" i="7"/>
  <c r="X109" i="7"/>
  <c r="X110" i="7"/>
  <c r="X147" i="7"/>
  <c r="X252" i="7"/>
  <c r="X29" i="7"/>
  <c r="X192" i="7"/>
  <c r="X242" i="7"/>
  <c r="X165" i="7"/>
  <c r="X278" i="7"/>
  <c r="X6" i="7"/>
  <c r="X271" i="7"/>
  <c r="X239" i="7"/>
  <c r="X12" i="7"/>
  <c r="AE12" i="7" s="1"/>
  <c r="X121" i="7"/>
  <c r="X134" i="7"/>
  <c r="X169" i="7"/>
  <c r="X185" i="7"/>
  <c r="X250" i="7"/>
  <c r="X161" i="7"/>
  <c r="X193" i="7"/>
  <c r="X194" i="7"/>
  <c r="X87" i="7"/>
  <c r="X216" i="7"/>
  <c r="X186" i="7"/>
  <c r="X311" i="7"/>
  <c r="X315" i="7"/>
  <c r="X55" i="7"/>
  <c r="X261" i="7"/>
  <c r="X306" i="7"/>
  <c r="X307" i="7"/>
  <c r="X60" i="7"/>
  <c r="X232" i="7"/>
  <c r="X15" i="7"/>
  <c r="AD15" i="7" s="1"/>
  <c r="X198" i="7"/>
  <c r="X157" i="7"/>
  <c r="X70" i="7"/>
  <c r="X82" i="7"/>
  <c r="X230" i="7"/>
  <c r="X275" i="7"/>
  <c r="X316" i="7"/>
  <c r="X319" i="7"/>
  <c r="X320" i="7"/>
  <c r="X321" i="7"/>
  <c r="X322" i="7"/>
  <c r="AD322" i="7" s="1"/>
  <c r="X313" i="7"/>
  <c r="X34" i="7"/>
  <c r="X280" i="7"/>
  <c r="X62" i="7"/>
  <c r="X63" i="7"/>
  <c r="X98" i="7"/>
  <c r="X237" i="7"/>
  <c r="X238" i="7"/>
  <c r="X116" i="7"/>
  <c r="X40" i="7"/>
  <c r="X137" i="7"/>
  <c r="X148" i="7"/>
  <c r="X235" i="7"/>
  <c r="X196" i="7"/>
  <c r="X304" i="7"/>
  <c r="X190" i="7"/>
  <c r="X213" i="7"/>
  <c r="X11" i="7"/>
  <c r="AE11" i="7" s="1"/>
  <c r="X265" i="7"/>
  <c r="X202" i="7"/>
  <c r="X248" i="7"/>
  <c r="X13" i="7"/>
  <c r="AE13" i="7" s="1"/>
  <c r="X23" i="7"/>
  <c r="X323" i="7"/>
  <c r="AE323" i="7" s="1"/>
  <c r="X30" i="7"/>
  <c r="X201" i="7"/>
  <c r="X57" i="7"/>
  <c r="X73" i="7"/>
  <c r="X127" i="7"/>
  <c r="X4" i="7"/>
  <c r="AE4" i="7" s="1"/>
  <c r="X100" i="7"/>
  <c r="X162" i="7"/>
  <c r="X219" i="7"/>
  <c r="X231" i="7"/>
  <c r="X240" i="7"/>
  <c r="X270" i="7"/>
  <c r="X272" i="7"/>
  <c r="X142" i="7"/>
  <c r="X119" i="7"/>
  <c r="X168" i="7"/>
  <c r="X72" i="7"/>
  <c r="X75" i="7"/>
  <c r="X269" i="7"/>
  <c r="X74" i="7"/>
  <c r="X125" i="7"/>
  <c r="X204" i="7"/>
  <c r="X3" i="7"/>
  <c r="AD3" i="7" s="1"/>
  <c r="X93" i="7"/>
  <c r="X281" i="7"/>
  <c r="X291" i="7"/>
  <c r="X318" i="7"/>
  <c r="X36" i="7"/>
  <c r="X158" i="7"/>
  <c r="X160" i="7"/>
  <c r="X227" i="7"/>
  <c r="X211" i="7"/>
  <c r="X292" i="7"/>
  <c r="X25" i="7"/>
  <c r="X114" i="7"/>
  <c r="X20" i="7"/>
  <c r="X21" i="7"/>
  <c r="X266" i="7"/>
  <c r="X267" i="7"/>
  <c r="X145" i="7"/>
  <c r="X273" i="7"/>
  <c r="X195" i="7"/>
  <c r="X206" i="7"/>
  <c r="X236" i="7"/>
  <c r="X288" i="7"/>
  <c r="X289" i="7"/>
  <c r="X37" i="7"/>
  <c r="X38" i="7"/>
  <c r="X52" i="7"/>
  <c r="X53" i="7"/>
  <c r="Z53" i="7" s="1"/>
  <c r="X54" i="7"/>
  <c r="X138" i="7"/>
  <c r="AA138" i="7" s="1"/>
  <c r="D309" i="19" s="1"/>
  <c r="X205" i="7"/>
  <c r="AD205" i="7" s="1"/>
  <c r="D253" i="17" s="1"/>
  <c r="C253" i="17" s="1"/>
  <c r="X48" i="7"/>
  <c r="X117" i="7"/>
  <c r="X111" i="7"/>
  <c r="X166" i="7"/>
  <c r="X285" i="7"/>
  <c r="X286" i="7"/>
  <c r="X149" i="7"/>
  <c r="X197" i="7"/>
  <c r="X69" i="7"/>
  <c r="X241" i="7"/>
  <c r="X5" i="7"/>
  <c r="X65" i="7"/>
  <c r="X66" i="7"/>
  <c r="X67" i="7"/>
  <c r="X68" i="7"/>
  <c r="X71" i="7"/>
  <c r="X274" i="7"/>
  <c r="X115" i="7"/>
  <c r="X298" i="7"/>
  <c r="X300" i="7"/>
  <c r="X302" i="7"/>
  <c r="X303" i="7"/>
  <c r="X159" i="7"/>
  <c r="AE159" i="7" s="1"/>
  <c r="D161" i="13" s="1"/>
  <c r="X43" i="7"/>
  <c r="X56" i="7"/>
  <c r="X112" i="7"/>
  <c r="X170" i="7"/>
  <c r="X172" i="7"/>
  <c r="X132" i="7"/>
  <c r="X133" i="7"/>
  <c r="X287" i="7"/>
  <c r="X64" i="7"/>
  <c r="X81" i="7"/>
  <c r="X257" i="7"/>
  <c r="X262" i="7"/>
  <c r="X283" i="7"/>
  <c r="X284" i="7"/>
  <c r="X79" i="7"/>
  <c r="X140" i="7"/>
  <c r="X141" i="7"/>
  <c r="X203" i="7"/>
  <c r="X207" i="7"/>
  <c r="X263" i="7"/>
  <c r="X264" i="7"/>
  <c r="X8" i="7"/>
  <c r="AE8" i="7" s="1"/>
  <c r="X171" i="7"/>
  <c r="X178" i="7"/>
  <c r="X179" i="7"/>
  <c r="X228" i="7"/>
  <c r="X229" i="7"/>
  <c r="X245" i="7"/>
  <c r="X246" i="7"/>
  <c r="X247" i="7"/>
  <c r="X260" i="7"/>
  <c r="X244" i="7"/>
  <c r="X217" i="7"/>
  <c r="X312" i="7"/>
  <c r="X50" i="7"/>
  <c r="X91" i="7"/>
  <c r="X92" i="7"/>
  <c r="X136" i="7"/>
  <c r="X143" i="7"/>
  <c r="X167" i="7"/>
  <c r="X308" i="7"/>
  <c r="X309" i="7"/>
  <c r="X215" i="7"/>
  <c r="AE215" i="7" s="1"/>
  <c r="D216" i="13" s="1"/>
  <c r="AE29" i="7"/>
  <c r="AE39" i="7"/>
  <c r="AE63" i="7"/>
  <c r="AD83" i="7"/>
  <c r="D186" i="17" s="1"/>
  <c r="C186" i="17" s="1"/>
  <c r="AE101" i="7"/>
  <c r="AD105" i="7"/>
  <c r="AE135" i="7"/>
  <c r="AD150" i="7"/>
  <c r="AA151" i="7"/>
  <c r="AA154" i="7"/>
  <c r="AE155" i="7"/>
  <c r="AE209" i="7"/>
  <c r="AE224" i="7"/>
  <c r="AD233" i="7"/>
  <c r="AE241" i="7"/>
  <c r="AE255" i="7"/>
  <c r="AD258" i="7"/>
  <c r="AD268" i="7"/>
  <c r="AD269" i="7"/>
  <c r="AD290" i="7"/>
  <c r="AD296" i="7"/>
  <c r="AD314" i="7"/>
  <c r="AD318" i="7"/>
  <c r="AD308" i="7" l="1"/>
  <c r="D30" i="19"/>
  <c r="D42" i="13"/>
  <c r="AE92" i="7"/>
  <c r="D103" i="13"/>
  <c r="AE167" i="7"/>
  <c r="AE91" i="7"/>
  <c r="AE263" i="7"/>
  <c r="AE140" i="7"/>
  <c r="D323" i="17"/>
  <c r="C323" i="17" s="1"/>
  <c r="D306" i="17"/>
  <c r="C306" i="17" s="1"/>
  <c r="D256" i="13"/>
  <c r="D211" i="13"/>
  <c r="D61" i="17"/>
  <c r="AE143" i="7"/>
  <c r="AD260" i="7"/>
  <c r="AE229" i="7"/>
  <c r="AE171" i="7"/>
  <c r="AE207" i="7"/>
  <c r="AE79" i="7"/>
  <c r="AE257" i="7"/>
  <c r="AE133" i="7"/>
  <c r="AE112" i="7"/>
  <c r="Z303" i="7"/>
  <c r="AD115" i="7"/>
  <c r="AD67" i="7"/>
  <c r="AD286" i="7"/>
  <c r="AE117" i="7"/>
  <c r="AE37" i="7"/>
  <c r="AD206" i="7"/>
  <c r="AE267" i="7"/>
  <c r="AD227" i="7"/>
  <c r="D138" i="17"/>
  <c r="C138" i="17" s="1"/>
  <c r="AE119" i="7"/>
  <c r="AE240" i="7"/>
  <c r="AE100" i="7"/>
  <c r="AE57" i="7"/>
  <c r="AE23" i="7"/>
  <c r="AD265" i="7"/>
  <c r="AD304" i="7"/>
  <c r="AD137" i="7"/>
  <c r="AD237" i="7"/>
  <c r="AD280" i="7"/>
  <c r="AE321" i="7"/>
  <c r="AE275" i="7"/>
  <c r="AD157" i="7"/>
  <c r="AE60" i="7"/>
  <c r="AE55" i="7"/>
  <c r="AD216" i="7"/>
  <c r="AD161" i="7"/>
  <c r="AE271" i="7"/>
  <c r="AD242" i="7"/>
  <c r="AD147" i="7"/>
  <c r="AE107" i="7"/>
  <c r="AE103" i="7"/>
  <c r="AE144" i="7"/>
  <c r="AE181" i="7"/>
  <c r="AE61" i="7"/>
  <c r="AA282" i="7"/>
  <c r="D12" i="13"/>
  <c r="AE80" i="7"/>
  <c r="D10" i="13"/>
  <c r="AD297" i="7"/>
  <c r="AE27" i="7"/>
  <c r="AE59" i="7"/>
  <c r="AD214" i="7"/>
  <c r="AE208" i="7"/>
  <c r="AD249" i="7"/>
  <c r="AD222" i="7"/>
  <c r="AE199" i="7"/>
  <c r="AE47" i="7"/>
  <c r="D20" i="13"/>
  <c r="AD99" i="7"/>
  <c r="AD129" i="7"/>
  <c r="AE164" i="7"/>
  <c r="AE49" i="7"/>
  <c r="AA95" i="7"/>
  <c r="AD293" i="7"/>
  <c r="AD35" i="7"/>
  <c r="D129" i="17"/>
  <c r="AD217" i="7"/>
  <c r="D32" i="13"/>
  <c r="AD244" i="7"/>
  <c r="D321" i="17"/>
  <c r="C321" i="17" s="1"/>
  <c r="D295" i="17"/>
  <c r="D242" i="13"/>
  <c r="D157" i="13"/>
  <c r="D137" i="13"/>
  <c r="D66" i="13"/>
  <c r="AD309" i="7"/>
  <c r="AE136" i="7"/>
  <c r="AD312" i="7"/>
  <c r="AE247" i="7"/>
  <c r="AD228" i="7"/>
  <c r="D11" i="13"/>
  <c r="AE203" i="7"/>
  <c r="AD284" i="7"/>
  <c r="AE81" i="7"/>
  <c r="AE132" i="7"/>
  <c r="AE56" i="7"/>
  <c r="AD302" i="7"/>
  <c r="AD274" i="7"/>
  <c r="AE69" i="7"/>
  <c r="AD285" i="7"/>
  <c r="AE48" i="7"/>
  <c r="AE289" i="7"/>
  <c r="AD195" i="7"/>
  <c r="AA266" i="7"/>
  <c r="AE25" i="7"/>
  <c r="Z160" i="7"/>
  <c r="AE291" i="7"/>
  <c r="AE204" i="7"/>
  <c r="AE75" i="7"/>
  <c r="AD142" i="7"/>
  <c r="AE231" i="7"/>
  <c r="D7" i="13"/>
  <c r="AD201" i="7"/>
  <c r="D16" i="13"/>
  <c r="D14" i="13"/>
  <c r="AE196" i="7"/>
  <c r="AE40" i="7"/>
  <c r="AD320" i="7"/>
  <c r="Z230" i="7"/>
  <c r="AD198" i="7"/>
  <c r="AE307" i="7"/>
  <c r="AD315" i="7"/>
  <c r="AA87" i="7"/>
  <c r="AA250" i="7"/>
  <c r="AD121" i="7"/>
  <c r="Z192" i="7"/>
  <c r="AD212" i="7"/>
  <c r="AD51" i="7"/>
  <c r="AE175" i="7"/>
  <c r="AD225" i="7"/>
  <c r="AE156" i="7"/>
  <c r="AE295" i="7"/>
  <c r="AE139" i="7"/>
  <c r="AE77" i="7"/>
  <c r="AE45" i="7"/>
  <c r="AE277" i="7"/>
  <c r="AD163" i="7"/>
  <c r="AE183" i="7"/>
  <c r="AD97" i="7"/>
  <c r="AE33" i="7"/>
  <c r="AE41" i="7"/>
  <c r="AE120" i="7"/>
  <c r="AD210" i="7"/>
  <c r="AE251" i="7"/>
  <c r="AE187" i="7"/>
  <c r="D19" i="13"/>
  <c r="AE184" i="7"/>
  <c r="AD19" i="7"/>
  <c r="AA234" i="7"/>
  <c r="AD146" i="7"/>
  <c r="AE259" i="7"/>
  <c r="AA218" i="7"/>
  <c r="AD182" i="7"/>
  <c r="AE24" i="7"/>
  <c r="D122" i="17"/>
  <c r="D9" i="17"/>
  <c r="C9" i="17" s="1"/>
  <c r="Z246" i="7"/>
  <c r="AD179" i="7"/>
  <c r="AD264" i="7"/>
  <c r="AD141" i="7"/>
  <c r="AA283" i="7"/>
  <c r="AE64" i="7"/>
  <c r="AE172" i="7"/>
  <c r="AE43" i="7"/>
  <c r="AD300" i="7"/>
  <c r="AE71" i="7"/>
  <c r="AE65" i="7"/>
  <c r="AE197" i="7"/>
  <c r="Z166" i="7"/>
  <c r="AD288" i="7"/>
  <c r="AE273" i="7"/>
  <c r="AE21" i="7"/>
  <c r="AD292" i="7"/>
  <c r="AD158" i="7"/>
  <c r="AD281" i="7"/>
  <c r="AD125" i="7"/>
  <c r="AE72" i="7"/>
  <c r="AE272" i="7"/>
  <c r="AE219" i="7"/>
  <c r="AE127" i="7"/>
  <c r="AD248" i="7"/>
  <c r="AE213" i="7"/>
  <c r="AA235" i="7"/>
  <c r="AE116" i="7"/>
  <c r="AD313" i="7"/>
  <c r="Z319" i="7"/>
  <c r="D146" i="17"/>
  <c r="AD306" i="7"/>
  <c r="AE311" i="7"/>
  <c r="Z194" i="7"/>
  <c r="AD185" i="7"/>
  <c r="D15" i="13"/>
  <c r="Z278" i="7"/>
  <c r="AE109" i="7"/>
  <c r="AE191" i="7"/>
  <c r="AD189" i="7"/>
  <c r="AE85" i="7"/>
  <c r="AD174" i="7"/>
  <c r="AD254" i="7"/>
  <c r="AD276" i="7"/>
  <c r="AD113" i="7"/>
  <c r="AE44" i="7"/>
  <c r="AE176" i="7"/>
  <c r="AE279" i="7"/>
  <c r="AE200" i="7"/>
  <c r="AE152" i="7"/>
  <c r="AD131" i="7"/>
  <c r="D136" i="17"/>
  <c r="D286" i="17"/>
  <c r="C286" i="17" s="1"/>
  <c r="D225" i="13"/>
  <c r="D56" i="19"/>
  <c r="AE245" i="7"/>
  <c r="AD178" i="7"/>
  <c r="Z262" i="7"/>
  <c r="Z287" i="7"/>
  <c r="AA170" i="7"/>
  <c r="AD298" i="7"/>
  <c r="AE68" i="7"/>
  <c r="AE149" i="7"/>
  <c r="AE111" i="7"/>
  <c r="AD236" i="7"/>
  <c r="AE145" i="7"/>
  <c r="AE20" i="7"/>
  <c r="AD211" i="7"/>
  <c r="AE36" i="7"/>
  <c r="AD93" i="7"/>
  <c r="AE168" i="7"/>
  <c r="AD270" i="7"/>
  <c r="AD162" i="7"/>
  <c r="AE73" i="7"/>
  <c r="D324" i="13"/>
  <c r="Z202" i="7"/>
  <c r="AD190" i="7"/>
  <c r="AE148" i="7"/>
  <c r="AD238" i="7"/>
  <c r="D324" i="17"/>
  <c r="C324" i="17" s="1"/>
  <c r="AD316" i="7"/>
  <c r="AD232" i="7"/>
  <c r="AE261" i="7"/>
  <c r="AA186" i="7"/>
  <c r="AD193" i="7"/>
  <c r="AD169" i="7"/>
  <c r="AE239" i="7"/>
  <c r="AE165" i="7"/>
  <c r="AD252" i="7"/>
  <c r="AE108" i="7"/>
  <c r="AE104" i="7"/>
  <c r="AE76" i="7"/>
  <c r="AE124" i="7"/>
  <c r="AE188" i="7"/>
  <c r="AE84" i="7"/>
  <c r="AE173" i="7"/>
  <c r="AE180" i="7"/>
  <c r="AA31" i="7"/>
  <c r="AD220" i="7"/>
  <c r="AE28" i="7"/>
  <c r="AE89" i="7"/>
  <c r="AD226" i="7"/>
  <c r="AA223" i="7"/>
  <c r="Z310" i="7"/>
  <c r="AE88" i="7"/>
  <c r="AE243" i="7"/>
  <c r="AE256" i="7"/>
  <c r="AD317" i="7"/>
  <c r="AE305" i="7"/>
  <c r="AE123" i="7"/>
  <c r="AD253" i="7"/>
  <c r="AD177" i="7"/>
  <c r="AD153" i="7"/>
  <c r="Z294" i="7"/>
  <c r="AD301" i="7"/>
  <c r="AE5" i="7"/>
  <c r="Z5" i="7"/>
  <c r="AA53" i="7"/>
  <c r="D164" i="19" s="1"/>
  <c r="AE322" i="7"/>
  <c r="AE318" i="7"/>
  <c r="AE314" i="7"/>
  <c r="AE310" i="7"/>
  <c r="AE306" i="7"/>
  <c r="AE302" i="7"/>
  <c r="AE298" i="7"/>
  <c r="AE294" i="7"/>
  <c r="AE290" i="7"/>
  <c r="AE286" i="7"/>
  <c r="AE282" i="7"/>
  <c r="AE278" i="7"/>
  <c r="AE274" i="7"/>
  <c r="AE270" i="7"/>
  <c r="AE266" i="7"/>
  <c r="AE262" i="7"/>
  <c r="AE258" i="7"/>
  <c r="AE254" i="7"/>
  <c r="AE250" i="7"/>
  <c r="AE246" i="7"/>
  <c r="AE242" i="7"/>
  <c r="AE238" i="7"/>
  <c r="AE234" i="7"/>
  <c r="AE230" i="7"/>
  <c r="AE226" i="7"/>
  <c r="AE222" i="7"/>
  <c r="AE218" i="7"/>
  <c r="AE214" i="7"/>
  <c r="AE210" i="7"/>
  <c r="AE206" i="7"/>
  <c r="AE202" i="7"/>
  <c r="AE198" i="7"/>
  <c r="AE194" i="7"/>
  <c r="AE190" i="7"/>
  <c r="AE186" i="7"/>
  <c r="AE182" i="7"/>
  <c r="AE178" i="7"/>
  <c r="AE174" i="7"/>
  <c r="AE170" i="7"/>
  <c r="AE166" i="7"/>
  <c r="AE162" i="7"/>
  <c r="AE158" i="7"/>
  <c r="AE154" i="7"/>
  <c r="AE150" i="7"/>
  <c r="AE146" i="7"/>
  <c r="AE142" i="7"/>
  <c r="AE138" i="7"/>
  <c r="D140" i="13" s="1"/>
  <c r="AE125" i="7"/>
  <c r="AE93" i="7"/>
  <c r="AD134" i="7"/>
  <c r="AE134" i="7"/>
  <c r="Z130" i="7"/>
  <c r="AE130" i="7"/>
  <c r="AD126" i="7"/>
  <c r="AE126" i="7"/>
  <c r="AA122" i="7"/>
  <c r="AE122" i="7"/>
  <c r="AD118" i="7"/>
  <c r="AE118" i="7"/>
  <c r="AD114" i="7"/>
  <c r="AE114" i="7"/>
  <c r="AD110" i="7"/>
  <c r="AE110" i="7"/>
  <c r="AA106" i="7"/>
  <c r="AE106" i="7"/>
  <c r="Z102" i="7"/>
  <c r="AE102" i="7"/>
  <c r="AD98" i="7"/>
  <c r="AE98" i="7"/>
  <c r="AD94" i="7"/>
  <c r="AE94" i="7"/>
  <c r="AA90" i="7"/>
  <c r="AE90" i="7"/>
  <c r="AD86" i="7"/>
  <c r="AE86" i="7"/>
  <c r="AD82" i="7"/>
  <c r="AE82" i="7"/>
  <c r="AD78" i="7"/>
  <c r="AE78" i="7"/>
  <c r="AA74" i="7"/>
  <c r="AE74" i="7"/>
  <c r="AD70" i="7"/>
  <c r="AE70" i="7"/>
  <c r="Z66" i="7"/>
  <c r="AE66" i="7"/>
  <c r="AD62" i="7"/>
  <c r="AE62" i="7"/>
  <c r="AA58" i="7"/>
  <c r="AE58" i="7"/>
  <c r="AD54" i="7"/>
  <c r="D91" i="17" s="1"/>
  <c r="C91" i="17" s="1"/>
  <c r="AE54" i="7"/>
  <c r="D57" i="13" s="1"/>
  <c r="AD50" i="7"/>
  <c r="AE50" i="7"/>
  <c r="AD46" i="7"/>
  <c r="AE46" i="7"/>
  <c r="AA42" i="7"/>
  <c r="AE42" i="7"/>
  <c r="Z38" i="7"/>
  <c r="AE38" i="7"/>
  <c r="AD34" i="7"/>
  <c r="AE34" i="7"/>
  <c r="AD30" i="7"/>
  <c r="AE30" i="7"/>
  <c r="AA26" i="7"/>
  <c r="AE26" i="7"/>
  <c r="AD22" i="7"/>
  <c r="AE22" i="7"/>
  <c r="AD18" i="7"/>
  <c r="AE18" i="7"/>
  <c r="AD14" i="7"/>
  <c r="AE14" i="7"/>
  <c r="AA10" i="7"/>
  <c r="AE10" i="7"/>
  <c r="Z6" i="7"/>
  <c r="AE6" i="7"/>
  <c r="AA17" i="7"/>
  <c r="AE317" i="7"/>
  <c r="AE313" i="7"/>
  <c r="AE309" i="7"/>
  <c r="AE301" i="7"/>
  <c r="AE297" i="7"/>
  <c r="AE293" i="7"/>
  <c r="AE285" i="7"/>
  <c r="AE281" i="7"/>
  <c r="AE269" i="7"/>
  <c r="AE265" i="7"/>
  <c r="AE253" i="7"/>
  <c r="AE249" i="7"/>
  <c r="AE237" i="7"/>
  <c r="AE233" i="7"/>
  <c r="AE225" i="7"/>
  <c r="AE221" i="7"/>
  <c r="D222" i="13" s="1"/>
  <c r="AE217" i="7"/>
  <c r="AE205" i="7"/>
  <c r="D207" i="13" s="1"/>
  <c r="AE201" i="7"/>
  <c r="AE193" i="7"/>
  <c r="AE189" i="7"/>
  <c r="AE185" i="7"/>
  <c r="AE177" i="7"/>
  <c r="AE169" i="7"/>
  <c r="AE161" i="7"/>
  <c r="AE157" i="7"/>
  <c r="AE153" i="7"/>
  <c r="AE141" i="7"/>
  <c r="AE137" i="7"/>
  <c r="AE131" i="7"/>
  <c r="AE115" i="7"/>
  <c r="AE99" i="7"/>
  <c r="AE83" i="7"/>
  <c r="D86" i="13" s="1"/>
  <c r="AE67" i="7"/>
  <c r="AD53" i="7"/>
  <c r="D170" i="17" s="1"/>
  <c r="C170" i="17" s="1"/>
  <c r="AE53" i="7"/>
  <c r="D56" i="13" s="1"/>
  <c r="Z37" i="7"/>
  <c r="AA3" i="7"/>
  <c r="AE320" i="7"/>
  <c r="AE316" i="7"/>
  <c r="AE312" i="7"/>
  <c r="AE308" i="7"/>
  <c r="AE304" i="7"/>
  <c r="AE300" i="7"/>
  <c r="AE296" i="7"/>
  <c r="AE292" i="7"/>
  <c r="AE288" i="7"/>
  <c r="AE284" i="7"/>
  <c r="AE280" i="7"/>
  <c r="AE276" i="7"/>
  <c r="AE268" i="7"/>
  <c r="AE264" i="7"/>
  <c r="AE260" i="7"/>
  <c r="AE252" i="7"/>
  <c r="AE248" i="7"/>
  <c r="AE244" i="7"/>
  <c r="AE236" i="7"/>
  <c r="AE232" i="7"/>
  <c r="AE228" i="7"/>
  <c r="AE220" i="7"/>
  <c r="AE216" i="7"/>
  <c r="AE212" i="7"/>
  <c r="AE192" i="7"/>
  <c r="AE160" i="7"/>
  <c r="AE129" i="7"/>
  <c r="AE121" i="7"/>
  <c r="AE113" i="7"/>
  <c r="AE105" i="7"/>
  <c r="AE97" i="7"/>
  <c r="AE51" i="7"/>
  <c r="AE35" i="7"/>
  <c r="AE19" i="7"/>
  <c r="AE3" i="7"/>
  <c r="Z128" i="7"/>
  <c r="AE128" i="7"/>
  <c r="Z96" i="7"/>
  <c r="AE96" i="7"/>
  <c r="Z52" i="7"/>
  <c r="AE52" i="7"/>
  <c r="D55" i="13" s="1"/>
  <c r="Z32" i="7"/>
  <c r="AE32" i="7"/>
  <c r="Z21" i="7"/>
  <c r="AE319" i="7"/>
  <c r="AE315" i="7"/>
  <c r="AE303" i="7"/>
  <c r="AE299" i="7"/>
  <c r="D300" i="13" s="1"/>
  <c r="AE287" i="7"/>
  <c r="AE283" i="7"/>
  <c r="AE235" i="7"/>
  <c r="AE227" i="7"/>
  <c r="AE223" i="7"/>
  <c r="AE211" i="7"/>
  <c r="AE195" i="7"/>
  <c r="AE179" i="7"/>
  <c r="AE163" i="7"/>
  <c r="AE151" i="7"/>
  <c r="AE147" i="7"/>
  <c r="AE95" i="7"/>
  <c r="AE87" i="7"/>
  <c r="AE31" i="7"/>
  <c r="AE15" i="7"/>
  <c r="Z305" i="7"/>
  <c r="AD305" i="7"/>
  <c r="Z289" i="7"/>
  <c r="AD289" i="7"/>
  <c r="AA277" i="7"/>
  <c r="AD277" i="7"/>
  <c r="Z273" i="7"/>
  <c r="AD273" i="7"/>
  <c r="AA261" i="7"/>
  <c r="AD261" i="7"/>
  <c r="Z257" i="7"/>
  <c r="AD257" i="7"/>
  <c r="AA245" i="7"/>
  <c r="AD245" i="7"/>
  <c r="Z241" i="7"/>
  <c r="AD241" i="7"/>
  <c r="AA229" i="7"/>
  <c r="AD229" i="7"/>
  <c r="AA213" i="7"/>
  <c r="AD213" i="7"/>
  <c r="Z209" i="7"/>
  <c r="AD209" i="7"/>
  <c r="AA197" i="7"/>
  <c r="AD197" i="7"/>
  <c r="AA181" i="7"/>
  <c r="AD181" i="7"/>
  <c r="Z173" i="7"/>
  <c r="AD173" i="7"/>
  <c r="AA165" i="7"/>
  <c r="AD165" i="7"/>
  <c r="AA149" i="7"/>
  <c r="AD149" i="7"/>
  <c r="Z145" i="7"/>
  <c r="AD145" i="7"/>
  <c r="AA133" i="7"/>
  <c r="AD133" i="7"/>
  <c r="Z117" i="7"/>
  <c r="AA117" i="7"/>
  <c r="AD117" i="7"/>
  <c r="Z109" i="7"/>
  <c r="AD109" i="7"/>
  <c r="AA101" i="7"/>
  <c r="AD101" i="7"/>
  <c r="AA89" i="7"/>
  <c r="AD89" i="7"/>
  <c r="AA85" i="7"/>
  <c r="AD85" i="7"/>
  <c r="Z81" i="7"/>
  <c r="AD81" i="7"/>
  <c r="AA77" i="7"/>
  <c r="AD77" i="7"/>
  <c r="AA73" i="7"/>
  <c r="AD73" i="7"/>
  <c r="AA69" i="7"/>
  <c r="AD69" i="7"/>
  <c r="Z65" i="7"/>
  <c r="AD65" i="7"/>
  <c r="AA61" i="7"/>
  <c r="AD61" i="7"/>
  <c r="AA57" i="7"/>
  <c r="AD57" i="7"/>
  <c r="Z49" i="7"/>
  <c r="AD49" i="7"/>
  <c r="Z45" i="7"/>
  <c r="AD45" i="7"/>
  <c r="AA41" i="7"/>
  <c r="AD41" i="7"/>
  <c r="AA37" i="7"/>
  <c r="AD37" i="7"/>
  <c r="AA33" i="7"/>
  <c r="AD33" i="7"/>
  <c r="Z29" i="7"/>
  <c r="AD29" i="7"/>
  <c r="AA25" i="7"/>
  <c r="AD25" i="7"/>
  <c r="AA21" i="7"/>
  <c r="AD21" i="7"/>
  <c r="Z17" i="7"/>
  <c r="AD17" i="7"/>
  <c r="Z13" i="7"/>
  <c r="AD13" i="7"/>
  <c r="AA9" i="7"/>
  <c r="AD9" i="7"/>
  <c r="AA5" i="7"/>
  <c r="AD5" i="7"/>
  <c r="Z69" i="7"/>
  <c r="AA173" i="7"/>
  <c r="AA45" i="7"/>
  <c r="AD194" i="7"/>
  <c r="AD130" i="7"/>
  <c r="AD66" i="7"/>
  <c r="Z321" i="7"/>
  <c r="AD321" i="7"/>
  <c r="AA272" i="7"/>
  <c r="AD272" i="7"/>
  <c r="AA256" i="7"/>
  <c r="AD256" i="7"/>
  <c r="AA240" i="7"/>
  <c r="AD240" i="7"/>
  <c r="AA224" i="7"/>
  <c r="AD224" i="7"/>
  <c r="AA208" i="7"/>
  <c r="AD208" i="7"/>
  <c r="AA204" i="7"/>
  <c r="AD204" i="7"/>
  <c r="AA200" i="7"/>
  <c r="AD200" i="7"/>
  <c r="AA196" i="7"/>
  <c r="AD196" i="7"/>
  <c r="AA192" i="7"/>
  <c r="AD192" i="7"/>
  <c r="AA188" i="7"/>
  <c r="AD188" i="7"/>
  <c r="AA184" i="7"/>
  <c r="AD184" i="7"/>
  <c r="AA180" i="7"/>
  <c r="AD180" i="7"/>
  <c r="AA176" i="7"/>
  <c r="AD176" i="7"/>
  <c r="AA172" i="7"/>
  <c r="AD172" i="7"/>
  <c r="AA168" i="7"/>
  <c r="AD168" i="7"/>
  <c r="AA164" i="7"/>
  <c r="AD164" i="7"/>
  <c r="AA160" i="7"/>
  <c r="AD160" i="7"/>
  <c r="AA156" i="7"/>
  <c r="AD156" i="7"/>
  <c r="AA152" i="7"/>
  <c r="AD152" i="7"/>
  <c r="AA148" i="7"/>
  <c r="AD148" i="7"/>
  <c r="AA144" i="7"/>
  <c r="AD144" i="7"/>
  <c r="AA140" i="7"/>
  <c r="AD140" i="7"/>
  <c r="AA136" i="7"/>
  <c r="AD136" i="7"/>
  <c r="AA132" i="7"/>
  <c r="AD132" i="7"/>
  <c r="AA128" i="7"/>
  <c r="AD128" i="7"/>
  <c r="AA124" i="7"/>
  <c r="AD124" i="7"/>
  <c r="AA120" i="7"/>
  <c r="AD120" i="7"/>
  <c r="AA116" i="7"/>
  <c r="AD116" i="7"/>
  <c r="AA112" i="7"/>
  <c r="AD112" i="7"/>
  <c r="AA108" i="7"/>
  <c r="AD108" i="7"/>
  <c r="AA104" i="7"/>
  <c r="AD104" i="7"/>
  <c r="AA100" i="7"/>
  <c r="AD100" i="7"/>
  <c r="AA96" i="7"/>
  <c r="AD96" i="7"/>
  <c r="AA92" i="7"/>
  <c r="AD92" i="7"/>
  <c r="AA88" i="7"/>
  <c r="AD88" i="7"/>
  <c r="AA84" i="7"/>
  <c r="AD84" i="7"/>
  <c r="AA80" i="7"/>
  <c r="AD80" i="7"/>
  <c r="AA76" i="7"/>
  <c r="AD76" i="7"/>
  <c r="AA72" i="7"/>
  <c r="AD72" i="7"/>
  <c r="AA68" i="7"/>
  <c r="AD68" i="7"/>
  <c r="AA64" i="7"/>
  <c r="AD64" i="7"/>
  <c r="AA60" i="7"/>
  <c r="AD60" i="7"/>
  <c r="AA56" i="7"/>
  <c r="AD56" i="7"/>
  <c r="AA52" i="7"/>
  <c r="D307" i="19" s="1"/>
  <c r="AD52" i="7"/>
  <c r="D90" i="17" s="1"/>
  <c r="C90" i="17" s="1"/>
  <c r="AA48" i="7"/>
  <c r="AD48" i="7"/>
  <c r="AA44" i="7"/>
  <c r="AD44" i="7"/>
  <c r="AA40" i="7"/>
  <c r="AD40" i="7"/>
  <c r="AA36" i="7"/>
  <c r="AD36" i="7"/>
  <c r="AA32" i="7"/>
  <c r="AD32" i="7"/>
  <c r="AA28" i="7"/>
  <c r="AD28" i="7"/>
  <c r="AA24" i="7"/>
  <c r="AD24" i="7"/>
  <c r="AA20" i="7"/>
  <c r="AD20" i="7"/>
  <c r="AA16" i="7"/>
  <c r="AD16" i="7"/>
  <c r="AA12" i="7"/>
  <c r="AD12" i="7"/>
  <c r="AA8" i="7"/>
  <c r="AD8" i="7"/>
  <c r="AA4" i="7"/>
  <c r="AD4" i="7"/>
  <c r="Z315" i="7"/>
  <c r="Z299" i="7"/>
  <c r="Z272" i="7"/>
  <c r="Z180" i="7"/>
  <c r="Z148" i="7"/>
  <c r="Z116" i="7"/>
  <c r="Z85" i="7"/>
  <c r="Z68" i="7"/>
  <c r="Z48" i="7"/>
  <c r="Z4" i="7"/>
  <c r="AA273" i="7"/>
  <c r="AA323" i="7"/>
  <c r="AD323" i="7"/>
  <c r="AA319" i="7"/>
  <c r="AD319" i="7"/>
  <c r="AA311" i="7"/>
  <c r="AD311" i="7"/>
  <c r="AA307" i="7"/>
  <c r="AD307" i="7"/>
  <c r="AA303" i="7"/>
  <c r="AD303" i="7"/>
  <c r="AA295" i="7"/>
  <c r="AD295" i="7"/>
  <c r="AA291" i="7"/>
  <c r="AD291" i="7"/>
  <c r="AA287" i="7"/>
  <c r="AD287" i="7"/>
  <c r="Z283" i="7"/>
  <c r="AD283" i="7"/>
  <c r="Z279" i="7"/>
  <c r="AD279" i="7"/>
  <c r="Z275" i="7"/>
  <c r="AD275" i="7"/>
  <c r="Z271" i="7"/>
  <c r="AD271" i="7"/>
  <c r="Z267" i="7"/>
  <c r="AD267" i="7"/>
  <c r="Z263" i="7"/>
  <c r="AD263" i="7"/>
  <c r="Z259" i="7"/>
  <c r="AD259" i="7"/>
  <c r="Z255" i="7"/>
  <c r="AD255" i="7"/>
  <c r="Z251" i="7"/>
  <c r="AD251" i="7"/>
  <c r="Z247" i="7"/>
  <c r="AD247" i="7"/>
  <c r="Z243" i="7"/>
  <c r="AD243" i="7"/>
  <c r="Z239" i="7"/>
  <c r="AD239" i="7"/>
  <c r="Z235" i="7"/>
  <c r="AD235" i="7"/>
  <c r="Z231" i="7"/>
  <c r="AD231" i="7"/>
  <c r="Z223" i="7"/>
  <c r="AD223" i="7"/>
  <c r="Z219" i="7"/>
  <c r="AD219" i="7"/>
  <c r="Z215" i="7"/>
  <c r="AD215" i="7"/>
  <c r="D260" i="17" s="1"/>
  <c r="C260" i="17" s="1"/>
  <c r="Z207" i="7"/>
  <c r="AD207" i="7"/>
  <c r="Z203" i="7"/>
  <c r="AD203" i="7"/>
  <c r="Z199" i="7"/>
  <c r="AD199" i="7"/>
  <c r="Z191" i="7"/>
  <c r="AD191" i="7"/>
  <c r="Z187" i="7"/>
  <c r="AD187" i="7"/>
  <c r="Z183" i="7"/>
  <c r="AD183" i="7"/>
  <c r="Z175" i="7"/>
  <c r="AD175" i="7"/>
  <c r="Z171" i="7"/>
  <c r="AD171" i="7"/>
  <c r="Z167" i="7"/>
  <c r="AD167" i="7"/>
  <c r="Z159" i="7"/>
  <c r="AD159" i="7"/>
  <c r="D230" i="17" s="1"/>
  <c r="C230" i="17" s="1"/>
  <c r="AA159" i="7"/>
  <c r="D220" i="19" s="1"/>
  <c r="Z155" i="7"/>
  <c r="AD155" i="7"/>
  <c r="Z151" i="7"/>
  <c r="AD151" i="7"/>
  <c r="Z143" i="7"/>
  <c r="AD143" i="7"/>
  <c r="Z139" i="7"/>
  <c r="AD139" i="7"/>
  <c r="Z135" i="7"/>
  <c r="AD135" i="7"/>
  <c r="Z127" i="7"/>
  <c r="AD127" i="7"/>
  <c r="Z123" i="7"/>
  <c r="AD123" i="7"/>
  <c r="Z119" i="7"/>
  <c r="AD119" i="7"/>
  <c r="Z111" i="7"/>
  <c r="AD111" i="7"/>
  <c r="Z107" i="7"/>
  <c r="AD107" i="7"/>
  <c r="Z103" i="7"/>
  <c r="AD103" i="7"/>
  <c r="Z95" i="7"/>
  <c r="AD95" i="7"/>
  <c r="Z91" i="7"/>
  <c r="AD91" i="7"/>
  <c r="Z87" i="7"/>
  <c r="AD87" i="7"/>
  <c r="Z79" i="7"/>
  <c r="AD79" i="7"/>
  <c r="Z75" i="7"/>
  <c r="AD75" i="7"/>
  <c r="Z71" i="7"/>
  <c r="AD71" i="7"/>
  <c r="Z63" i="7"/>
  <c r="AD63" i="7"/>
  <c r="Z59" i="7"/>
  <c r="AD59" i="7"/>
  <c r="AA59" i="7"/>
  <c r="Z55" i="7"/>
  <c r="AD55" i="7"/>
  <c r="Z47" i="7"/>
  <c r="AD47" i="7"/>
  <c r="Z43" i="7"/>
  <c r="AD43" i="7"/>
  <c r="Z39" i="7"/>
  <c r="AD39" i="7"/>
  <c r="Z31" i="7"/>
  <c r="AD31" i="7"/>
  <c r="Z27" i="7"/>
  <c r="AD27" i="7"/>
  <c r="Z23" i="7"/>
  <c r="AD23" i="7"/>
  <c r="AA23" i="7"/>
  <c r="Z11" i="7"/>
  <c r="AD11" i="7"/>
  <c r="Z7" i="7"/>
  <c r="AD7" i="7"/>
  <c r="Z311" i="7"/>
  <c r="Z295" i="7"/>
  <c r="Z229" i="7"/>
  <c r="Z176" i="7"/>
  <c r="Z144" i="7"/>
  <c r="Z112" i="7"/>
  <c r="Z84" i="7"/>
  <c r="Z64" i="7"/>
  <c r="Z20" i="7"/>
  <c r="AA315" i="7"/>
  <c r="AA267" i="7"/>
  <c r="AA215" i="7"/>
  <c r="D248" i="19" s="1"/>
  <c r="AA145" i="7"/>
  <c r="AA81" i="7"/>
  <c r="AD310" i="7"/>
  <c r="AD282" i="7"/>
  <c r="AD266" i="7"/>
  <c r="AD250" i="7"/>
  <c r="AD234" i="7"/>
  <c r="AD218" i="7"/>
  <c r="AD202" i="7"/>
  <c r="AD186" i="7"/>
  <c r="AD170" i="7"/>
  <c r="AD154" i="7"/>
  <c r="AD138" i="7"/>
  <c r="D104" i="17" s="1"/>
  <c r="C104" i="17" s="1"/>
  <c r="AD122" i="7"/>
  <c r="AD106" i="7"/>
  <c r="AD90" i="7"/>
  <c r="AD74" i="7"/>
  <c r="AD58" i="7"/>
  <c r="AD42" i="7"/>
  <c r="AD26" i="7"/>
  <c r="AD10" i="7"/>
  <c r="Z323" i="7"/>
  <c r="Z307" i="7"/>
  <c r="Z291" i="7"/>
  <c r="Z208" i="7"/>
  <c r="Z164" i="7"/>
  <c r="Z132" i="7"/>
  <c r="Z100" i="7"/>
  <c r="Z80" i="7"/>
  <c r="Z36" i="7"/>
  <c r="Z16" i="7"/>
  <c r="AA299" i="7"/>
  <c r="D134" i="19" s="1"/>
  <c r="AA251" i="7"/>
  <c r="AA187" i="7"/>
  <c r="AA123" i="7"/>
  <c r="Z3" i="7"/>
  <c r="AD294" i="7"/>
  <c r="AD278" i="7"/>
  <c r="AD262" i="7"/>
  <c r="AD246" i="7"/>
  <c r="AD230" i="7"/>
  <c r="AD166" i="7"/>
  <c r="AD102" i="7"/>
  <c r="AD38" i="7"/>
  <c r="AD6" i="7"/>
  <c r="AA322" i="7"/>
  <c r="Z322" i="7"/>
  <c r="AA302" i="7"/>
  <c r="Z302" i="7"/>
  <c r="AA290" i="7"/>
  <c r="Z290" i="7"/>
  <c r="AA286" i="7"/>
  <c r="Z286" i="7"/>
  <c r="AA222" i="7"/>
  <c r="Z222" i="7"/>
  <c r="Z214" i="7"/>
  <c r="AA214" i="7"/>
  <c r="AA158" i="7"/>
  <c r="Z158" i="7"/>
  <c r="AA146" i="7"/>
  <c r="Z146" i="7"/>
  <c r="AA118" i="7"/>
  <c r="Z118" i="7"/>
  <c r="AA94" i="7"/>
  <c r="Z94" i="7"/>
  <c r="AA82" i="7"/>
  <c r="Z82" i="7"/>
  <c r="AA54" i="7"/>
  <c r="D308" i="19" s="1"/>
  <c r="Z54" i="7"/>
  <c r="AA30" i="7"/>
  <c r="Z30" i="7"/>
  <c r="Z22" i="7"/>
  <c r="AA22" i="7"/>
  <c r="AA14" i="7"/>
  <c r="Z14" i="7"/>
  <c r="Z186" i="7"/>
  <c r="Z170" i="7"/>
  <c r="Z154" i="7"/>
  <c r="Z138" i="7"/>
  <c r="Z122" i="7"/>
  <c r="Z106" i="7"/>
  <c r="Z90" i="7"/>
  <c r="Z74" i="7"/>
  <c r="Z58" i="7"/>
  <c r="Z42" i="7"/>
  <c r="Z26" i="7"/>
  <c r="Z10" i="7"/>
  <c r="AA230" i="7"/>
  <c r="AA202" i="7"/>
  <c r="AA313" i="7"/>
  <c r="Z313" i="7"/>
  <c r="AA301" i="7"/>
  <c r="Z301" i="7"/>
  <c r="Z293" i="7"/>
  <c r="AA293" i="7"/>
  <c r="AA285" i="7"/>
  <c r="Z285" i="7"/>
  <c r="AA265" i="7"/>
  <c r="Z265" i="7"/>
  <c r="AA237" i="7"/>
  <c r="Z237" i="7"/>
  <c r="AA225" i="7"/>
  <c r="Z225" i="7"/>
  <c r="Z221" i="7"/>
  <c r="AA221" i="7"/>
  <c r="D250" i="19" s="1"/>
  <c r="AA217" i="7"/>
  <c r="Z217" i="7"/>
  <c r="AA205" i="7"/>
  <c r="D241" i="19" s="1"/>
  <c r="Z205" i="7"/>
  <c r="Z193" i="7"/>
  <c r="AA193" i="7"/>
  <c r="AA189" i="7"/>
  <c r="Z189" i="7"/>
  <c r="AA185" i="7"/>
  <c r="Z185" i="7"/>
  <c r="Z177" i="7"/>
  <c r="AA177" i="7"/>
  <c r="AA169" i="7"/>
  <c r="Z169" i="7"/>
  <c r="AA161" i="7"/>
  <c r="Z161" i="7"/>
  <c r="Z157" i="7"/>
  <c r="AA157" i="7"/>
  <c r="AA153" i="7"/>
  <c r="Z153" i="7"/>
  <c r="AA141" i="7"/>
  <c r="Z141" i="7"/>
  <c r="AA137" i="7"/>
  <c r="Z137" i="7"/>
  <c r="Z129" i="7"/>
  <c r="AA129" i="7"/>
  <c r="AA125" i="7"/>
  <c r="Z125" i="7"/>
  <c r="AA121" i="7"/>
  <c r="Z121" i="7"/>
  <c r="Z113" i="7"/>
  <c r="AA113" i="7"/>
  <c r="AA105" i="7"/>
  <c r="Z105" i="7"/>
  <c r="AA97" i="7"/>
  <c r="Z97" i="7"/>
  <c r="Z93" i="7"/>
  <c r="AA93" i="7"/>
  <c r="Z266" i="7"/>
  <c r="Z245" i="7"/>
  <c r="Z224" i="7"/>
  <c r="Z181" i="7"/>
  <c r="Z165" i="7"/>
  <c r="Z149" i="7"/>
  <c r="Z133" i="7"/>
  <c r="Z101" i="7"/>
  <c r="AA310" i="7"/>
  <c r="AA289" i="7"/>
  <c r="AA246" i="7"/>
  <c r="AA194" i="7"/>
  <c r="AA166" i="7"/>
  <c r="AA109" i="7"/>
  <c r="AA318" i="7"/>
  <c r="Z318" i="7"/>
  <c r="AA274" i="7"/>
  <c r="Z274" i="7"/>
  <c r="AA270" i="7"/>
  <c r="Z270" i="7"/>
  <c r="AA226" i="7"/>
  <c r="Z226" i="7"/>
  <c r="AA210" i="7"/>
  <c r="Z210" i="7"/>
  <c r="AA162" i="7"/>
  <c r="Z162" i="7"/>
  <c r="Z150" i="7"/>
  <c r="AA150" i="7"/>
  <c r="Z134" i="7"/>
  <c r="AA134" i="7"/>
  <c r="AA126" i="7"/>
  <c r="Z126" i="7"/>
  <c r="Z114" i="7"/>
  <c r="AA114" i="7"/>
  <c r="AA110" i="7"/>
  <c r="Z110" i="7"/>
  <c r="AA78" i="7"/>
  <c r="Z78" i="7"/>
  <c r="Z50" i="7"/>
  <c r="AA50" i="7"/>
  <c r="AA46" i="7"/>
  <c r="Z46" i="7"/>
  <c r="Z309" i="7"/>
  <c r="AA309" i="7"/>
  <c r="AA281" i="7"/>
  <c r="Z281" i="7"/>
  <c r="AA253" i="7"/>
  <c r="Z253" i="7"/>
  <c r="AA249" i="7"/>
  <c r="Z249" i="7"/>
  <c r="AA320" i="7"/>
  <c r="Z320" i="7"/>
  <c r="AA312" i="7"/>
  <c r="Z312" i="7"/>
  <c r="AA304" i="7"/>
  <c r="Z304" i="7"/>
  <c r="AA300" i="7"/>
  <c r="Z300" i="7"/>
  <c r="AA292" i="7"/>
  <c r="Z292" i="7"/>
  <c r="AA284" i="7"/>
  <c r="Z284" i="7"/>
  <c r="AA276" i="7"/>
  <c r="Z276" i="7"/>
  <c r="AA268" i="7"/>
  <c r="Z268" i="7"/>
  <c r="AA264" i="7"/>
  <c r="Z264" i="7"/>
  <c r="AA260" i="7"/>
  <c r="Z260" i="7"/>
  <c r="AA252" i="7"/>
  <c r="Z252" i="7"/>
  <c r="AA248" i="7"/>
  <c r="Z248" i="7"/>
  <c r="AA244" i="7"/>
  <c r="Z244" i="7"/>
  <c r="AA236" i="7"/>
  <c r="Z236" i="7"/>
  <c r="AA232" i="7"/>
  <c r="Z232" i="7"/>
  <c r="AA228" i="7"/>
  <c r="Z228" i="7"/>
  <c r="AA220" i="7"/>
  <c r="Z220" i="7"/>
  <c r="AA216" i="7"/>
  <c r="Z216" i="7"/>
  <c r="AA212" i="7"/>
  <c r="Z212" i="7"/>
  <c r="Z282" i="7"/>
  <c r="Z261" i="7"/>
  <c r="Z240" i="7"/>
  <c r="Z218" i="7"/>
  <c r="Z197" i="7"/>
  <c r="AA305" i="7"/>
  <c r="AA262" i="7"/>
  <c r="AA241" i="7"/>
  <c r="AA130" i="7"/>
  <c r="AA102" i="7"/>
  <c r="AA314" i="7"/>
  <c r="Z314" i="7"/>
  <c r="AA306" i="7"/>
  <c r="Z306" i="7"/>
  <c r="AA298" i="7"/>
  <c r="Z298" i="7"/>
  <c r="AA258" i="7"/>
  <c r="Z258" i="7"/>
  <c r="AA254" i="7"/>
  <c r="Z254" i="7"/>
  <c r="AA242" i="7"/>
  <c r="Z242" i="7"/>
  <c r="AA238" i="7"/>
  <c r="Z238" i="7"/>
  <c r="AA206" i="7"/>
  <c r="Z206" i="7"/>
  <c r="Z198" i="7"/>
  <c r="AA198" i="7"/>
  <c r="AA190" i="7"/>
  <c r="Z190" i="7"/>
  <c r="AA182" i="7"/>
  <c r="Z182" i="7"/>
  <c r="Z178" i="7"/>
  <c r="AA178" i="7"/>
  <c r="AA174" i="7"/>
  <c r="Z174" i="7"/>
  <c r="AA142" i="7"/>
  <c r="Z142" i="7"/>
  <c r="AA98" i="7"/>
  <c r="Z98" i="7"/>
  <c r="Z86" i="7"/>
  <c r="AA86" i="7"/>
  <c r="Z70" i="7"/>
  <c r="AA70" i="7"/>
  <c r="AA62" i="7"/>
  <c r="Z62" i="7"/>
  <c r="AA34" i="7"/>
  <c r="Z34" i="7"/>
  <c r="AA18" i="7"/>
  <c r="Z18" i="7"/>
  <c r="Z250" i="7"/>
  <c r="AA294" i="7"/>
  <c r="AA317" i="7"/>
  <c r="Z317" i="7"/>
  <c r="AA297" i="7"/>
  <c r="Z297" i="7"/>
  <c r="AA269" i="7"/>
  <c r="Z269" i="7"/>
  <c r="AA233" i="7"/>
  <c r="Z233" i="7"/>
  <c r="AA201" i="7"/>
  <c r="Z201" i="7"/>
  <c r="AA316" i="7"/>
  <c r="Z316" i="7"/>
  <c r="AA308" i="7"/>
  <c r="Z308" i="7"/>
  <c r="AA296" i="7"/>
  <c r="Z296" i="7"/>
  <c r="AA288" i="7"/>
  <c r="Z288" i="7"/>
  <c r="AA280" i="7"/>
  <c r="Z280" i="7"/>
  <c r="Z277" i="7"/>
  <c r="Z256" i="7"/>
  <c r="Z234" i="7"/>
  <c r="Z213" i="7"/>
  <c r="AA321" i="7"/>
  <c r="AA278" i="7"/>
  <c r="AA257" i="7"/>
  <c r="AA209" i="7"/>
  <c r="AA66" i="7"/>
  <c r="AA38" i="7"/>
  <c r="AA6" i="7"/>
  <c r="Z196" i="7"/>
  <c r="Z89" i="7"/>
  <c r="Z73" i="7"/>
  <c r="Z57" i="7"/>
  <c r="Z41" i="7"/>
  <c r="Z25" i="7"/>
  <c r="Z9" i="7"/>
  <c r="AA271" i="7"/>
  <c r="AA255" i="7"/>
  <c r="AA239" i="7"/>
  <c r="AA207" i="7"/>
  <c r="AA199" i="7"/>
  <c r="AA171" i="7"/>
  <c r="AA143" i="7"/>
  <c r="AA135" i="7"/>
  <c r="AA107" i="7"/>
  <c r="AA79" i="7"/>
  <c r="AA71" i="7"/>
  <c r="AA65" i="7"/>
  <c r="AA43" i="7"/>
  <c r="AA29" i="7"/>
  <c r="AA13" i="7"/>
  <c r="Z200" i="7"/>
  <c r="Z184" i="7"/>
  <c r="Z168" i="7"/>
  <c r="Z152" i="7"/>
  <c r="Z136" i="7"/>
  <c r="Z120" i="7"/>
  <c r="Z104" i="7"/>
  <c r="Z88" i="7"/>
  <c r="Z77" i="7"/>
  <c r="Z72" i="7"/>
  <c r="Z61" i="7"/>
  <c r="Z56" i="7"/>
  <c r="Z40" i="7"/>
  <c r="Z24" i="7"/>
  <c r="Z8" i="7"/>
  <c r="AA275" i="7"/>
  <c r="AA259" i="7"/>
  <c r="AA243" i="7"/>
  <c r="AA219" i="7"/>
  <c r="AA191" i="7"/>
  <c r="AA183" i="7"/>
  <c r="AA155" i="7"/>
  <c r="AA127" i="7"/>
  <c r="AA119" i="7"/>
  <c r="AA91" i="7"/>
  <c r="AA63" i="7"/>
  <c r="AA55" i="7"/>
  <c r="AA49" i="7"/>
  <c r="AA27" i="7"/>
  <c r="AA11" i="7"/>
  <c r="AA227" i="7"/>
  <c r="Z227" i="7"/>
  <c r="AA211" i="7"/>
  <c r="Z211" i="7"/>
  <c r="AA195" i="7"/>
  <c r="Z195" i="7"/>
  <c r="AA179" i="7"/>
  <c r="Z179" i="7"/>
  <c r="AA163" i="7"/>
  <c r="Z163" i="7"/>
  <c r="AA147" i="7"/>
  <c r="Z147" i="7"/>
  <c r="AA131" i="7"/>
  <c r="Z131" i="7"/>
  <c r="AA115" i="7"/>
  <c r="Z115" i="7"/>
  <c r="AA99" i="7"/>
  <c r="Z99" i="7"/>
  <c r="AA83" i="7"/>
  <c r="D178" i="19" s="1"/>
  <c r="Z83" i="7"/>
  <c r="AA67" i="7"/>
  <c r="Z67" i="7"/>
  <c r="AA51" i="7"/>
  <c r="Z51" i="7"/>
  <c r="AA35" i="7"/>
  <c r="Z35" i="7"/>
  <c r="AA19" i="7"/>
  <c r="Z19" i="7"/>
  <c r="Z15" i="7"/>
  <c r="AA15" i="7"/>
  <c r="Z204" i="7"/>
  <c r="Z188" i="7"/>
  <c r="Z172" i="7"/>
  <c r="Z156" i="7"/>
  <c r="Z140" i="7"/>
  <c r="Z124" i="7"/>
  <c r="Z108" i="7"/>
  <c r="Z92" i="7"/>
  <c r="Z76" i="7"/>
  <c r="Z60" i="7"/>
  <c r="Z44" i="7"/>
  <c r="Z33" i="7"/>
  <c r="Z28" i="7"/>
  <c r="Z12" i="7"/>
  <c r="AA279" i="7"/>
  <c r="AA263" i="7"/>
  <c r="AA247" i="7"/>
  <c r="AA231" i="7"/>
  <c r="AA203" i="7"/>
  <c r="AA175" i="7"/>
  <c r="AA167" i="7"/>
  <c r="AA139" i="7"/>
  <c r="AA111" i="7"/>
  <c r="AA103" i="7"/>
  <c r="AA75" i="7"/>
  <c r="AA47" i="7"/>
  <c r="AA39" i="7"/>
  <c r="AA7" i="7"/>
  <c r="E138" i="17"/>
  <c r="E139" i="17"/>
  <c r="E140" i="17"/>
  <c r="E141" i="17"/>
  <c r="E142" i="17"/>
  <c r="E143" i="17"/>
  <c r="E144" i="17"/>
  <c r="E145" i="17"/>
  <c r="E146" i="17"/>
  <c r="E147" i="17"/>
  <c r="E148" i="17"/>
  <c r="E5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6" i="17"/>
  <c r="E184" i="17"/>
  <c r="E185" i="17"/>
  <c r="E186" i="17"/>
  <c r="E187" i="17"/>
  <c r="E188" i="17"/>
  <c r="E189" i="17"/>
  <c r="E7" i="17"/>
  <c r="E8" i="17"/>
  <c r="E190" i="17"/>
  <c r="E191" i="17"/>
  <c r="E192" i="17"/>
  <c r="E193" i="17"/>
  <c r="E194" i="17"/>
  <c r="E195" i="17"/>
  <c r="E196" i="17"/>
  <c r="E197" i="17"/>
  <c r="E198" i="17"/>
  <c r="E199" i="17"/>
  <c r="E9" i="17"/>
  <c r="E200" i="17"/>
  <c r="E201" i="17"/>
  <c r="E202" i="17"/>
  <c r="E203" i="17"/>
  <c r="E204" i="17"/>
  <c r="E205" i="17"/>
  <c r="E10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11" i="17"/>
  <c r="E223" i="17"/>
  <c r="E224" i="17"/>
  <c r="E225" i="17"/>
  <c r="E226" i="17"/>
  <c r="E227" i="17"/>
  <c r="E228" i="17"/>
  <c r="E12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13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14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15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16" i="17"/>
  <c r="E319" i="17"/>
  <c r="E320" i="17"/>
  <c r="E321" i="17"/>
  <c r="E17" i="17"/>
  <c r="E322" i="17"/>
  <c r="E323" i="17"/>
  <c r="E18" i="17"/>
  <c r="E19" i="17"/>
  <c r="E20" i="17"/>
  <c r="E324" i="17"/>
  <c r="E325" i="17"/>
  <c r="E107" i="17"/>
  <c r="E114" i="17"/>
  <c r="E137" i="17"/>
  <c r="E116" i="17"/>
  <c r="E118" i="17"/>
  <c r="E122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8" i="17"/>
  <c r="E109" i="17"/>
  <c r="E110" i="17"/>
  <c r="E111" i="17"/>
  <c r="E112" i="17"/>
  <c r="E113" i="17"/>
  <c r="E115" i="17"/>
  <c r="E117" i="17"/>
  <c r="E119" i="17"/>
  <c r="E120" i="17"/>
  <c r="E121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56" i="17"/>
  <c r="E55" i="17"/>
  <c r="E58" i="17"/>
  <c r="E59" i="17"/>
  <c r="E60" i="17"/>
  <c r="E61" i="17"/>
  <c r="E62" i="17"/>
  <c r="E63" i="17"/>
  <c r="E65" i="17"/>
  <c r="E66" i="17"/>
  <c r="E67" i="17"/>
  <c r="E69" i="17"/>
  <c r="E70" i="17"/>
  <c r="E72" i="17"/>
  <c r="E74" i="17"/>
  <c r="E77" i="17"/>
  <c r="E54" i="17"/>
  <c r="E57" i="17"/>
  <c r="E64" i="17"/>
  <c r="E68" i="17"/>
  <c r="E71" i="17"/>
  <c r="E73" i="17"/>
  <c r="E75" i="17"/>
  <c r="E76" i="17"/>
  <c r="E78" i="17"/>
  <c r="E79" i="17"/>
  <c r="E8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F138" i="17"/>
  <c r="F139" i="17"/>
  <c r="F140" i="17"/>
  <c r="F141" i="17"/>
  <c r="F142" i="17"/>
  <c r="F143" i="17"/>
  <c r="F144" i="17"/>
  <c r="F145" i="17"/>
  <c r="F146" i="17"/>
  <c r="F147" i="17"/>
  <c r="F148" i="17"/>
  <c r="F5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6" i="17"/>
  <c r="F184" i="17"/>
  <c r="F185" i="17"/>
  <c r="F186" i="17"/>
  <c r="F187" i="17"/>
  <c r="F188" i="17"/>
  <c r="F189" i="17"/>
  <c r="F7" i="17"/>
  <c r="F8" i="17"/>
  <c r="F190" i="17"/>
  <c r="F191" i="17"/>
  <c r="F192" i="17"/>
  <c r="F193" i="17"/>
  <c r="F194" i="17"/>
  <c r="F195" i="17"/>
  <c r="F196" i="17"/>
  <c r="F197" i="17"/>
  <c r="F198" i="17"/>
  <c r="F199" i="17"/>
  <c r="F9" i="17"/>
  <c r="F200" i="17"/>
  <c r="F201" i="17"/>
  <c r="F202" i="17"/>
  <c r="F203" i="17"/>
  <c r="F204" i="17"/>
  <c r="F205" i="17"/>
  <c r="F10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11" i="17"/>
  <c r="F223" i="17"/>
  <c r="F224" i="17"/>
  <c r="F225" i="17"/>
  <c r="F226" i="17"/>
  <c r="F227" i="17"/>
  <c r="F228" i="17"/>
  <c r="F12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13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14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15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16" i="17"/>
  <c r="F319" i="17"/>
  <c r="F320" i="17"/>
  <c r="F321" i="17"/>
  <c r="F17" i="17"/>
  <c r="F322" i="17"/>
  <c r="F323" i="17"/>
  <c r="F18" i="17"/>
  <c r="F19" i="17"/>
  <c r="F20" i="17"/>
  <c r="F324" i="17"/>
  <c r="F325" i="17"/>
  <c r="G138" i="17"/>
  <c r="G139" i="17"/>
  <c r="G140" i="17"/>
  <c r="G141" i="17"/>
  <c r="G142" i="17"/>
  <c r="G143" i="17"/>
  <c r="G144" i="17"/>
  <c r="G145" i="17"/>
  <c r="G146" i="17"/>
  <c r="G147" i="17"/>
  <c r="G148" i="17"/>
  <c r="G5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6" i="17"/>
  <c r="G184" i="17"/>
  <c r="G185" i="17"/>
  <c r="G186" i="17"/>
  <c r="G187" i="17"/>
  <c r="G188" i="17"/>
  <c r="G189" i="17"/>
  <c r="G7" i="17"/>
  <c r="G8" i="17"/>
  <c r="G190" i="17"/>
  <c r="G191" i="17"/>
  <c r="G192" i="17"/>
  <c r="G193" i="17"/>
  <c r="G194" i="17"/>
  <c r="G195" i="17"/>
  <c r="G196" i="17"/>
  <c r="G197" i="17"/>
  <c r="G198" i="17"/>
  <c r="G199" i="17"/>
  <c r="G9" i="17"/>
  <c r="G200" i="17"/>
  <c r="G201" i="17"/>
  <c r="G202" i="17"/>
  <c r="G203" i="17"/>
  <c r="G204" i="17"/>
  <c r="G205" i="17"/>
  <c r="G10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11" i="17"/>
  <c r="G223" i="17"/>
  <c r="G224" i="17"/>
  <c r="G225" i="17"/>
  <c r="G226" i="17"/>
  <c r="G227" i="17"/>
  <c r="G228" i="17"/>
  <c r="G12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13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14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15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16" i="17"/>
  <c r="G319" i="17"/>
  <c r="G320" i="17"/>
  <c r="G321" i="17"/>
  <c r="G17" i="17"/>
  <c r="G322" i="17"/>
  <c r="G323" i="17"/>
  <c r="G18" i="17"/>
  <c r="G19" i="17"/>
  <c r="G20" i="17"/>
  <c r="G324" i="17"/>
  <c r="G325" i="17"/>
  <c r="D15" i="19" l="1"/>
  <c r="D212" i="19"/>
  <c r="D24" i="19"/>
  <c r="D140" i="19"/>
  <c r="D169" i="19"/>
  <c r="D34" i="19"/>
  <c r="D112" i="19"/>
  <c r="D86" i="19"/>
  <c r="D193" i="19"/>
  <c r="D22" i="19"/>
  <c r="D58" i="19"/>
  <c r="D104" i="19"/>
  <c r="D80" i="19"/>
  <c r="D46" i="19"/>
  <c r="D103" i="19"/>
  <c r="D321" i="19"/>
  <c r="D97" i="19"/>
  <c r="D59" i="19"/>
  <c r="D155" i="19"/>
  <c r="D185" i="19"/>
  <c r="D126" i="19"/>
  <c r="D5" i="19"/>
  <c r="D98" i="19"/>
  <c r="D267" i="19"/>
  <c r="D291" i="19"/>
  <c r="D303" i="19"/>
  <c r="D63" i="19"/>
  <c r="D246" i="19"/>
  <c r="D23" i="19"/>
  <c r="D258" i="19"/>
  <c r="D75" i="19"/>
  <c r="D26" i="19"/>
  <c r="D275" i="19"/>
  <c r="D282" i="19"/>
  <c r="D28" i="19"/>
  <c r="D47" i="19"/>
  <c r="D323" i="19"/>
  <c r="D44" i="19"/>
  <c r="D196" i="19"/>
  <c r="D205" i="19"/>
  <c r="D244" i="19"/>
  <c r="D279" i="19"/>
  <c r="D29" i="19"/>
  <c r="D262" i="19"/>
  <c r="D314" i="19"/>
  <c r="D91" i="19"/>
  <c r="D316" i="19"/>
  <c r="D68" i="19"/>
  <c r="D8" i="19"/>
  <c r="D130" i="19"/>
  <c r="D253" i="19"/>
  <c r="D276" i="19"/>
  <c r="D302" i="19"/>
  <c r="D142" i="19"/>
  <c r="D152" i="19"/>
  <c r="D177" i="19"/>
  <c r="D200" i="19"/>
  <c r="D219" i="19"/>
  <c r="D111" i="19"/>
  <c r="D289" i="19"/>
  <c r="D305" i="19"/>
  <c r="D235" i="17"/>
  <c r="C235" i="17" s="1"/>
  <c r="D301" i="17"/>
  <c r="D21" i="19"/>
  <c r="D172" i="17"/>
  <c r="C172" i="17" s="1"/>
  <c r="D211" i="17"/>
  <c r="D67" i="17"/>
  <c r="C67" i="17" s="1"/>
  <c r="D127" i="17"/>
  <c r="C127" i="17" s="1"/>
  <c r="D119" i="19"/>
  <c r="D115" i="19"/>
  <c r="D143" i="17"/>
  <c r="C143" i="17" s="1"/>
  <c r="D176" i="17"/>
  <c r="C176" i="17" s="1"/>
  <c r="D181" i="17"/>
  <c r="D58" i="17"/>
  <c r="D59" i="17"/>
  <c r="D201" i="17"/>
  <c r="C201" i="17" s="1"/>
  <c r="D209" i="17"/>
  <c r="C209" i="17" s="1"/>
  <c r="D214" i="17"/>
  <c r="C214" i="17" s="1"/>
  <c r="D221" i="17"/>
  <c r="C221" i="17" s="1"/>
  <c r="D62" i="17"/>
  <c r="C62" i="17" s="1"/>
  <c r="D288" i="19"/>
  <c r="D114" i="19"/>
  <c r="D298" i="19"/>
  <c r="D322" i="19"/>
  <c r="D142" i="17"/>
  <c r="C142" i="17" s="1"/>
  <c r="D147" i="17"/>
  <c r="C147" i="17" s="1"/>
  <c r="D22" i="17"/>
  <c r="C22" i="17" s="1"/>
  <c r="D156" i="17"/>
  <c r="C156" i="17" s="1"/>
  <c r="D161" i="17"/>
  <c r="D167" i="17"/>
  <c r="C167" i="17" s="1"/>
  <c r="D93" i="17"/>
  <c r="C93" i="17" s="1"/>
  <c r="D27" i="17"/>
  <c r="D178" i="17"/>
  <c r="C178" i="17" s="1"/>
  <c r="D184" i="17"/>
  <c r="C184" i="17" s="1"/>
  <c r="D187" i="17"/>
  <c r="C187" i="17" s="1"/>
  <c r="D191" i="17"/>
  <c r="D199" i="17"/>
  <c r="C199" i="17" s="1"/>
  <c r="D100" i="17"/>
  <c r="C100" i="17" s="1"/>
  <c r="D210" i="17"/>
  <c r="C210" i="17" s="1"/>
  <c r="D215" i="17"/>
  <c r="D219" i="17"/>
  <c r="C219" i="17" s="1"/>
  <c r="D105" i="17"/>
  <c r="C105" i="17" s="1"/>
  <c r="D63" i="17"/>
  <c r="C63" i="17" s="1"/>
  <c r="D231" i="17"/>
  <c r="C231" i="17" s="1"/>
  <c r="D237" i="17"/>
  <c r="C237" i="17" s="1"/>
  <c r="D238" i="17"/>
  <c r="D116" i="17"/>
  <c r="D42" i="17"/>
  <c r="D248" i="17"/>
  <c r="C248" i="17" s="1"/>
  <c r="D255" i="17"/>
  <c r="D274" i="17"/>
  <c r="C274" i="17" s="1"/>
  <c r="D297" i="17"/>
  <c r="C297" i="17" s="1"/>
  <c r="D95" i="17"/>
  <c r="C95" i="17" s="1"/>
  <c r="D108" i="19"/>
  <c r="D81" i="17"/>
  <c r="C81" i="17" s="1"/>
  <c r="D148" i="17"/>
  <c r="D152" i="17"/>
  <c r="D157" i="17"/>
  <c r="D162" i="17"/>
  <c r="C162" i="17" s="1"/>
  <c r="D168" i="17"/>
  <c r="D174" i="17"/>
  <c r="D177" i="17"/>
  <c r="C177" i="17" s="1"/>
  <c r="D183" i="17"/>
  <c r="D30" i="17"/>
  <c r="C30" i="17" s="1"/>
  <c r="D196" i="17"/>
  <c r="C196" i="17" s="1"/>
  <c r="D207" i="17"/>
  <c r="C207" i="17" s="1"/>
  <c r="D209" i="19"/>
  <c r="D39" i="19"/>
  <c r="D41" i="19"/>
  <c r="D110" i="19"/>
  <c r="D34" i="13"/>
  <c r="D153" i="13"/>
  <c r="D213" i="13"/>
  <c r="D284" i="13"/>
  <c r="D316" i="13"/>
  <c r="D22" i="13"/>
  <c r="D107" i="13"/>
  <c r="D162" i="13"/>
  <c r="D221" i="13"/>
  <c r="D245" i="13"/>
  <c r="D265" i="13"/>
  <c r="D285" i="13"/>
  <c r="D301" i="13"/>
  <c r="D317" i="13"/>
  <c r="D101" i="13"/>
  <c r="D143" i="13"/>
  <c r="D171" i="13"/>
  <c r="D195" i="13"/>
  <c r="D250" i="13"/>
  <c r="D282" i="13"/>
  <c r="D302" i="13"/>
  <c r="D145" i="19"/>
  <c r="D116" i="19"/>
  <c r="D5" i="17"/>
  <c r="D150" i="19"/>
  <c r="D158" i="17"/>
  <c r="D159" i="19"/>
  <c r="D169" i="17"/>
  <c r="C169" i="17" s="1"/>
  <c r="D166" i="19"/>
  <c r="D173" i="19"/>
  <c r="D185" i="17"/>
  <c r="C185" i="17" s="1"/>
  <c r="D181" i="19"/>
  <c r="D193" i="17"/>
  <c r="C193" i="17" s="1"/>
  <c r="D192" i="19"/>
  <c r="D206" i="17"/>
  <c r="D203" i="19"/>
  <c r="D127" i="13"/>
  <c r="D152" i="13"/>
  <c r="D168" i="13"/>
  <c r="D184" i="13"/>
  <c r="D200" i="13"/>
  <c r="D5" i="13"/>
  <c r="D231" i="13"/>
  <c r="D247" i="13"/>
  <c r="D263" i="13"/>
  <c r="D279" i="13"/>
  <c r="D295" i="13"/>
  <c r="D311" i="13"/>
  <c r="D311" i="17"/>
  <c r="C311" i="17" s="1"/>
  <c r="D37" i="17"/>
  <c r="C37" i="17" s="1"/>
  <c r="D128" i="17"/>
  <c r="D306" i="13"/>
  <c r="D257" i="13"/>
  <c r="D90" i="13"/>
  <c r="D251" i="19"/>
  <c r="D91" i="13"/>
  <c r="D262" i="17"/>
  <c r="C262" i="17" s="1"/>
  <c r="D182" i="13"/>
  <c r="D4" i="13"/>
  <c r="D126" i="13"/>
  <c r="D106" i="13"/>
  <c r="D282" i="17"/>
  <c r="C282" i="17" s="1"/>
  <c r="D240" i="13"/>
  <c r="D118" i="17"/>
  <c r="D262" i="13"/>
  <c r="D17" i="17"/>
  <c r="C17" i="17" s="1"/>
  <c r="D125" i="17"/>
  <c r="C125" i="17" s="1"/>
  <c r="D245" i="17"/>
  <c r="D233" i="17"/>
  <c r="C233" i="17" s="1"/>
  <c r="D170" i="13"/>
  <c r="D39" i="13"/>
  <c r="D23" i="13"/>
  <c r="D71" i="17"/>
  <c r="C71" i="17" s="1"/>
  <c r="D151" i="13"/>
  <c r="D309" i="17"/>
  <c r="C309" i="17" s="1"/>
  <c r="D115" i="17"/>
  <c r="C115" i="17" s="1"/>
  <c r="D36" i="17"/>
  <c r="C36" i="17" s="1"/>
  <c r="D202" i="13"/>
  <c r="D178" i="13"/>
  <c r="D10" i="17"/>
  <c r="D283" i="17"/>
  <c r="D87" i="13"/>
  <c r="D193" i="13"/>
  <c r="D117" i="17"/>
  <c r="C117" i="17" s="1"/>
  <c r="D312" i="13"/>
  <c r="D320" i="17"/>
  <c r="C320" i="17" s="1"/>
  <c r="D25" i="19"/>
  <c r="D279" i="17"/>
  <c r="C279" i="17" s="1"/>
  <c r="D220" i="13"/>
  <c r="D75" i="13"/>
  <c r="D132" i="17"/>
  <c r="C132" i="17" s="1"/>
  <c r="D308" i="17"/>
  <c r="C308" i="17" s="1"/>
  <c r="D274" i="13"/>
  <c r="D68" i="13"/>
  <c r="D310" i="17"/>
  <c r="C310" i="17" s="1"/>
  <c r="D174" i="13"/>
  <c r="D13" i="19"/>
  <c r="D291" i="17"/>
  <c r="C291" i="17" s="1"/>
  <c r="D40" i="17"/>
  <c r="C40" i="17" s="1"/>
  <c r="D260" i="13"/>
  <c r="D70" i="19"/>
  <c r="D186" i="13"/>
  <c r="D189" i="13"/>
  <c r="D256" i="17"/>
  <c r="D44" i="13"/>
  <c r="D192" i="17"/>
  <c r="C192" i="17" s="1"/>
  <c r="D64" i="17"/>
  <c r="D48" i="13"/>
  <c r="D141" i="13"/>
  <c r="D158" i="13"/>
  <c r="D177" i="13"/>
  <c r="D258" i="17"/>
  <c r="C258" i="17" s="1"/>
  <c r="D101" i="17"/>
  <c r="D105" i="19"/>
  <c r="D308" i="13"/>
  <c r="D43" i="13"/>
  <c r="D249" i="17"/>
  <c r="C249" i="17" s="1"/>
  <c r="D232" i="13"/>
  <c r="D78" i="13"/>
  <c r="D292" i="13"/>
  <c r="D28" i="13"/>
  <c r="D68" i="17"/>
  <c r="C68" i="17" s="1"/>
  <c r="D51" i="13"/>
  <c r="D72" i="13"/>
  <c r="D312" i="17"/>
  <c r="C312" i="17" s="1"/>
  <c r="D134" i="13"/>
  <c r="D52" i="17"/>
  <c r="D248" i="13"/>
  <c r="D138" i="13"/>
  <c r="D73" i="17"/>
  <c r="C73" i="17" s="1"/>
  <c r="D46" i="17"/>
  <c r="C46" i="17" s="1"/>
  <c r="D23" i="17"/>
  <c r="D106" i="19"/>
  <c r="D166" i="13"/>
  <c r="D194" i="17"/>
  <c r="D50" i="13"/>
  <c r="D70" i="17"/>
  <c r="D210" i="13"/>
  <c r="D62" i="13"/>
  <c r="D78" i="17"/>
  <c r="D83" i="13"/>
  <c r="D101" i="19"/>
  <c r="D183" i="13"/>
  <c r="D105" i="13"/>
  <c r="D227" i="17"/>
  <c r="C227" i="17" s="1"/>
  <c r="D272" i="13"/>
  <c r="D45" i="17"/>
  <c r="C45" i="17" s="1"/>
  <c r="D63" i="13"/>
  <c r="D276" i="13"/>
  <c r="D131" i="17"/>
  <c r="C131" i="17" s="1"/>
  <c r="D220" i="17"/>
  <c r="C220" i="17" s="1"/>
  <c r="D292" i="17"/>
  <c r="C292" i="17" s="1"/>
  <c r="D60" i="13"/>
  <c r="D241" i="13"/>
  <c r="D268" i="13"/>
  <c r="D40" i="13"/>
  <c r="D304" i="17"/>
  <c r="C304" i="17" s="1"/>
  <c r="D32" i="17"/>
  <c r="C32" i="17" s="1"/>
  <c r="D114" i="13"/>
  <c r="D258" i="13"/>
  <c r="D209" i="13"/>
  <c r="D230" i="13"/>
  <c r="D145" i="13"/>
  <c r="D142" i="13"/>
  <c r="D93" i="13"/>
  <c r="D174" i="19"/>
  <c r="D226" i="19"/>
  <c r="D263" i="19"/>
  <c r="D146" i="19"/>
  <c r="D32" i="19"/>
  <c r="D121" i="19"/>
  <c r="D20" i="19"/>
  <c r="D229" i="19"/>
  <c r="D245" i="19"/>
  <c r="D84" i="19"/>
  <c r="D312" i="19"/>
  <c r="D317" i="19"/>
  <c r="D271" i="19"/>
  <c r="D87" i="19"/>
  <c r="D92" i="19"/>
  <c r="D242" i="19"/>
  <c r="D60" i="19"/>
  <c r="D284" i="19"/>
  <c r="D62" i="19"/>
  <c r="D96" i="19"/>
  <c r="D189" i="19"/>
  <c r="D296" i="19"/>
  <c r="D198" i="19"/>
  <c r="D67" i="19"/>
  <c r="D195" i="19"/>
  <c r="D113" i="19"/>
  <c r="D315" i="19"/>
  <c r="D35" i="19"/>
  <c r="D238" i="19"/>
  <c r="D147" i="19"/>
  <c r="D247" i="19"/>
  <c r="D54" i="17"/>
  <c r="C54" i="17" s="1"/>
  <c r="D14" i="17"/>
  <c r="C14" i="17" s="1"/>
  <c r="D135" i="17"/>
  <c r="C135" i="17" s="1"/>
  <c r="D266" i="19"/>
  <c r="D21" i="17"/>
  <c r="C21" i="17" s="1"/>
  <c r="D180" i="17"/>
  <c r="C180" i="17" s="1"/>
  <c r="D250" i="17"/>
  <c r="C250" i="17" s="1"/>
  <c r="D293" i="17"/>
  <c r="C293" i="17" s="1"/>
  <c r="D216" i="19"/>
  <c r="D85" i="17"/>
  <c r="C85" i="17" s="1"/>
  <c r="D160" i="17"/>
  <c r="C160" i="17" s="1"/>
  <c r="D166" i="17"/>
  <c r="C166" i="17" s="1"/>
  <c r="D72" i="19"/>
  <c r="D112" i="17"/>
  <c r="C112" i="17" s="1"/>
  <c r="D13" i="17"/>
  <c r="D41" i="17"/>
  <c r="D251" i="17"/>
  <c r="C251" i="17" s="1"/>
  <c r="D264" i="17"/>
  <c r="C264" i="17" s="1"/>
  <c r="D273" i="17"/>
  <c r="C273" i="17" s="1"/>
  <c r="D72" i="17"/>
  <c r="D281" i="17"/>
  <c r="D287" i="17"/>
  <c r="D294" i="17"/>
  <c r="C294" i="17" s="1"/>
  <c r="D15" i="17"/>
  <c r="C15" i="17" s="1"/>
  <c r="D51" i="17"/>
  <c r="C51" i="17" s="1"/>
  <c r="D307" i="17"/>
  <c r="C307" i="17" s="1"/>
  <c r="D313" i="17"/>
  <c r="C313" i="17" s="1"/>
  <c r="D79" i="17"/>
  <c r="C79" i="17" s="1"/>
  <c r="D325" i="17"/>
  <c r="C325" i="17" s="1"/>
  <c r="D139" i="19"/>
  <c r="D144" i="19"/>
  <c r="D53" i="19"/>
  <c r="D153" i="19"/>
  <c r="D157" i="19"/>
  <c r="D16" i="19"/>
  <c r="D65" i="19"/>
  <c r="D118" i="19"/>
  <c r="D171" i="19"/>
  <c r="D176" i="19"/>
  <c r="D179" i="19"/>
  <c r="D183" i="19"/>
  <c r="D191" i="19"/>
  <c r="D90" i="19"/>
  <c r="D202" i="19"/>
  <c r="D206" i="19"/>
  <c r="D210" i="19"/>
  <c r="D93" i="19"/>
  <c r="D57" i="19"/>
  <c r="D221" i="19"/>
  <c r="D227" i="19"/>
  <c r="D228" i="19"/>
  <c r="D40" i="19"/>
  <c r="D77" i="19"/>
  <c r="D236" i="19"/>
  <c r="D243" i="19"/>
  <c r="D259" i="19"/>
  <c r="D280" i="19"/>
  <c r="D35" i="17"/>
  <c r="C35" i="17" s="1"/>
  <c r="D81" i="19"/>
  <c r="D149" i="19"/>
  <c r="D154" i="19"/>
  <c r="D158" i="19"/>
  <c r="D167" i="19"/>
  <c r="D170" i="19"/>
  <c r="D175" i="19"/>
  <c r="D61" i="19"/>
  <c r="D188" i="19"/>
  <c r="D199" i="19"/>
  <c r="D225" i="17"/>
  <c r="D234" i="17"/>
  <c r="C234" i="17" s="1"/>
  <c r="D241" i="17"/>
  <c r="C241" i="17" s="1"/>
  <c r="D44" i="17"/>
  <c r="C44" i="17" s="1"/>
  <c r="D270" i="17"/>
  <c r="C270" i="17" s="1"/>
  <c r="D276" i="17"/>
  <c r="C276" i="17" s="1"/>
  <c r="D289" i="17"/>
  <c r="D300" i="17"/>
  <c r="C300" i="17" s="1"/>
  <c r="D314" i="17"/>
  <c r="C314" i="17" s="1"/>
  <c r="D89" i="13"/>
  <c r="D165" i="13"/>
  <c r="D224" i="13"/>
  <c r="D288" i="13"/>
  <c r="D320" i="13"/>
  <c r="D130" i="13"/>
  <c r="D38" i="13"/>
  <c r="D115" i="13"/>
  <c r="D194" i="13"/>
  <c r="D229" i="13"/>
  <c r="D249" i="13"/>
  <c r="D269" i="13"/>
  <c r="D289" i="13"/>
  <c r="D305" i="13"/>
  <c r="D321" i="13"/>
  <c r="D117" i="13"/>
  <c r="D155" i="13"/>
  <c r="D179" i="13"/>
  <c r="D203" i="13"/>
  <c r="D226" i="13"/>
  <c r="D254" i="13"/>
  <c r="D286" i="13"/>
  <c r="D310" i="13"/>
  <c r="D9" i="13"/>
  <c r="D17" i="13"/>
  <c r="D25" i="13"/>
  <c r="D33" i="13"/>
  <c r="D41" i="13"/>
  <c r="D49" i="13"/>
  <c r="D65" i="13"/>
  <c r="D73" i="13"/>
  <c r="D81" i="13"/>
  <c r="D88" i="13"/>
  <c r="D96" i="13"/>
  <c r="D104" i="13"/>
  <c r="D112" i="13"/>
  <c r="D120" i="13"/>
  <c r="D128" i="13"/>
  <c r="D136" i="13"/>
  <c r="D156" i="13"/>
  <c r="D172" i="13"/>
  <c r="D188" i="13"/>
  <c r="D204" i="13"/>
  <c r="D219" i="13"/>
  <c r="D235" i="13"/>
  <c r="D251" i="13"/>
  <c r="D267" i="13"/>
  <c r="D283" i="13"/>
  <c r="D299" i="13"/>
  <c r="D315" i="13"/>
  <c r="D138" i="19"/>
  <c r="D190" i="19"/>
  <c r="D127" i="19"/>
  <c r="D274" i="19"/>
  <c r="D143" i="19"/>
  <c r="D162" i="19"/>
  <c r="D201" i="19"/>
  <c r="D128" i="19"/>
  <c r="D319" i="19"/>
  <c r="D141" i="19"/>
  <c r="D89" i="19"/>
  <c r="D215" i="19"/>
  <c r="D43" i="19"/>
  <c r="D37" i="19"/>
  <c r="D324" i="19"/>
  <c r="D11" i="19"/>
  <c r="D299" i="19"/>
  <c r="D237" i="19"/>
  <c r="D278" i="19"/>
  <c r="D304" i="19"/>
  <c r="D310" i="19"/>
  <c r="D168" i="19"/>
  <c r="D214" i="19"/>
  <c r="D234" i="19"/>
  <c r="D78" i="19"/>
  <c r="D132" i="19"/>
  <c r="D270" i="19"/>
  <c r="D297" i="19"/>
  <c r="D124" i="19"/>
  <c r="D129" i="19"/>
  <c r="D256" i="19"/>
  <c r="D74" i="19"/>
  <c r="D264" i="19"/>
  <c r="D272" i="19"/>
  <c r="D45" i="19"/>
  <c r="D133" i="19"/>
  <c r="D292" i="19"/>
  <c r="D301" i="19"/>
  <c r="D265" i="19"/>
  <c r="D9" i="19"/>
  <c r="D117" i="19"/>
  <c r="D10" i="19"/>
  <c r="D223" i="19"/>
  <c r="D254" i="19"/>
  <c r="D100" i="19"/>
  <c r="D225" i="19"/>
  <c r="D320" i="19"/>
  <c r="D184" i="19"/>
  <c r="D204" i="19"/>
  <c r="D211" i="19"/>
  <c r="D125" i="19"/>
  <c r="D222" i="19"/>
  <c r="D233" i="19"/>
  <c r="D42" i="19"/>
  <c r="D286" i="19"/>
  <c r="D293" i="19"/>
  <c r="D318" i="19"/>
  <c r="D182" i="19"/>
  <c r="D217" i="19"/>
  <c r="D287" i="19"/>
  <c r="D294" i="19"/>
  <c r="D25" i="17"/>
  <c r="C25" i="17" s="1"/>
  <c r="D277" i="17"/>
  <c r="C277" i="17" s="1"/>
  <c r="D153" i="17"/>
  <c r="C153" i="17" s="1"/>
  <c r="D189" i="17"/>
  <c r="D12" i="17"/>
  <c r="D47" i="17"/>
  <c r="D133" i="17"/>
  <c r="C133" i="17" s="1"/>
  <c r="D141" i="17"/>
  <c r="C141" i="17" s="1"/>
  <c r="D148" i="19"/>
  <c r="D55" i="17"/>
  <c r="D98" i="17"/>
  <c r="C98" i="17" s="1"/>
  <c r="D6" i="17"/>
  <c r="C6" i="17" s="1"/>
  <c r="D7" i="17"/>
  <c r="C7" i="17" s="1"/>
  <c r="D198" i="17"/>
  <c r="C198" i="17" s="1"/>
  <c r="D205" i="17"/>
  <c r="C205" i="17" s="1"/>
  <c r="D34" i="17"/>
  <c r="C34" i="17" s="1"/>
  <c r="D103" i="17"/>
  <c r="D224" i="17"/>
  <c r="C224" i="17" s="1"/>
  <c r="D107" i="17"/>
  <c r="D290" i="19"/>
  <c r="D295" i="19"/>
  <c r="D12" i="19"/>
  <c r="D306" i="19"/>
  <c r="D139" i="17"/>
  <c r="C139" i="17" s="1"/>
  <c r="D82" i="17"/>
  <c r="C82" i="17" s="1"/>
  <c r="D83" i="17"/>
  <c r="C83" i="17" s="1"/>
  <c r="D86" i="17"/>
  <c r="C86" i="17" s="1"/>
  <c r="D159" i="17"/>
  <c r="C159" i="17" s="1"/>
  <c r="D164" i="17"/>
  <c r="D173" i="17"/>
  <c r="D97" i="17"/>
  <c r="C97" i="17" s="1"/>
  <c r="D182" i="17"/>
  <c r="D29" i="17"/>
  <c r="C29" i="17" s="1"/>
  <c r="D8" i="17"/>
  <c r="C8" i="17" s="1"/>
  <c r="D195" i="17"/>
  <c r="C195" i="17" s="1"/>
  <c r="D202" i="17"/>
  <c r="C202" i="17" s="1"/>
  <c r="D33" i="17"/>
  <c r="D60" i="17"/>
  <c r="D217" i="17"/>
  <c r="C217" i="17" s="1"/>
  <c r="D222" i="17"/>
  <c r="C222" i="17" s="1"/>
  <c r="D228" i="17"/>
  <c r="C228" i="17" s="1"/>
  <c r="D108" i="17"/>
  <c r="C108" i="17" s="1"/>
  <c r="D65" i="17"/>
  <c r="D113" i="17"/>
  <c r="C113" i="17" s="1"/>
  <c r="D240" i="17"/>
  <c r="C240" i="17" s="1"/>
  <c r="D243" i="17"/>
  <c r="D120" i="17"/>
  <c r="C120" i="17" s="1"/>
  <c r="D252" i="17"/>
  <c r="C252" i="17" s="1"/>
  <c r="D265" i="17"/>
  <c r="C265" i="17" s="1"/>
  <c r="D285" i="17"/>
  <c r="D20" i="17"/>
  <c r="C20" i="17" s="1"/>
  <c r="D119" i="17"/>
  <c r="D140" i="17"/>
  <c r="C140" i="17" s="1"/>
  <c r="D144" i="17"/>
  <c r="C144" i="17" s="1"/>
  <c r="D84" i="17"/>
  <c r="C84" i="17" s="1"/>
  <c r="D154" i="17"/>
  <c r="D24" i="17"/>
  <c r="D165" i="17"/>
  <c r="D171" i="17"/>
  <c r="D94" i="17"/>
  <c r="C94" i="17" s="1"/>
  <c r="D179" i="17"/>
  <c r="C179" i="17" s="1"/>
  <c r="D28" i="17"/>
  <c r="C28" i="17" s="1"/>
  <c r="D188" i="17"/>
  <c r="C188" i="17" s="1"/>
  <c r="D203" i="17"/>
  <c r="C203" i="17" s="1"/>
  <c r="D224" i="19"/>
  <c r="D231" i="19"/>
  <c r="D257" i="19"/>
  <c r="D261" i="19"/>
  <c r="D273" i="19"/>
  <c r="D283" i="19"/>
  <c r="D97" i="13"/>
  <c r="D181" i="13"/>
  <c r="D228" i="13"/>
  <c r="D54" i="13"/>
  <c r="D123" i="13"/>
  <c r="D214" i="13"/>
  <c r="D233" i="13"/>
  <c r="D253" i="13"/>
  <c r="D277" i="13"/>
  <c r="D293" i="13"/>
  <c r="D309" i="13"/>
  <c r="D135" i="19"/>
  <c r="D70" i="13"/>
  <c r="D133" i="13"/>
  <c r="D159" i="13"/>
  <c r="D187" i="13"/>
  <c r="D234" i="13"/>
  <c r="D266" i="13"/>
  <c r="D294" i="13"/>
  <c r="D314" i="13"/>
  <c r="D145" i="17"/>
  <c r="C145" i="17" s="1"/>
  <c r="D150" i="17"/>
  <c r="D155" i="17"/>
  <c r="D26" i="17"/>
  <c r="D175" i="17"/>
  <c r="C175" i="17" s="1"/>
  <c r="D56" i="17"/>
  <c r="D57" i="17"/>
  <c r="C57" i="17" s="1"/>
  <c r="D31" i="17"/>
  <c r="C31" i="17" s="1"/>
  <c r="D190" i="17"/>
  <c r="C190" i="17" s="1"/>
  <c r="D204" i="17"/>
  <c r="C204" i="17" s="1"/>
  <c r="D208" i="17"/>
  <c r="C208" i="17" s="1"/>
  <c r="D213" i="17"/>
  <c r="D102" i="17"/>
  <c r="C102" i="17" s="1"/>
  <c r="D144" i="13"/>
  <c r="D160" i="13"/>
  <c r="D176" i="13"/>
  <c r="D192" i="13"/>
  <c r="D208" i="13"/>
  <c r="D223" i="13"/>
  <c r="D239" i="13"/>
  <c r="D255" i="13"/>
  <c r="D271" i="13"/>
  <c r="D287" i="13"/>
  <c r="D303" i="13"/>
  <c r="D319" i="13"/>
  <c r="D8" i="13"/>
  <c r="D114" i="17"/>
  <c r="D125" i="13"/>
  <c r="D322" i="17"/>
  <c r="D244" i="13"/>
  <c r="D267" i="17"/>
  <c r="C267" i="17" s="1"/>
  <c r="D31" i="13"/>
  <c r="D85" i="19"/>
  <c r="D175" i="13"/>
  <c r="D190" i="13"/>
  <c r="D79" i="13"/>
  <c r="D110" i="13"/>
  <c r="D167" i="13"/>
  <c r="D110" i="17"/>
  <c r="C110" i="17" s="1"/>
  <c r="D109" i="19"/>
  <c r="D272" i="17"/>
  <c r="C272" i="17" s="1"/>
  <c r="D150" i="13"/>
  <c r="D76" i="13"/>
  <c r="D296" i="17"/>
  <c r="C296" i="17" s="1"/>
  <c r="D99" i="17"/>
  <c r="D257" i="17"/>
  <c r="C257" i="17" s="1"/>
  <c r="D147" i="13"/>
  <c r="D113" i="13"/>
  <c r="D71" i="13"/>
  <c r="D94" i="19"/>
  <c r="D246" i="13"/>
  <c r="D154" i="13"/>
  <c r="D280" i="13"/>
  <c r="D47" i="13"/>
  <c r="D299" i="17"/>
  <c r="D38" i="17"/>
  <c r="C38" i="17" s="1"/>
  <c r="D244" i="17"/>
  <c r="C244" i="17" s="1"/>
  <c r="D111" i="13"/>
  <c r="D315" i="17"/>
  <c r="D118" i="13"/>
  <c r="D215" i="13"/>
  <c r="D129" i="13"/>
  <c r="D273" i="13"/>
  <c r="D212" i="17"/>
  <c r="C212" i="17" s="1"/>
  <c r="D229" i="17"/>
  <c r="D24" i="13"/>
  <c r="D75" i="17"/>
  <c r="C75" i="17" s="1"/>
  <c r="D199" i="13"/>
  <c r="D74" i="13"/>
  <c r="D46" i="13"/>
  <c r="D67" i="13"/>
  <c r="D11" i="17"/>
  <c r="C11" i="17" s="1"/>
  <c r="D239" i="17"/>
  <c r="C239" i="17" s="1"/>
  <c r="D27" i="13"/>
  <c r="D131" i="19"/>
  <c r="D226" i="17"/>
  <c r="D149" i="17"/>
  <c r="C149" i="17" s="1"/>
  <c r="D252" i="13"/>
  <c r="D122" i="13"/>
  <c r="D36" i="13"/>
  <c r="D185" i="13"/>
  <c r="D278" i="13"/>
  <c r="D80" i="13"/>
  <c r="D296" i="13"/>
  <c r="D266" i="17"/>
  <c r="D89" i="17"/>
  <c r="D99" i="19"/>
  <c r="D80" i="17"/>
  <c r="D246" i="17"/>
  <c r="D19" i="17"/>
  <c r="C19" i="17" s="1"/>
  <c r="D198" i="13"/>
  <c r="D223" i="17"/>
  <c r="D206" i="13"/>
  <c r="D277" i="19"/>
  <c r="D290" i="13"/>
  <c r="D303" i="17"/>
  <c r="C303" i="17" s="1"/>
  <c r="D130" i="17"/>
  <c r="C130" i="17" s="1"/>
  <c r="D59" i="13"/>
  <c r="D84" i="13"/>
  <c r="D205" i="13"/>
  <c r="D269" i="17"/>
  <c r="C269" i="17" s="1"/>
  <c r="D319" i="17"/>
  <c r="D318" i="17"/>
  <c r="C318" i="17" s="1"/>
  <c r="D134" i="17"/>
  <c r="C134" i="17" s="1"/>
  <c r="D52" i="13"/>
  <c r="D216" i="17"/>
  <c r="D201" i="13"/>
  <c r="D280" i="17"/>
  <c r="D259" i="17"/>
  <c r="D30" i="13"/>
  <c r="D64" i="13"/>
  <c r="D146" i="13"/>
  <c r="D109" i="13"/>
  <c r="D48" i="17"/>
  <c r="D232" i="17"/>
  <c r="D58" i="13"/>
  <c r="D109" i="17"/>
  <c r="D322" i="13"/>
  <c r="D124" i="17"/>
  <c r="C124" i="17" s="1"/>
  <c r="D137" i="17"/>
  <c r="D26" i="13"/>
  <c r="D102" i="13"/>
  <c r="D121" i="13"/>
  <c r="D268" i="17"/>
  <c r="C268" i="17" s="1"/>
  <c r="D43" i="17"/>
  <c r="C43" i="17" s="1"/>
  <c r="D119" i="13"/>
  <c r="D96" i="17"/>
  <c r="C96" i="17" s="1"/>
  <c r="D135" i="13"/>
  <c r="D82" i="13"/>
  <c r="D173" i="13"/>
  <c r="D288" i="17"/>
  <c r="C288" i="17" s="1"/>
  <c r="D264" i="13"/>
  <c r="D169" i="13"/>
  <c r="D94" i="13"/>
  <c r="D14" i="19"/>
  <c r="D197" i="19"/>
  <c r="D239" i="19"/>
  <c r="D285" i="19"/>
  <c r="D4" i="19"/>
  <c r="D38" i="19"/>
  <c r="D186" i="19"/>
  <c r="D76" i="19"/>
  <c r="D107" i="19"/>
  <c r="D52" i="19"/>
  <c r="D255" i="19"/>
  <c r="D33" i="19"/>
  <c r="D19" i="19"/>
  <c r="D249" i="19"/>
  <c r="D151" i="19"/>
  <c r="D311" i="19"/>
  <c r="D95" i="19"/>
  <c r="D268" i="19"/>
  <c r="D79" i="19"/>
  <c r="D102" i="19"/>
  <c r="D49" i="19"/>
  <c r="D235" i="19"/>
  <c r="D260" i="19"/>
  <c r="D300" i="19"/>
  <c r="D163" i="19"/>
  <c r="D73" i="19"/>
  <c r="D55" i="19"/>
  <c r="D66" i="19"/>
  <c r="D207" i="19"/>
  <c r="D31" i="19"/>
  <c r="D36" i="19"/>
  <c r="D71" i="19"/>
  <c r="D197" i="17"/>
  <c r="C197" i="17" s="1"/>
  <c r="D50" i="17"/>
  <c r="C50" i="17" s="1"/>
  <c r="D123" i="19"/>
  <c r="D163" i="17"/>
  <c r="C163" i="17" s="1"/>
  <c r="D200" i="17"/>
  <c r="C200" i="17" s="1"/>
  <c r="D111" i="17"/>
  <c r="C111" i="17" s="1"/>
  <c r="D123" i="17"/>
  <c r="D16" i="17"/>
  <c r="C16" i="17" s="1"/>
  <c r="D27" i="19"/>
  <c r="D151" i="17"/>
  <c r="D87" i="17"/>
  <c r="C87" i="17" s="1"/>
  <c r="D88" i="17"/>
  <c r="C88" i="17" s="1"/>
  <c r="D92" i="17"/>
  <c r="D236" i="17"/>
  <c r="C236" i="17" s="1"/>
  <c r="D39" i="17"/>
  <c r="C39" i="17" s="1"/>
  <c r="D242" i="17"/>
  <c r="C242" i="17" s="1"/>
  <c r="D247" i="17"/>
  <c r="C247" i="17" s="1"/>
  <c r="D254" i="17"/>
  <c r="C254" i="17" s="1"/>
  <c r="D261" i="17"/>
  <c r="C261" i="17" s="1"/>
  <c r="D271" i="17"/>
  <c r="C271" i="17" s="1"/>
  <c r="D126" i="17"/>
  <c r="D278" i="17"/>
  <c r="C278" i="17" s="1"/>
  <c r="D284" i="17"/>
  <c r="D290" i="17"/>
  <c r="C290" i="17" s="1"/>
  <c r="D74" i="17"/>
  <c r="D302" i="17"/>
  <c r="C302" i="17" s="1"/>
  <c r="D305" i="17"/>
  <c r="C305" i="17" s="1"/>
  <c r="D77" i="17"/>
  <c r="D316" i="17"/>
  <c r="C316" i="17" s="1"/>
  <c r="D18" i="17"/>
  <c r="C18" i="17" s="1"/>
  <c r="D281" i="19"/>
  <c r="D136" i="19"/>
  <c r="D64" i="19"/>
  <c r="D82" i="19"/>
  <c r="D6" i="19"/>
  <c r="D156" i="19"/>
  <c r="D160" i="19"/>
  <c r="D17" i="19"/>
  <c r="D88" i="19"/>
  <c r="D18" i="19"/>
  <c r="D120" i="19"/>
  <c r="D313" i="19"/>
  <c r="D187" i="19"/>
  <c r="D194" i="19"/>
  <c r="D122" i="19"/>
  <c r="D50" i="19"/>
  <c r="D208" i="19"/>
  <c r="D213" i="19"/>
  <c r="D218" i="19"/>
  <c r="D7" i="19"/>
  <c r="D51" i="19"/>
  <c r="D69" i="19"/>
  <c r="D230" i="19"/>
  <c r="D232" i="19"/>
  <c r="D48" i="19"/>
  <c r="D240" i="19"/>
  <c r="D252" i="19"/>
  <c r="D269" i="19"/>
  <c r="D161" i="19"/>
  <c r="D137" i="19"/>
  <c r="D83" i="19"/>
  <c r="D54" i="19"/>
  <c r="D165" i="19"/>
  <c r="D172" i="19"/>
  <c r="D180" i="19"/>
  <c r="D218" i="17"/>
  <c r="C218" i="17" s="1"/>
  <c r="D106" i="17"/>
  <c r="D66" i="17"/>
  <c r="D121" i="17"/>
  <c r="C121" i="17" s="1"/>
  <c r="D69" i="17"/>
  <c r="D275" i="17"/>
  <c r="C275" i="17" s="1"/>
  <c r="D49" i="17"/>
  <c r="C49" i="17" s="1"/>
  <c r="D298" i="17"/>
  <c r="C298" i="17" s="1"/>
  <c r="D76" i="17"/>
  <c r="C76" i="17" s="1"/>
  <c r="D18" i="13"/>
  <c r="D149" i="13"/>
  <c r="D197" i="13"/>
  <c r="D236" i="13"/>
  <c r="D304" i="13"/>
  <c r="D35" i="13"/>
  <c r="D98" i="13"/>
  <c r="D6" i="13"/>
  <c r="D99" i="13"/>
  <c r="D131" i="13"/>
  <c r="D217" i="13"/>
  <c r="D237" i="13"/>
  <c r="D261" i="13"/>
  <c r="D281" i="13"/>
  <c r="D297" i="13"/>
  <c r="D313" i="13"/>
  <c r="D139" i="13"/>
  <c r="D163" i="13"/>
  <c r="D191" i="13"/>
  <c r="D218" i="13"/>
  <c r="D238" i="13"/>
  <c r="D270" i="13"/>
  <c r="D298" i="13"/>
  <c r="D318" i="13"/>
  <c r="D13" i="13"/>
  <c r="D21" i="13"/>
  <c r="D29" i="13"/>
  <c r="D37" i="13"/>
  <c r="D45" i="13"/>
  <c r="D53" i="13"/>
  <c r="D61" i="13"/>
  <c r="D69" i="13"/>
  <c r="D77" i="13"/>
  <c r="D85" i="13"/>
  <c r="D92" i="13"/>
  <c r="D100" i="13"/>
  <c r="D108" i="13"/>
  <c r="D116" i="13"/>
  <c r="D124" i="13"/>
  <c r="D132" i="13"/>
  <c r="D95" i="13"/>
  <c r="D148" i="13"/>
  <c r="D164" i="13"/>
  <c r="D180" i="13"/>
  <c r="D196" i="13"/>
  <c r="D212" i="13"/>
  <c r="D227" i="13"/>
  <c r="D243" i="13"/>
  <c r="D259" i="13"/>
  <c r="D275" i="13"/>
  <c r="D291" i="13"/>
  <c r="D307" i="13"/>
  <c r="D323" i="13"/>
  <c r="D317" i="17"/>
  <c r="C317" i="17" s="1"/>
  <c r="L35" i="19"/>
  <c r="L1" i="19" s="1"/>
  <c r="L5" i="18" l="1"/>
  <c r="F135" i="19"/>
  <c r="F136" i="19"/>
  <c r="F137" i="19"/>
  <c r="F104" i="19"/>
  <c r="F138" i="19"/>
  <c r="F139" i="19"/>
  <c r="F81" i="19"/>
  <c r="F116" i="19"/>
  <c r="F140" i="19"/>
  <c r="F64" i="19"/>
  <c r="F141" i="19"/>
  <c r="F142" i="19"/>
  <c r="F143" i="19"/>
  <c r="F144" i="19"/>
  <c r="F145" i="19"/>
  <c r="F310" i="19"/>
  <c r="F146" i="19"/>
  <c r="F82" i="19"/>
  <c r="F83" i="19"/>
  <c r="F147" i="19"/>
  <c r="F148" i="19"/>
  <c r="F53" i="19"/>
  <c r="F149" i="19"/>
  <c r="F150" i="19"/>
  <c r="F84" i="19"/>
  <c r="F6" i="19"/>
  <c r="F151" i="19"/>
  <c r="F152" i="19"/>
  <c r="F85" i="19"/>
  <c r="F153" i="19"/>
  <c r="F154" i="19"/>
  <c r="F155" i="19"/>
  <c r="F4" i="19"/>
  <c r="F156" i="19"/>
  <c r="F54" i="19"/>
  <c r="F60" i="19"/>
  <c r="F14" i="19"/>
  <c r="F157" i="19"/>
  <c r="F158" i="19"/>
  <c r="F159" i="19"/>
  <c r="F86" i="19"/>
  <c r="F160" i="19"/>
  <c r="F161" i="19"/>
  <c r="F117" i="19"/>
  <c r="F15" i="19"/>
  <c r="F16" i="19"/>
  <c r="F162" i="19"/>
  <c r="F163" i="19"/>
  <c r="F32" i="19"/>
  <c r="F307" i="19"/>
  <c r="F164" i="19"/>
  <c r="F308" i="19"/>
  <c r="F33" i="19"/>
  <c r="F65" i="19"/>
  <c r="F165" i="19"/>
  <c r="F166" i="19"/>
  <c r="F72" i="19"/>
  <c r="F17" i="19"/>
  <c r="F167" i="19"/>
  <c r="F168" i="19"/>
  <c r="F169" i="19"/>
  <c r="F118" i="19"/>
  <c r="F87" i="19"/>
  <c r="F37" i="19"/>
  <c r="F38" i="19"/>
  <c r="F88" i="19"/>
  <c r="F170" i="19"/>
  <c r="F49" i="19"/>
  <c r="F89" i="19"/>
  <c r="F171" i="19"/>
  <c r="F172" i="19"/>
  <c r="F173" i="19"/>
  <c r="F174" i="19"/>
  <c r="F18" i="19"/>
  <c r="F175" i="19"/>
  <c r="F10" i="19"/>
  <c r="F311" i="19"/>
  <c r="F176" i="19"/>
  <c r="F119" i="19"/>
  <c r="F177" i="19"/>
  <c r="F178" i="19"/>
  <c r="F120" i="19"/>
  <c r="F61" i="19"/>
  <c r="F62" i="19"/>
  <c r="F105" i="19"/>
  <c r="F179" i="19"/>
  <c r="F180" i="19"/>
  <c r="F181" i="19"/>
  <c r="F312" i="19"/>
  <c r="F313" i="19"/>
  <c r="F66" i="19"/>
  <c r="F182" i="19"/>
  <c r="F106" i="19"/>
  <c r="F183" i="19"/>
  <c r="F184" i="19"/>
  <c r="F185" i="19"/>
  <c r="F186" i="19"/>
  <c r="F187" i="19"/>
  <c r="F188" i="19"/>
  <c r="F189" i="19"/>
  <c r="F190" i="19"/>
  <c r="F191" i="19"/>
  <c r="F314" i="19"/>
  <c r="F192" i="19"/>
  <c r="F193" i="19"/>
  <c r="F194" i="19"/>
  <c r="F195" i="19"/>
  <c r="F196" i="19"/>
  <c r="F197" i="19"/>
  <c r="F90" i="19"/>
  <c r="F315" i="19"/>
  <c r="F198" i="19"/>
  <c r="F121" i="19"/>
  <c r="F122" i="19"/>
  <c r="F199" i="19"/>
  <c r="F200" i="19"/>
  <c r="F201" i="19"/>
  <c r="F202" i="19"/>
  <c r="F91" i="19"/>
  <c r="F203" i="19"/>
  <c r="F123" i="19"/>
  <c r="F50" i="19"/>
  <c r="F204" i="19"/>
  <c r="F205" i="19"/>
  <c r="F19" i="19"/>
  <c r="F206" i="19"/>
  <c r="F207" i="19"/>
  <c r="F124" i="19"/>
  <c r="F76" i="19"/>
  <c r="F208" i="19"/>
  <c r="F209" i="19"/>
  <c r="F67" i="19"/>
  <c r="F92" i="19"/>
  <c r="F210" i="19"/>
  <c r="F211" i="19"/>
  <c r="F309" i="19"/>
  <c r="F212" i="19"/>
  <c r="F213" i="19"/>
  <c r="F316" i="19"/>
  <c r="F214" i="19"/>
  <c r="F215" i="19"/>
  <c r="F93" i="19"/>
  <c r="F216" i="19"/>
  <c r="F217" i="19"/>
  <c r="F20" i="19"/>
  <c r="F218" i="19"/>
  <c r="F39" i="19"/>
  <c r="F73" i="19"/>
  <c r="F56" i="19"/>
  <c r="F57" i="19"/>
  <c r="F125" i="19"/>
  <c r="F30" i="19"/>
  <c r="F34" i="19"/>
  <c r="F7" i="19"/>
  <c r="F31" i="19"/>
  <c r="F219" i="19"/>
  <c r="F220" i="19"/>
  <c r="F221" i="19"/>
  <c r="F222" i="19"/>
  <c r="F223" i="19"/>
  <c r="F107" i="19"/>
  <c r="F51" i="19"/>
  <c r="F224" i="19"/>
  <c r="F225" i="19"/>
  <c r="F226" i="19"/>
  <c r="F227" i="19"/>
  <c r="F68" i="19"/>
  <c r="F94" i="19"/>
  <c r="F95" i="19"/>
  <c r="F69" i="19"/>
  <c r="F108" i="19"/>
  <c r="F126" i="19"/>
  <c r="F127" i="19"/>
  <c r="F228" i="19"/>
  <c r="F35" i="19"/>
  <c r="F96" i="19"/>
  <c r="F229" i="19"/>
  <c r="F230" i="19"/>
  <c r="F231" i="19"/>
  <c r="F5" i="19"/>
  <c r="F317" i="19"/>
  <c r="F40" i="19"/>
  <c r="F8" i="19"/>
  <c r="F109" i="19"/>
  <c r="F21" i="19"/>
  <c r="F232" i="19"/>
  <c r="F233" i="19"/>
  <c r="F234" i="19"/>
  <c r="F128" i="19"/>
  <c r="F77" i="19"/>
  <c r="F36" i="19"/>
  <c r="F55" i="19"/>
  <c r="F52" i="19"/>
  <c r="F48" i="19"/>
  <c r="F41" i="19"/>
  <c r="F235" i="19"/>
  <c r="F22" i="19"/>
  <c r="F236" i="19"/>
  <c r="F237" i="19"/>
  <c r="F238" i="19"/>
  <c r="F239" i="19"/>
  <c r="F240" i="19"/>
  <c r="F241" i="19"/>
  <c r="F78" i="19"/>
  <c r="F242" i="19"/>
  <c r="F243" i="19"/>
  <c r="F79" i="19"/>
  <c r="F244" i="19"/>
  <c r="F245" i="19"/>
  <c r="F246" i="19"/>
  <c r="F110" i="19"/>
  <c r="F247" i="19"/>
  <c r="F248" i="19"/>
  <c r="F129" i="19"/>
  <c r="F130" i="19"/>
  <c r="F131" i="19"/>
  <c r="F249" i="19"/>
  <c r="F23" i="19"/>
  <c r="F250" i="19"/>
  <c r="F111" i="19"/>
  <c r="F251" i="19"/>
  <c r="F252" i="19"/>
  <c r="F253" i="19"/>
  <c r="F254" i="19"/>
  <c r="F255" i="19"/>
  <c r="F256" i="19"/>
  <c r="F257" i="19"/>
  <c r="F318" i="19"/>
  <c r="F24" i="19"/>
  <c r="F258" i="19"/>
  <c r="F97" i="19"/>
  <c r="F70" i="19"/>
  <c r="F25" i="19"/>
  <c r="F74" i="19"/>
  <c r="F42" i="19"/>
  <c r="F98" i="19"/>
  <c r="F43" i="19"/>
  <c r="F259" i="19"/>
  <c r="F260" i="19"/>
  <c r="F132" i="19"/>
  <c r="F112" i="19"/>
  <c r="F75" i="19"/>
  <c r="F261" i="19"/>
  <c r="F262" i="19"/>
  <c r="F263" i="19"/>
  <c r="F264" i="19"/>
  <c r="F265" i="19"/>
  <c r="F99" i="19"/>
  <c r="F266" i="19"/>
  <c r="F26" i="19"/>
  <c r="F44" i="19"/>
  <c r="F267" i="19"/>
  <c r="F268" i="19"/>
  <c r="F269" i="19"/>
  <c r="F80" i="19"/>
  <c r="F270" i="19"/>
  <c r="F271" i="19"/>
  <c r="F272" i="19"/>
  <c r="F273" i="19"/>
  <c r="F63" i="19"/>
  <c r="F274" i="19"/>
  <c r="F275" i="19"/>
  <c r="F276" i="19"/>
  <c r="F277" i="19"/>
  <c r="F27" i="19"/>
  <c r="F45" i="19"/>
  <c r="F278" i="19"/>
  <c r="F279" i="19"/>
  <c r="F58" i="19"/>
  <c r="F280" i="19"/>
  <c r="F281" i="19"/>
  <c r="F100" i="19"/>
  <c r="F319" i="19"/>
  <c r="F282" i="19"/>
  <c r="F283" i="19"/>
  <c r="F284" i="19"/>
  <c r="F285" i="19"/>
  <c r="F46" i="19"/>
  <c r="F9" i="19"/>
  <c r="F101" i="19"/>
  <c r="F13" i="19"/>
  <c r="F133" i="19"/>
  <c r="F286" i="19"/>
  <c r="F287" i="19"/>
  <c r="F288" i="19"/>
  <c r="F11" i="19"/>
  <c r="F113" i="19"/>
  <c r="F289" i="19"/>
  <c r="F290" i="19"/>
  <c r="F28" i="19"/>
  <c r="F71" i="19"/>
  <c r="F102" i="19"/>
  <c r="F114" i="19"/>
  <c r="F103" i="19"/>
  <c r="F59" i="19"/>
  <c r="F291" i="19"/>
  <c r="F134" i="19"/>
  <c r="F292" i="19"/>
  <c r="F293" i="19"/>
  <c r="F294" i="19"/>
  <c r="F295" i="19"/>
  <c r="F47" i="19"/>
  <c r="F296" i="19"/>
  <c r="F297" i="19"/>
  <c r="F298" i="19"/>
  <c r="F299" i="19"/>
  <c r="F300" i="19"/>
  <c r="F320" i="19"/>
  <c r="F12" i="19"/>
  <c r="F301" i="19"/>
  <c r="F302" i="19"/>
  <c r="F303" i="19"/>
  <c r="F115" i="19"/>
  <c r="F321" i="19"/>
  <c r="F304" i="19"/>
  <c r="F29" i="19"/>
  <c r="F322" i="19"/>
  <c r="F323" i="19"/>
  <c r="F324" i="19"/>
  <c r="F305" i="19"/>
  <c r="F306" i="19"/>
  <c r="E135" i="19"/>
  <c r="E136" i="19"/>
  <c r="E137" i="19"/>
  <c r="E104" i="19"/>
  <c r="E138" i="19"/>
  <c r="E139" i="19"/>
  <c r="E81" i="19"/>
  <c r="E116" i="19"/>
  <c r="E140" i="19"/>
  <c r="E64" i="19"/>
  <c r="E141" i="19"/>
  <c r="E142" i="19"/>
  <c r="E143" i="19"/>
  <c r="E144" i="19"/>
  <c r="E145" i="19"/>
  <c r="E310" i="19"/>
  <c r="E146" i="19"/>
  <c r="E82" i="19"/>
  <c r="E83" i="19"/>
  <c r="E147" i="19"/>
  <c r="E148" i="19"/>
  <c r="E53" i="19"/>
  <c r="E149" i="19"/>
  <c r="E150" i="19"/>
  <c r="E84" i="19"/>
  <c r="E6" i="19"/>
  <c r="E151" i="19"/>
  <c r="E152" i="19"/>
  <c r="E85" i="19"/>
  <c r="E153" i="19"/>
  <c r="E154" i="19"/>
  <c r="E155" i="19"/>
  <c r="E4" i="19"/>
  <c r="E156" i="19"/>
  <c r="E54" i="19"/>
  <c r="E60" i="19"/>
  <c r="E14" i="19"/>
  <c r="E157" i="19"/>
  <c r="E158" i="19"/>
  <c r="E159" i="19"/>
  <c r="E86" i="19"/>
  <c r="E160" i="19"/>
  <c r="E161" i="19"/>
  <c r="E117" i="19"/>
  <c r="E15" i="19"/>
  <c r="E16" i="19"/>
  <c r="E162" i="19"/>
  <c r="E163" i="19"/>
  <c r="E32" i="19"/>
  <c r="E307" i="19"/>
  <c r="E164" i="19"/>
  <c r="E308" i="19"/>
  <c r="E33" i="19"/>
  <c r="E65" i="19"/>
  <c r="E165" i="19"/>
  <c r="E166" i="19"/>
  <c r="E72" i="19"/>
  <c r="E17" i="19"/>
  <c r="E167" i="19"/>
  <c r="E168" i="19"/>
  <c r="E169" i="19"/>
  <c r="E118" i="19"/>
  <c r="E87" i="19"/>
  <c r="E37" i="19"/>
  <c r="E38" i="19"/>
  <c r="E88" i="19"/>
  <c r="E170" i="19"/>
  <c r="E49" i="19"/>
  <c r="E89" i="19"/>
  <c r="E171" i="19"/>
  <c r="E172" i="19"/>
  <c r="E173" i="19"/>
  <c r="E174" i="19"/>
  <c r="E18" i="19"/>
  <c r="E175" i="19"/>
  <c r="E10" i="19"/>
  <c r="E311" i="19"/>
  <c r="E176" i="19"/>
  <c r="E119" i="19"/>
  <c r="E177" i="19"/>
  <c r="E178" i="19"/>
  <c r="E120" i="19"/>
  <c r="E61" i="19"/>
  <c r="E62" i="19"/>
  <c r="E105" i="19"/>
  <c r="E179" i="19"/>
  <c r="E180" i="19"/>
  <c r="E181" i="19"/>
  <c r="E312" i="19"/>
  <c r="E313" i="19"/>
  <c r="E66" i="19"/>
  <c r="E182" i="19"/>
  <c r="E106" i="19"/>
  <c r="E183" i="19"/>
  <c r="E184" i="19"/>
  <c r="E185" i="19"/>
  <c r="E186" i="19"/>
  <c r="E187" i="19"/>
  <c r="E188" i="19"/>
  <c r="E189" i="19"/>
  <c r="E190" i="19"/>
  <c r="E191" i="19"/>
  <c r="E314" i="19"/>
  <c r="E192" i="19"/>
  <c r="E193" i="19"/>
  <c r="E194" i="19"/>
  <c r="E195" i="19"/>
  <c r="E196" i="19"/>
  <c r="E197" i="19"/>
  <c r="E90" i="19"/>
  <c r="E315" i="19"/>
  <c r="E198" i="19"/>
  <c r="E121" i="19"/>
  <c r="E122" i="19"/>
  <c r="E199" i="19"/>
  <c r="E200" i="19"/>
  <c r="E201" i="19"/>
  <c r="E202" i="19"/>
  <c r="E91" i="19"/>
  <c r="E203" i="19"/>
  <c r="E123" i="19"/>
  <c r="E50" i="19"/>
  <c r="E204" i="19"/>
  <c r="E205" i="19"/>
  <c r="E19" i="19"/>
  <c r="E206" i="19"/>
  <c r="E207" i="19"/>
  <c r="E124" i="19"/>
  <c r="E76" i="19"/>
  <c r="E208" i="19"/>
  <c r="E209" i="19"/>
  <c r="E67" i="19"/>
  <c r="E92" i="19"/>
  <c r="E210" i="19"/>
  <c r="E211" i="19"/>
  <c r="E309" i="19"/>
  <c r="E212" i="19"/>
  <c r="E213" i="19"/>
  <c r="E316" i="19"/>
  <c r="E214" i="19"/>
  <c r="E215" i="19"/>
  <c r="E93" i="19"/>
  <c r="E216" i="19"/>
  <c r="E217" i="19"/>
  <c r="E20" i="19"/>
  <c r="E218" i="19"/>
  <c r="E39" i="19"/>
  <c r="E73" i="19"/>
  <c r="E56" i="19"/>
  <c r="E57" i="19"/>
  <c r="E125" i="19"/>
  <c r="E30" i="19"/>
  <c r="E34" i="19"/>
  <c r="E7" i="19"/>
  <c r="E31" i="19"/>
  <c r="E219" i="19"/>
  <c r="E220" i="19"/>
  <c r="E221" i="19"/>
  <c r="E222" i="19"/>
  <c r="E223" i="19"/>
  <c r="E107" i="19"/>
  <c r="E51" i="19"/>
  <c r="E224" i="19"/>
  <c r="E225" i="19"/>
  <c r="E226" i="19"/>
  <c r="E227" i="19"/>
  <c r="E68" i="19"/>
  <c r="E94" i="19"/>
  <c r="E95" i="19"/>
  <c r="E69" i="19"/>
  <c r="E108" i="19"/>
  <c r="E126" i="19"/>
  <c r="E127" i="19"/>
  <c r="E228" i="19"/>
  <c r="E35" i="19"/>
  <c r="E96" i="19"/>
  <c r="E229" i="19"/>
  <c r="E230" i="19"/>
  <c r="E231" i="19"/>
  <c r="E5" i="19"/>
  <c r="E317" i="19"/>
  <c r="E40" i="19"/>
  <c r="E8" i="19"/>
  <c r="E109" i="19"/>
  <c r="E21" i="19"/>
  <c r="E232" i="19"/>
  <c r="E233" i="19"/>
  <c r="E234" i="19"/>
  <c r="E128" i="19"/>
  <c r="E77" i="19"/>
  <c r="E36" i="19"/>
  <c r="E55" i="19"/>
  <c r="E52" i="19"/>
  <c r="E48" i="19"/>
  <c r="E41" i="19"/>
  <c r="E235" i="19"/>
  <c r="E22" i="19"/>
  <c r="E236" i="19"/>
  <c r="E237" i="19"/>
  <c r="E238" i="19"/>
  <c r="E239" i="19"/>
  <c r="E240" i="19"/>
  <c r="E241" i="19"/>
  <c r="E78" i="19"/>
  <c r="E242" i="19"/>
  <c r="E243" i="19"/>
  <c r="E79" i="19"/>
  <c r="E244" i="19"/>
  <c r="E245" i="19"/>
  <c r="E246" i="19"/>
  <c r="E110" i="19"/>
  <c r="E247" i="19"/>
  <c r="E248" i="19"/>
  <c r="E129" i="19"/>
  <c r="E130" i="19"/>
  <c r="E131" i="19"/>
  <c r="E249" i="19"/>
  <c r="E23" i="19"/>
  <c r="E250" i="19"/>
  <c r="E111" i="19"/>
  <c r="E251" i="19"/>
  <c r="E252" i="19"/>
  <c r="E253" i="19"/>
  <c r="E254" i="19"/>
  <c r="E255" i="19"/>
  <c r="E256" i="19"/>
  <c r="E257" i="19"/>
  <c r="E318" i="19"/>
  <c r="E24" i="19"/>
  <c r="E258" i="19"/>
  <c r="E97" i="19"/>
  <c r="E70" i="19"/>
  <c r="E25" i="19"/>
  <c r="E74" i="19"/>
  <c r="E42" i="19"/>
  <c r="E98" i="19"/>
  <c r="E43" i="19"/>
  <c r="E259" i="19"/>
  <c r="E260" i="19"/>
  <c r="E132" i="19"/>
  <c r="E112" i="19"/>
  <c r="E75" i="19"/>
  <c r="E261" i="19"/>
  <c r="E262" i="19"/>
  <c r="E263" i="19"/>
  <c r="E264" i="19"/>
  <c r="E265" i="19"/>
  <c r="E99" i="19"/>
  <c r="E266" i="19"/>
  <c r="E26" i="19"/>
  <c r="E44" i="19"/>
  <c r="E267" i="19"/>
  <c r="E268" i="19"/>
  <c r="E269" i="19"/>
  <c r="E80" i="19"/>
  <c r="E270" i="19"/>
  <c r="E271" i="19"/>
  <c r="E272" i="19"/>
  <c r="E273" i="19"/>
  <c r="E63" i="19"/>
  <c r="E274" i="19"/>
  <c r="E275" i="19"/>
  <c r="E276" i="19"/>
  <c r="E277" i="19"/>
  <c r="E27" i="19"/>
  <c r="E45" i="19"/>
  <c r="E278" i="19"/>
  <c r="E279" i="19"/>
  <c r="E58" i="19"/>
  <c r="E280" i="19"/>
  <c r="E281" i="19"/>
  <c r="E100" i="19"/>
  <c r="E319" i="19"/>
  <c r="E282" i="19"/>
  <c r="E283" i="19"/>
  <c r="E284" i="19"/>
  <c r="E285" i="19"/>
  <c r="E46" i="19"/>
  <c r="E9" i="19"/>
  <c r="E101" i="19"/>
  <c r="E13" i="19"/>
  <c r="E133" i="19"/>
  <c r="E286" i="19"/>
  <c r="E287" i="19"/>
  <c r="E288" i="19"/>
  <c r="E11" i="19"/>
  <c r="E113" i="19"/>
  <c r="E289" i="19"/>
  <c r="E290" i="19"/>
  <c r="E28" i="19"/>
  <c r="E71" i="19"/>
  <c r="E102" i="19"/>
  <c r="E114" i="19"/>
  <c r="E103" i="19"/>
  <c r="E59" i="19"/>
  <c r="E291" i="19"/>
  <c r="E134" i="19"/>
  <c r="E292" i="19"/>
  <c r="E293" i="19"/>
  <c r="E294" i="19"/>
  <c r="E295" i="19"/>
  <c r="E47" i="19"/>
  <c r="E296" i="19"/>
  <c r="E297" i="19"/>
  <c r="E298" i="19"/>
  <c r="E299" i="19"/>
  <c r="E300" i="19"/>
  <c r="E320" i="19"/>
  <c r="E12" i="19"/>
  <c r="E301" i="19"/>
  <c r="E302" i="19"/>
  <c r="E303" i="19"/>
  <c r="E115" i="19"/>
  <c r="E321" i="19"/>
  <c r="E304" i="19"/>
  <c r="E29" i="19"/>
  <c r="E322" i="19"/>
  <c r="E323" i="19"/>
  <c r="E324" i="19"/>
  <c r="E305" i="19"/>
  <c r="E306" i="19"/>
  <c r="L6" i="18"/>
  <c r="L4" i="18"/>
  <c r="E7" i="18"/>
  <c r="E8" i="18"/>
  <c r="E9" i="18"/>
  <c r="E10" i="18"/>
  <c r="E11" i="18"/>
  <c r="E12" i="18"/>
  <c r="E13" i="18"/>
  <c r="E14" i="18"/>
  <c r="E15" i="18"/>
  <c r="E4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5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6" i="18"/>
  <c r="E70" i="18"/>
  <c r="E71" i="18"/>
  <c r="E72" i="18"/>
  <c r="E73" i="18"/>
  <c r="E74" i="18"/>
  <c r="E75" i="18"/>
  <c r="E76" i="18"/>
  <c r="F9" i="18"/>
  <c r="F8" i="18"/>
  <c r="F10" i="18"/>
  <c r="F11" i="18"/>
  <c r="F12" i="18"/>
  <c r="F13" i="18"/>
  <c r="F14" i="18"/>
  <c r="F15" i="18"/>
  <c r="F4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5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6" i="18"/>
  <c r="F70" i="18"/>
  <c r="F71" i="18"/>
  <c r="F72" i="18"/>
  <c r="F73" i="18"/>
  <c r="F74" i="18"/>
  <c r="F75" i="18"/>
  <c r="F76" i="18"/>
  <c r="L1" i="18" l="1"/>
  <c r="F80" i="17"/>
  <c r="G80" i="17"/>
  <c r="F79" i="17"/>
  <c r="G79" i="17"/>
  <c r="F53" i="17"/>
  <c r="G53" i="17"/>
  <c r="F134" i="17"/>
  <c r="F135" i="17"/>
  <c r="F136" i="17"/>
  <c r="F78" i="17"/>
  <c r="G134" i="17"/>
  <c r="G135" i="17"/>
  <c r="G136" i="17"/>
  <c r="G78" i="17"/>
  <c r="F75" i="17"/>
  <c r="F76" i="17"/>
  <c r="G75" i="17"/>
  <c r="G76" i="17"/>
  <c r="F131" i="17"/>
  <c r="F132" i="17"/>
  <c r="F133" i="17"/>
  <c r="F51" i="17"/>
  <c r="F52" i="17"/>
  <c r="G131" i="17"/>
  <c r="G132" i="17"/>
  <c r="G133" i="17"/>
  <c r="G51" i="17"/>
  <c r="G52" i="17"/>
  <c r="F130" i="17"/>
  <c r="G130" i="17"/>
  <c r="F129" i="17"/>
  <c r="G129" i="17"/>
  <c r="F50" i="17"/>
  <c r="G50" i="17"/>
  <c r="F49" i="17"/>
  <c r="G49" i="17"/>
  <c r="F128" i="17"/>
  <c r="G128" i="17"/>
  <c r="F127" i="17"/>
  <c r="G127" i="17"/>
  <c r="F48" i="17"/>
  <c r="F73" i="17"/>
  <c r="G48" i="17"/>
  <c r="G73" i="17"/>
  <c r="F71" i="17"/>
  <c r="F124" i="17"/>
  <c r="F125" i="17"/>
  <c r="F126" i="17"/>
  <c r="G71" i="17"/>
  <c r="G124" i="17"/>
  <c r="G125" i="17"/>
  <c r="G126" i="17"/>
  <c r="F123" i="17"/>
  <c r="G123" i="17"/>
  <c r="F45" i="17"/>
  <c r="F46" i="17"/>
  <c r="F47" i="17"/>
  <c r="G45" i="17"/>
  <c r="G46" i="17"/>
  <c r="G47" i="17"/>
  <c r="F44" i="17"/>
  <c r="G44" i="17"/>
  <c r="F43" i="17"/>
  <c r="G43" i="17"/>
  <c r="F41" i="17"/>
  <c r="F42" i="17"/>
  <c r="F119" i="17"/>
  <c r="F68" i="17"/>
  <c r="F120" i="17"/>
  <c r="F121" i="17"/>
  <c r="G41" i="17"/>
  <c r="G42" i="17"/>
  <c r="G119" i="17"/>
  <c r="G68" i="17"/>
  <c r="G120" i="17"/>
  <c r="G121" i="17"/>
  <c r="F117" i="17"/>
  <c r="G117" i="17"/>
  <c r="F40" i="17"/>
  <c r="G40" i="17"/>
  <c r="F115" i="17"/>
  <c r="G115" i="17"/>
  <c r="F110" i="17"/>
  <c r="F111" i="17"/>
  <c r="F112" i="17"/>
  <c r="F113" i="17"/>
  <c r="F38" i="17"/>
  <c r="F39" i="17"/>
  <c r="G110" i="17"/>
  <c r="G111" i="17"/>
  <c r="G112" i="17"/>
  <c r="G113" i="17"/>
  <c r="G38" i="17"/>
  <c r="G39" i="17"/>
  <c r="F64" i="17"/>
  <c r="G64" i="17"/>
  <c r="F108" i="17"/>
  <c r="F109" i="17"/>
  <c r="G108" i="17"/>
  <c r="G109" i="17"/>
  <c r="F106" i="17"/>
  <c r="F37" i="17"/>
  <c r="G106" i="17"/>
  <c r="G37" i="17"/>
  <c r="F105" i="17"/>
  <c r="G105" i="17"/>
  <c r="F104" i="17"/>
  <c r="G104" i="17"/>
  <c r="F102" i="17"/>
  <c r="F103" i="17"/>
  <c r="G102" i="17"/>
  <c r="G103" i="17"/>
  <c r="F35" i="17"/>
  <c r="F36" i="17"/>
  <c r="G35" i="17"/>
  <c r="G36" i="17"/>
  <c r="F34" i="17"/>
  <c r="G34" i="17"/>
  <c r="F101" i="17"/>
  <c r="G101" i="17"/>
  <c r="F32" i="17"/>
  <c r="F33" i="17"/>
  <c r="G32" i="17"/>
  <c r="G33" i="17"/>
  <c r="F100" i="17"/>
  <c r="G100" i="17"/>
  <c r="F99" i="17"/>
  <c r="G99" i="17"/>
  <c r="F29" i="17"/>
  <c r="F30" i="17"/>
  <c r="F31" i="17"/>
  <c r="G29" i="17"/>
  <c r="G30" i="17"/>
  <c r="G31" i="17"/>
  <c r="F28" i="17"/>
  <c r="G28" i="17"/>
  <c r="F57" i="17"/>
  <c r="G57" i="17"/>
  <c r="F98" i="17"/>
  <c r="G98" i="17"/>
  <c r="F27" i="17"/>
  <c r="F94" i="17"/>
  <c r="F95" i="17"/>
  <c r="F96" i="17"/>
  <c r="F97" i="17"/>
  <c r="G27" i="17"/>
  <c r="G94" i="17"/>
  <c r="G95" i="17"/>
  <c r="G96" i="17"/>
  <c r="G97" i="17"/>
  <c r="F91" i="17"/>
  <c r="F92" i="17"/>
  <c r="F93" i="17"/>
  <c r="G91" i="17"/>
  <c r="G92" i="17"/>
  <c r="G93" i="17"/>
  <c r="F89" i="17"/>
  <c r="F90" i="17"/>
  <c r="G89" i="17"/>
  <c r="G90" i="17"/>
  <c r="F26" i="17"/>
  <c r="G26" i="17"/>
  <c r="F88" i="17"/>
  <c r="G88" i="17"/>
  <c r="F24" i="17"/>
  <c r="F25" i="17"/>
  <c r="G24" i="17"/>
  <c r="G25" i="17"/>
  <c r="F23" i="17"/>
  <c r="G23" i="17"/>
  <c r="F87" i="17"/>
  <c r="G87" i="17"/>
  <c r="F85" i="17"/>
  <c r="F86" i="17"/>
  <c r="G85" i="17"/>
  <c r="G86" i="17"/>
  <c r="F22" i="17"/>
  <c r="G22" i="17"/>
  <c r="F83" i="17"/>
  <c r="F84" i="17"/>
  <c r="G83" i="17"/>
  <c r="G84" i="17"/>
  <c r="F82" i="17"/>
  <c r="G82" i="17"/>
  <c r="F81" i="17"/>
  <c r="F21" i="17"/>
  <c r="G81" i="17"/>
  <c r="G21" i="17"/>
  <c r="F54" i="17"/>
  <c r="G54" i="17"/>
  <c r="F7" i="18"/>
  <c r="F77" i="17" l="1"/>
  <c r="G77" i="17"/>
  <c r="F74" i="17"/>
  <c r="G74" i="17"/>
  <c r="F72" i="17"/>
  <c r="G72" i="17"/>
  <c r="F70" i="17"/>
  <c r="G70" i="17"/>
  <c r="F69" i="17"/>
  <c r="G69" i="17"/>
  <c r="F67" i="17"/>
  <c r="G67" i="17"/>
  <c r="F66" i="17"/>
  <c r="G66" i="17"/>
  <c r="F65" i="17"/>
  <c r="G65" i="17"/>
  <c r="F63" i="17"/>
  <c r="G63" i="17"/>
  <c r="F122" i="17"/>
  <c r="G122" i="17"/>
  <c r="F118" i="17"/>
  <c r="G118" i="17"/>
  <c r="F116" i="17" l="1"/>
  <c r="G116" i="17"/>
  <c r="F62" i="17"/>
  <c r="G62" i="17"/>
  <c r="F61" i="17"/>
  <c r="G61" i="17"/>
  <c r="F60" i="17"/>
  <c r="G60" i="17"/>
  <c r="F137" i="17"/>
  <c r="G137" i="17"/>
  <c r="F114" i="17"/>
  <c r="G114" i="17"/>
  <c r="F59" i="17" l="1"/>
  <c r="G59" i="17"/>
  <c r="F107" i="17"/>
  <c r="G107" i="17"/>
  <c r="F56" i="17"/>
  <c r="F55" i="17"/>
  <c r="F58" i="17"/>
  <c r="G56" i="17"/>
  <c r="G55" i="17"/>
  <c r="G58" i="17"/>
  <c r="D324" i="14" l="1"/>
  <c r="D323" i="14"/>
  <c r="D322" i="14"/>
  <c r="D320" i="14"/>
  <c r="D319" i="14"/>
  <c r="D316" i="14"/>
  <c r="D314" i="14"/>
  <c r="D313" i="14"/>
  <c r="D312" i="14"/>
  <c r="D311" i="14"/>
  <c r="D310" i="14"/>
  <c r="D309" i="14"/>
  <c r="D308" i="14"/>
  <c r="D305" i="14"/>
  <c r="D304" i="14"/>
  <c r="D302" i="14"/>
  <c r="D301" i="14"/>
  <c r="D298" i="14"/>
  <c r="D297" i="14"/>
  <c r="D295" i="14"/>
  <c r="D294" i="14"/>
  <c r="D293" i="14"/>
  <c r="D291" i="14"/>
  <c r="D288" i="14"/>
  <c r="D287" i="14"/>
  <c r="D286" i="14"/>
  <c r="D285" i="14"/>
  <c r="D283" i="14"/>
  <c r="D282" i="14"/>
  <c r="D280" i="14"/>
  <c r="D279" i="14"/>
  <c r="D278" i="14"/>
  <c r="D277" i="14"/>
  <c r="D274" i="14"/>
  <c r="D270" i="14"/>
  <c r="D269" i="14"/>
  <c r="D267" i="14"/>
  <c r="D266" i="14"/>
  <c r="D265" i="14"/>
  <c r="D264" i="14"/>
  <c r="D258" i="14"/>
  <c r="D255" i="14"/>
  <c r="D254" i="14"/>
  <c r="D253" i="14"/>
  <c r="D252" i="14"/>
  <c r="D251" i="14"/>
  <c r="D250" i="14"/>
  <c r="D248" i="14"/>
  <c r="D247" i="14"/>
  <c r="D245" i="14"/>
  <c r="D244" i="14"/>
  <c r="D239" i="14"/>
  <c r="D238" i="14"/>
  <c r="D237" i="14"/>
  <c r="D236" i="14"/>
  <c r="D235" i="14"/>
  <c r="D233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4" i="14"/>
  <c r="D213" i="14"/>
  <c r="D210" i="14"/>
  <c r="D209" i="14"/>
  <c r="D208" i="14"/>
  <c r="D207" i="14"/>
  <c r="D205" i="14"/>
  <c r="D202" i="14"/>
  <c r="D201" i="14"/>
  <c r="D200" i="14"/>
  <c r="D199" i="14"/>
  <c r="D198" i="14"/>
  <c r="D195" i="14"/>
  <c r="D194" i="14"/>
  <c r="D191" i="14"/>
  <c r="D190" i="14"/>
  <c r="D188" i="14"/>
  <c r="D187" i="14"/>
  <c r="D186" i="14"/>
  <c r="D185" i="14"/>
  <c r="D184" i="14"/>
  <c r="D182" i="14"/>
  <c r="D181" i="14"/>
  <c r="D180" i="14"/>
  <c r="D179" i="14"/>
  <c r="D173" i="14"/>
  <c r="D169" i="14"/>
  <c r="D168" i="14"/>
  <c r="D167" i="14"/>
  <c r="D166" i="14"/>
  <c r="D165" i="14"/>
  <c r="D162" i="14"/>
  <c r="D161" i="14"/>
  <c r="D160" i="14"/>
  <c r="D159" i="14"/>
  <c r="D151" i="14"/>
  <c r="D148" i="14"/>
  <c r="D147" i="14"/>
  <c r="D146" i="14"/>
  <c r="D144" i="14"/>
  <c r="D140" i="14"/>
  <c r="D139" i="14"/>
  <c r="D138" i="14"/>
  <c r="D137" i="14"/>
  <c r="D129" i="14"/>
  <c r="D128" i="14"/>
  <c r="D127" i="14"/>
  <c r="D126" i="14"/>
  <c r="D125" i="14"/>
  <c r="D124" i="14"/>
  <c r="D123" i="14"/>
  <c r="D122" i="14"/>
  <c r="D120" i="14"/>
  <c r="D119" i="14"/>
  <c r="D117" i="14"/>
  <c r="D116" i="14"/>
  <c r="D115" i="14"/>
  <c r="D113" i="14"/>
  <c r="D112" i="14"/>
  <c r="D108" i="14"/>
  <c r="D107" i="14"/>
  <c r="D106" i="14"/>
  <c r="D104" i="14"/>
  <c r="D103" i="14"/>
  <c r="D102" i="14"/>
  <c r="D101" i="14"/>
  <c r="D100" i="14"/>
  <c r="D99" i="14"/>
  <c r="D98" i="14"/>
  <c r="D97" i="14"/>
  <c r="D96" i="14"/>
  <c r="D95" i="14"/>
  <c r="D92" i="14"/>
  <c r="D87" i="14"/>
  <c r="D86" i="14"/>
  <c r="D82" i="14"/>
  <c r="D81" i="14"/>
  <c r="D80" i="14"/>
  <c r="D79" i="14"/>
  <c r="D78" i="14"/>
  <c r="D76" i="14"/>
  <c r="D75" i="14"/>
  <c r="D73" i="14"/>
  <c r="D72" i="14"/>
  <c r="D71" i="14"/>
  <c r="D69" i="14"/>
  <c r="D68" i="14"/>
  <c r="D67" i="14"/>
  <c r="D66" i="14"/>
  <c r="D64" i="14"/>
  <c r="D63" i="14"/>
  <c r="D62" i="14"/>
  <c r="D61" i="14"/>
  <c r="D60" i="14"/>
  <c r="D58" i="14"/>
  <c r="D57" i="14"/>
  <c r="D55" i="14"/>
  <c r="D54" i="14"/>
  <c r="D52" i="14"/>
  <c r="D51" i="14"/>
  <c r="D50" i="14"/>
  <c r="D49" i="14"/>
  <c r="D48" i="14"/>
  <c r="D42" i="14"/>
  <c r="D41" i="14"/>
  <c r="D40" i="14"/>
  <c r="D37" i="14"/>
  <c r="D36" i="14"/>
  <c r="D35" i="14"/>
  <c r="D29" i="14"/>
  <c r="D27" i="14"/>
  <c r="D26" i="14"/>
  <c r="D25" i="14"/>
  <c r="D24" i="14"/>
  <c r="D22" i="14"/>
  <c r="D21" i="14"/>
  <c r="D20" i="14"/>
  <c r="D19" i="14"/>
  <c r="D18" i="14"/>
  <c r="D17" i="14"/>
  <c r="D15" i="14"/>
  <c r="D14" i="14"/>
  <c r="D13" i="14"/>
  <c r="D11" i="14"/>
  <c r="D10" i="14"/>
  <c r="D9" i="14"/>
  <c r="D8" i="14"/>
  <c r="D7" i="14"/>
  <c r="D6" i="14"/>
  <c r="D5" i="14"/>
  <c r="D4" i="14"/>
  <c r="E324" i="14"/>
  <c r="E323" i="14"/>
  <c r="E322" i="14"/>
  <c r="E320" i="14"/>
  <c r="E319" i="14"/>
  <c r="E316" i="14"/>
  <c r="E314" i="14"/>
  <c r="E313" i="14"/>
  <c r="E312" i="14"/>
  <c r="E311" i="14"/>
  <c r="E310" i="14"/>
  <c r="E309" i="14"/>
  <c r="E308" i="14"/>
  <c r="E305" i="14"/>
  <c r="E304" i="14"/>
  <c r="E302" i="14"/>
  <c r="E301" i="14"/>
  <c r="E298" i="14"/>
  <c r="E297" i="14"/>
  <c r="E295" i="14"/>
  <c r="E294" i="14"/>
  <c r="E293" i="14"/>
  <c r="E291" i="14"/>
  <c r="E288" i="14"/>
  <c r="E287" i="14"/>
  <c r="E286" i="14"/>
  <c r="E285" i="14"/>
  <c r="E283" i="14"/>
  <c r="E282" i="14"/>
  <c r="E280" i="14"/>
  <c r="E279" i="14"/>
  <c r="E278" i="14"/>
  <c r="E277" i="14"/>
  <c r="E274" i="14"/>
  <c r="E270" i="14"/>
  <c r="E269" i="14"/>
  <c r="E267" i="14"/>
  <c r="E266" i="14"/>
  <c r="E265" i="14"/>
  <c r="E264" i="14"/>
  <c r="E258" i="14"/>
  <c r="E255" i="14"/>
  <c r="E254" i="14"/>
  <c r="E253" i="14"/>
  <c r="E252" i="14"/>
  <c r="E251" i="14"/>
  <c r="E250" i="14"/>
  <c r="E248" i="14"/>
  <c r="E247" i="14"/>
  <c r="E245" i="14"/>
  <c r="E244" i="14"/>
  <c r="E239" i="14"/>
  <c r="E238" i="14"/>
  <c r="E237" i="14"/>
  <c r="E236" i="14"/>
  <c r="E235" i="14"/>
  <c r="E233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4" i="14"/>
  <c r="E213" i="14"/>
  <c r="E210" i="14"/>
  <c r="E209" i="14"/>
  <c r="E208" i="14"/>
  <c r="E207" i="14"/>
  <c r="E205" i="14"/>
  <c r="E202" i="14"/>
  <c r="E201" i="14"/>
  <c r="E200" i="14"/>
  <c r="E199" i="14"/>
  <c r="E198" i="14"/>
  <c r="E195" i="14"/>
  <c r="E194" i="14"/>
  <c r="E191" i="14"/>
  <c r="E190" i="14"/>
  <c r="E188" i="14"/>
  <c r="E187" i="14"/>
  <c r="E186" i="14"/>
  <c r="E185" i="14"/>
  <c r="E184" i="14"/>
  <c r="E182" i="14"/>
  <c r="E181" i="14"/>
  <c r="E180" i="14"/>
  <c r="E179" i="14"/>
  <c r="E173" i="14"/>
  <c r="E169" i="14"/>
  <c r="E168" i="14"/>
  <c r="E167" i="14"/>
  <c r="E166" i="14"/>
  <c r="E165" i="14"/>
  <c r="E162" i="14"/>
  <c r="E161" i="14"/>
  <c r="E160" i="14"/>
  <c r="E159" i="14"/>
  <c r="E151" i="14"/>
  <c r="E148" i="14"/>
  <c r="E147" i="14"/>
  <c r="E146" i="14"/>
  <c r="E144" i="14"/>
  <c r="E140" i="14"/>
  <c r="E139" i="14"/>
  <c r="E138" i="14"/>
  <c r="E137" i="14"/>
  <c r="E129" i="14"/>
  <c r="E128" i="14"/>
  <c r="E127" i="14"/>
  <c r="E126" i="14"/>
  <c r="E125" i="14"/>
  <c r="E124" i="14"/>
  <c r="E123" i="14"/>
  <c r="E122" i="14"/>
  <c r="E120" i="14"/>
  <c r="E119" i="14"/>
  <c r="E117" i="14"/>
  <c r="E116" i="14"/>
  <c r="E115" i="14"/>
  <c r="E113" i="14"/>
  <c r="E112" i="14"/>
  <c r="E108" i="14"/>
  <c r="E107" i="14"/>
  <c r="E106" i="14"/>
  <c r="E104" i="14"/>
  <c r="E103" i="14"/>
  <c r="E102" i="14"/>
  <c r="E101" i="14"/>
  <c r="E100" i="14"/>
  <c r="E99" i="14"/>
  <c r="E98" i="14"/>
  <c r="E97" i="14"/>
  <c r="E96" i="14"/>
  <c r="E95" i="14"/>
  <c r="E92" i="14"/>
  <c r="E87" i="14"/>
  <c r="E86" i="14"/>
  <c r="E82" i="14"/>
  <c r="E81" i="14"/>
  <c r="E80" i="14"/>
  <c r="E79" i="14"/>
  <c r="E78" i="14"/>
  <c r="E76" i="14"/>
  <c r="E75" i="14"/>
  <c r="E73" i="14"/>
  <c r="E72" i="14"/>
  <c r="E71" i="14"/>
  <c r="E69" i="14"/>
  <c r="E68" i="14"/>
  <c r="E67" i="14"/>
  <c r="E66" i="14"/>
  <c r="E64" i="14"/>
  <c r="E63" i="14"/>
  <c r="E62" i="14"/>
  <c r="E61" i="14"/>
  <c r="E60" i="14"/>
  <c r="E58" i="14"/>
  <c r="E57" i="14"/>
  <c r="E55" i="14"/>
  <c r="E54" i="14"/>
  <c r="E52" i="14"/>
  <c r="E51" i="14"/>
  <c r="E50" i="14"/>
  <c r="E49" i="14"/>
  <c r="E48" i="14"/>
  <c r="E42" i="14"/>
  <c r="E41" i="14"/>
  <c r="E40" i="14"/>
  <c r="E37" i="14"/>
  <c r="E36" i="14"/>
  <c r="E35" i="14"/>
  <c r="E29" i="14"/>
  <c r="E27" i="14"/>
  <c r="E26" i="14"/>
  <c r="E25" i="14"/>
  <c r="E24" i="14"/>
  <c r="E22" i="14"/>
  <c r="E21" i="14"/>
  <c r="E20" i="14"/>
  <c r="E19" i="14"/>
  <c r="E18" i="14"/>
  <c r="E17" i="14"/>
  <c r="E15" i="14"/>
  <c r="E14" i="14"/>
  <c r="E13" i="14"/>
  <c r="E11" i="14"/>
  <c r="E10" i="14"/>
  <c r="E9" i="14"/>
  <c r="E8" i="14"/>
  <c r="E7" i="14"/>
  <c r="E6" i="14"/>
  <c r="E5" i="14"/>
  <c r="E4" i="14"/>
  <c r="E6" i="13"/>
  <c r="E7" i="13"/>
  <c r="E8" i="13"/>
  <c r="E10" i="13"/>
  <c r="E11" i="13"/>
  <c r="E14" i="13"/>
  <c r="E16" i="13"/>
  <c r="E17" i="13"/>
  <c r="E18" i="13"/>
  <c r="E19" i="13"/>
  <c r="E20" i="13"/>
  <c r="E21" i="13"/>
  <c r="E22" i="13"/>
  <c r="E25" i="13"/>
  <c r="E26" i="13"/>
  <c r="E28" i="13"/>
  <c r="E29" i="13"/>
  <c r="E32" i="13"/>
  <c r="E33" i="13"/>
  <c r="E35" i="13"/>
  <c r="E36" i="13"/>
  <c r="E37" i="13"/>
  <c r="E39" i="13"/>
  <c r="E42" i="13"/>
  <c r="E43" i="13"/>
  <c r="E44" i="13"/>
  <c r="E45" i="13"/>
  <c r="E47" i="13"/>
  <c r="E48" i="13"/>
  <c r="E50" i="13"/>
  <c r="E51" i="13"/>
  <c r="E52" i="13"/>
  <c r="E53" i="13"/>
  <c r="E56" i="13"/>
  <c r="E60" i="13"/>
  <c r="E61" i="13"/>
  <c r="E63" i="13"/>
  <c r="E64" i="13"/>
  <c r="E65" i="13"/>
  <c r="E66" i="13"/>
  <c r="E72" i="13"/>
  <c r="E75" i="13"/>
  <c r="E76" i="13"/>
  <c r="E77" i="13"/>
  <c r="E78" i="13"/>
  <c r="E79" i="13"/>
  <c r="E80" i="13"/>
  <c r="E82" i="13"/>
  <c r="E83" i="13"/>
  <c r="E85" i="13"/>
  <c r="E86" i="13"/>
  <c r="E90" i="13"/>
  <c r="E91" i="13"/>
  <c r="E92" i="13"/>
  <c r="E93" i="13"/>
  <c r="E94" i="13"/>
  <c r="E96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5" i="13"/>
  <c r="E116" i="13"/>
  <c r="E119" i="13"/>
  <c r="E120" i="13"/>
  <c r="E121" i="13"/>
  <c r="E122" i="13"/>
  <c r="E124" i="13"/>
  <c r="E127" i="13"/>
  <c r="E128" i="13"/>
  <c r="E129" i="13"/>
  <c r="E130" i="13"/>
  <c r="E131" i="13"/>
  <c r="E134" i="13"/>
  <c r="E135" i="13"/>
  <c r="E138" i="13"/>
  <c r="E139" i="13"/>
  <c r="E141" i="13"/>
  <c r="E142" i="13"/>
  <c r="E143" i="13"/>
  <c r="E144" i="13"/>
  <c r="E145" i="13"/>
  <c r="E147" i="13"/>
  <c r="E148" i="13"/>
  <c r="E149" i="13"/>
  <c r="E150" i="13"/>
  <c r="E156" i="13"/>
  <c r="E160" i="13"/>
  <c r="E161" i="13"/>
  <c r="E162" i="13"/>
  <c r="E163" i="13"/>
  <c r="E164" i="13"/>
  <c r="E167" i="13"/>
  <c r="E168" i="13"/>
  <c r="E169" i="13"/>
  <c r="E170" i="13"/>
  <c r="E178" i="13"/>
  <c r="E181" i="13"/>
  <c r="E182" i="13"/>
  <c r="E183" i="13"/>
  <c r="E185" i="13"/>
  <c r="E189" i="13"/>
  <c r="E190" i="13"/>
  <c r="E191" i="13"/>
  <c r="E192" i="13"/>
  <c r="E200" i="13"/>
  <c r="E201" i="13"/>
  <c r="E202" i="13"/>
  <c r="E203" i="13"/>
  <c r="E204" i="13"/>
  <c r="E205" i="13"/>
  <c r="E206" i="13"/>
  <c r="E207" i="13"/>
  <c r="E209" i="13"/>
  <c r="E210" i="13"/>
  <c r="E212" i="13"/>
  <c r="E213" i="13"/>
  <c r="E214" i="13"/>
  <c r="E5" i="13"/>
  <c r="E216" i="13"/>
  <c r="E220" i="13"/>
  <c r="E221" i="13"/>
  <c r="E222" i="13"/>
  <c r="E224" i="13"/>
  <c r="E225" i="13"/>
  <c r="E226" i="13"/>
  <c r="E227" i="13"/>
  <c r="E228" i="13"/>
  <c r="E229" i="13"/>
  <c r="E230" i="13"/>
  <c r="E231" i="13"/>
  <c r="E232" i="13"/>
  <c r="E233" i="13"/>
  <c r="E236" i="13"/>
  <c r="E241" i="13"/>
  <c r="E242" i="13"/>
  <c r="E246" i="13"/>
  <c r="E247" i="13"/>
  <c r="E248" i="13"/>
  <c r="E249" i="13"/>
  <c r="E250" i="13"/>
  <c r="E252" i="13"/>
  <c r="E253" i="13"/>
  <c r="E255" i="13"/>
  <c r="E256" i="13"/>
  <c r="E257" i="13"/>
  <c r="E259" i="13"/>
  <c r="E260" i="13"/>
  <c r="E261" i="13"/>
  <c r="E262" i="13"/>
  <c r="E264" i="13"/>
  <c r="E265" i="13"/>
  <c r="E266" i="13"/>
  <c r="E267" i="13"/>
  <c r="E268" i="13"/>
  <c r="E270" i="13"/>
  <c r="E271" i="13"/>
  <c r="E273" i="13"/>
  <c r="E274" i="13"/>
  <c r="E276" i="13"/>
  <c r="E277" i="13"/>
  <c r="E278" i="13"/>
  <c r="E279" i="13"/>
  <c r="E280" i="13"/>
  <c r="E286" i="13"/>
  <c r="E287" i="13"/>
  <c r="E288" i="13"/>
  <c r="E291" i="13"/>
  <c r="E292" i="13"/>
  <c r="E293" i="13"/>
  <c r="E299" i="13"/>
  <c r="E301" i="13"/>
  <c r="E302" i="13"/>
  <c r="E303" i="13"/>
  <c r="E304" i="13"/>
  <c r="E306" i="13"/>
  <c r="E307" i="13"/>
  <c r="E308" i="13"/>
  <c r="E309" i="13"/>
  <c r="E310" i="13"/>
  <c r="E311" i="13"/>
  <c r="E313" i="13"/>
  <c r="E314" i="13"/>
  <c r="E315" i="13"/>
  <c r="E317" i="13"/>
  <c r="E318" i="13"/>
  <c r="E319" i="13"/>
  <c r="E320" i="13"/>
  <c r="E321" i="13"/>
  <c r="E322" i="13"/>
  <c r="E323" i="13"/>
  <c r="E324" i="13"/>
  <c r="F6" i="13"/>
  <c r="F7" i="13"/>
  <c r="F8" i="13"/>
  <c r="F10" i="13"/>
  <c r="F11" i="13"/>
  <c r="F14" i="13"/>
  <c r="F16" i="13"/>
  <c r="F17" i="13"/>
  <c r="F18" i="13"/>
  <c r="F19" i="13"/>
  <c r="F20" i="13"/>
  <c r="F21" i="13"/>
  <c r="F22" i="13"/>
  <c r="F25" i="13"/>
  <c r="F26" i="13"/>
  <c r="F28" i="13"/>
  <c r="F29" i="13"/>
  <c r="F32" i="13"/>
  <c r="F33" i="13"/>
  <c r="F35" i="13"/>
  <c r="F36" i="13"/>
  <c r="F37" i="13"/>
  <c r="F39" i="13"/>
  <c r="F42" i="13"/>
  <c r="F43" i="13"/>
  <c r="F44" i="13"/>
  <c r="F45" i="13"/>
  <c r="F47" i="13"/>
  <c r="F48" i="13"/>
  <c r="F50" i="13"/>
  <c r="F51" i="13"/>
  <c r="F52" i="13"/>
  <c r="F53" i="13"/>
  <c r="F56" i="13"/>
  <c r="F60" i="13"/>
  <c r="F61" i="13"/>
  <c r="F63" i="13"/>
  <c r="F64" i="13"/>
  <c r="F65" i="13"/>
  <c r="F66" i="13"/>
  <c r="F72" i="13"/>
  <c r="F75" i="13"/>
  <c r="F76" i="13"/>
  <c r="F77" i="13"/>
  <c r="F78" i="13"/>
  <c r="F79" i="13"/>
  <c r="F80" i="13"/>
  <c r="F82" i="13"/>
  <c r="F83" i="13"/>
  <c r="F85" i="13"/>
  <c r="F86" i="13"/>
  <c r="F90" i="13"/>
  <c r="F91" i="13"/>
  <c r="F92" i="13"/>
  <c r="F93" i="13"/>
  <c r="F94" i="13"/>
  <c r="F96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5" i="13"/>
  <c r="F116" i="13"/>
  <c r="F119" i="13"/>
  <c r="F120" i="13"/>
  <c r="F121" i="13"/>
  <c r="F122" i="13"/>
  <c r="F124" i="13"/>
  <c r="F127" i="13"/>
  <c r="F128" i="13"/>
  <c r="F129" i="13"/>
  <c r="F130" i="13"/>
  <c r="F131" i="13"/>
  <c r="F134" i="13"/>
  <c r="F135" i="13"/>
  <c r="F138" i="13"/>
  <c r="F139" i="13"/>
  <c r="F141" i="13"/>
  <c r="F142" i="13"/>
  <c r="F143" i="13"/>
  <c r="F144" i="13"/>
  <c r="F145" i="13"/>
  <c r="F147" i="13"/>
  <c r="F148" i="13"/>
  <c r="F149" i="13"/>
  <c r="F150" i="13"/>
  <c r="F156" i="13"/>
  <c r="F160" i="13"/>
  <c r="F161" i="13"/>
  <c r="F162" i="13"/>
  <c r="F163" i="13"/>
  <c r="F164" i="13"/>
  <c r="F167" i="13"/>
  <c r="F168" i="13"/>
  <c r="F169" i="13"/>
  <c r="F170" i="13"/>
  <c r="F178" i="13"/>
  <c r="F181" i="13"/>
  <c r="F182" i="13"/>
  <c r="F183" i="13"/>
  <c r="F185" i="13"/>
  <c r="F189" i="13"/>
  <c r="F190" i="13"/>
  <c r="F191" i="13"/>
  <c r="F192" i="13"/>
  <c r="F200" i="13"/>
  <c r="F201" i="13"/>
  <c r="F202" i="13"/>
  <c r="F203" i="13"/>
  <c r="F204" i="13"/>
  <c r="F205" i="13"/>
  <c r="F206" i="13"/>
  <c r="F207" i="13"/>
  <c r="F209" i="13"/>
  <c r="F210" i="13"/>
  <c r="F212" i="13"/>
  <c r="F213" i="13"/>
  <c r="F214" i="13"/>
  <c r="F5" i="13"/>
  <c r="F216" i="13"/>
  <c r="F220" i="13"/>
  <c r="F221" i="13"/>
  <c r="F222" i="13"/>
  <c r="F224" i="13"/>
  <c r="F225" i="13"/>
  <c r="F226" i="13"/>
  <c r="F227" i="13"/>
  <c r="F228" i="13"/>
  <c r="F229" i="13"/>
  <c r="F230" i="13"/>
  <c r="F231" i="13"/>
  <c r="F232" i="13"/>
  <c r="F233" i="13"/>
  <c r="F236" i="13"/>
  <c r="F241" i="13"/>
  <c r="F242" i="13"/>
  <c r="F246" i="13"/>
  <c r="F247" i="13"/>
  <c r="F248" i="13"/>
  <c r="F249" i="13"/>
  <c r="F250" i="13"/>
  <c r="F252" i="13"/>
  <c r="F253" i="13"/>
  <c r="F255" i="13"/>
  <c r="F256" i="13"/>
  <c r="F257" i="13"/>
  <c r="F259" i="13"/>
  <c r="F260" i="13"/>
  <c r="F261" i="13"/>
  <c r="F262" i="13"/>
  <c r="F264" i="13"/>
  <c r="F265" i="13"/>
  <c r="F266" i="13"/>
  <c r="F267" i="13"/>
  <c r="F268" i="13"/>
  <c r="F270" i="13"/>
  <c r="F271" i="13"/>
  <c r="F273" i="13"/>
  <c r="F274" i="13"/>
  <c r="F276" i="13"/>
  <c r="F277" i="13"/>
  <c r="F278" i="13"/>
  <c r="F279" i="13"/>
  <c r="F280" i="13"/>
  <c r="F286" i="13"/>
  <c r="F287" i="13"/>
  <c r="F288" i="13"/>
  <c r="F291" i="13"/>
  <c r="F292" i="13"/>
  <c r="F293" i="13"/>
  <c r="F299" i="13"/>
  <c r="F301" i="13"/>
  <c r="F302" i="13"/>
  <c r="F303" i="13"/>
  <c r="F304" i="13"/>
  <c r="F306" i="13"/>
  <c r="F307" i="13"/>
  <c r="F308" i="13"/>
  <c r="F309" i="13"/>
  <c r="F310" i="13"/>
  <c r="F311" i="13"/>
  <c r="F313" i="13"/>
  <c r="F314" i="13"/>
  <c r="F315" i="13"/>
  <c r="F317" i="13"/>
  <c r="F318" i="13"/>
  <c r="F319" i="13"/>
  <c r="F320" i="13"/>
  <c r="F321" i="13"/>
  <c r="F322" i="13"/>
  <c r="F323" i="13"/>
  <c r="F324" i="13"/>
  <c r="G13" i="16"/>
  <c r="G4" i="16"/>
  <c r="G12" i="16"/>
  <c r="C2" i="5" l="1"/>
  <c r="M180" i="5"/>
  <c r="M181" i="5"/>
  <c r="M182" i="5"/>
  <c r="D41" i="5"/>
  <c r="D42" i="5"/>
  <c r="D43" i="5"/>
  <c r="D105" i="5"/>
  <c r="D44" i="5"/>
  <c r="D45" i="5"/>
  <c r="D117" i="5"/>
  <c r="D107" i="5"/>
  <c r="D47" i="5"/>
  <c r="D128" i="5"/>
  <c r="D48" i="5"/>
  <c r="D51" i="5"/>
  <c r="D93" i="5"/>
  <c r="D52" i="5"/>
  <c r="D118" i="5"/>
  <c r="D54" i="5"/>
  <c r="D56" i="5"/>
  <c r="D58" i="5"/>
  <c r="D59" i="5"/>
  <c r="D60" i="5"/>
  <c r="D96" i="5"/>
  <c r="D63" i="5"/>
  <c r="D65" i="5"/>
  <c r="D130" i="5"/>
  <c r="D66" i="5"/>
  <c r="D132" i="5"/>
  <c r="D133" i="5"/>
  <c r="D110" i="5"/>
  <c r="D68" i="5"/>
  <c r="D69" i="5"/>
  <c r="D70" i="5"/>
  <c r="D71" i="5"/>
  <c r="D73" i="5"/>
  <c r="E41" i="5"/>
  <c r="E42" i="5"/>
  <c r="E43" i="5"/>
  <c r="E105" i="5"/>
  <c r="E44" i="5"/>
  <c r="E45" i="5"/>
  <c r="E117" i="5"/>
  <c r="E107" i="5"/>
  <c r="E47" i="5"/>
  <c r="E128" i="5"/>
  <c r="E48" i="5"/>
  <c r="E51" i="5"/>
  <c r="E93" i="5"/>
  <c r="E52" i="5"/>
  <c r="E118" i="5"/>
  <c r="E54" i="5"/>
  <c r="E56" i="5"/>
  <c r="E58" i="5"/>
  <c r="E59" i="5"/>
  <c r="E60" i="5"/>
  <c r="E96" i="5"/>
  <c r="E63" i="5"/>
  <c r="E65" i="5"/>
  <c r="E130" i="5"/>
  <c r="E66" i="5"/>
  <c r="E132" i="5"/>
  <c r="E133" i="5"/>
  <c r="E110" i="5"/>
  <c r="E68" i="5"/>
  <c r="E69" i="5"/>
  <c r="E70" i="5"/>
  <c r="E71" i="5"/>
  <c r="E73" i="5"/>
  <c r="J41" i="5"/>
  <c r="J42" i="5"/>
  <c r="J43" i="5"/>
  <c r="J105" i="5"/>
  <c r="J44" i="5"/>
  <c r="J45" i="5"/>
  <c r="J117" i="5"/>
  <c r="J107" i="5"/>
  <c r="J47" i="5"/>
  <c r="J128" i="5"/>
  <c r="J48" i="5"/>
  <c r="J51" i="5"/>
  <c r="J93" i="5"/>
  <c r="J52" i="5"/>
  <c r="J118" i="5"/>
  <c r="J54" i="5"/>
  <c r="J56" i="5"/>
  <c r="J58" i="5"/>
  <c r="J59" i="5"/>
  <c r="J60" i="5"/>
  <c r="J96" i="5"/>
  <c r="J63" i="5"/>
  <c r="J65" i="5"/>
  <c r="J130" i="5"/>
  <c r="J66" i="5"/>
  <c r="J132" i="5"/>
  <c r="J133" i="5"/>
  <c r="J110" i="5"/>
  <c r="J68" i="5"/>
  <c r="J69" i="5"/>
  <c r="J70" i="5"/>
  <c r="J71" i="5"/>
  <c r="J73" i="5"/>
  <c r="E321" i="14"/>
  <c r="E318" i="14"/>
  <c r="E317" i="14"/>
  <c r="E315" i="14"/>
  <c r="E307" i="14"/>
  <c r="E306" i="14"/>
  <c r="E303" i="14"/>
  <c r="E300" i="14"/>
  <c r="E299" i="14"/>
  <c r="E296" i="14"/>
  <c r="E292" i="14"/>
  <c r="E290" i="14"/>
  <c r="E289" i="14"/>
  <c r="E284" i="14"/>
  <c r="E281" i="14"/>
  <c r="E276" i="14"/>
  <c r="E275" i="14"/>
  <c r="E273" i="14"/>
  <c r="E272" i="14"/>
  <c r="E271" i="14"/>
  <c r="E268" i="14"/>
  <c r="E263" i="14"/>
  <c r="E262" i="14"/>
  <c r="E261" i="14"/>
  <c r="E260" i="14"/>
  <c r="E259" i="14"/>
  <c r="E257" i="14"/>
  <c r="E256" i="14"/>
  <c r="E249" i="14"/>
  <c r="E246" i="14"/>
  <c r="E243" i="14"/>
  <c r="E242" i="14"/>
  <c r="E241" i="14"/>
  <c r="E240" i="14"/>
  <c r="E234" i="14"/>
  <c r="E232" i="14"/>
  <c r="E215" i="14"/>
  <c r="E212" i="14"/>
  <c r="E211" i="14"/>
  <c r="E206" i="14"/>
  <c r="E204" i="14"/>
  <c r="E203" i="14"/>
  <c r="E197" i="14"/>
  <c r="E196" i="14"/>
  <c r="E193" i="14"/>
  <c r="E192" i="14"/>
  <c r="E189" i="14"/>
  <c r="E183" i="14"/>
  <c r="E178" i="14"/>
  <c r="E177" i="14"/>
  <c r="E176" i="14"/>
  <c r="E175" i="14"/>
  <c r="E174" i="14"/>
  <c r="E172" i="14"/>
  <c r="E171" i="14"/>
  <c r="E170" i="14"/>
  <c r="E164" i="14"/>
  <c r="E163" i="14"/>
  <c r="E158" i="14"/>
  <c r="E157" i="14"/>
  <c r="E156" i="14"/>
  <c r="E155" i="14"/>
  <c r="E154" i="14"/>
  <c r="E153" i="14"/>
  <c r="E152" i="14"/>
  <c r="E150" i="14"/>
  <c r="E149" i="14"/>
  <c r="E145" i="14"/>
  <c r="E143" i="14"/>
  <c r="E142" i="14"/>
  <c r="E141" i="14"/>
  <c r="E136" i="14"/>
  <c r="E135" i="14"/>
  <c r="E134" i="14"/>
  <c r="E133" i="14"/>
  <c r="E132" i="14"/>
  <c r="E131" i="14"/>
  <c r="E130" i="14"/>
  <c r="E121" i="14"/>
  <c r="E118" i="14"/>
  <c r="E114" i="14"/>
  <c r="E111" i="14"/>
  <c r="E110" i="14"/>
  <c r="E109" i="14"/>
  <c r="E105" i="14"/>
  <c r="E94" i="14"/>
  <c r="E93" i="14"/>
  <c r="E91" i="14"/>
  <c r="E90" i="14"/>
  <c r="E89" i="14"/>
  <c r="E88" i="14"/>
  <c r="E85" i="14"/>
  <c r="E84" i="14"/>
  <c r="E83" i="14"/>
  <c r="E77" i="14"/>
  <c r="E74" i="14"/>
  <c r="E70" i="14"/>
  <c r="E65" i="14"/>
  <c r="E59" i="14"/>
  <c r="E56" i="14"/>
  <c r="E53" i="14"/>
  <c r="E47" i="14"/>
  <c r="E46" i="14"/>
  <c r="E45" i="14"/>
  <c r="E44" i="14"/>
  <c r="E43" i="14"/>
  <c r="E39" i="14"/>
  <c r="E38" i="14"/>
  <c r="E34" i="14"/>
  <c r="E33" i="14"/>
  <c r="E32" i="14"/>
  <c r="E31" i="14"/>
  <c r="E30" i="14"/>
  <c r="E28" i="14"/>
  <c r="E23" i="14"/>
  <c r="E16" i="14"/>
  <c r="E12" i="14"/>
  <c r="D321" i="14"/>
  <c r="D318" i="14"/>
  <c r="D317" i="14"/>
  <c r="D315" i="14"/>
  <c r="D307" i="14"/>
  <c r="D306" i="14"/>
  <c r="D303" i="14"/>
  <c r="D300" i="14"/>
  <c r="D299" i="14"/>
  <c r="D296" i="14"/>
  <c r="D292" i="14"/>
  <c r="D290" i="14"/>
  <c r="D289" i="14"/>
  <c r="D284" i="14"/>
  <c r="D281" i="14"/>
  <c r="D276" i="14"/>
  <c r="D275" i="14"/>
  <c r="D273" i="14"/>
  <c r="D272" i="14"/>
  <c r="D271" i="14"/>
  <c r="D268" i="14"/>
  <c r="D263" i="14"/>
  <c r="D262" i="14"/>
  <c r="D261" i="14"/>
  <c r="D260" i="14"/>
  <c r="D259" i="14"/>
  <c r="D257" i="14"/>
  <c r="D256" i="14"/>
  <c r="D249" i="14"/>
  <c r="D246" i="14"/>
  <c r="D243" i="14"/>
  <c r="D242" i="14"/>
  <c r="D241" i="14"/>
  <c r="D240" i="14"/>
  <c r="D234" i="14"/>
  <c r="D232" i="14"/>
  <c r="D215" i="14"/>
  <c r="D212" i="14"/>
  <c r="D211" i="14"/>
  <c r="D206" i="14"/>
  <c r="D204" i="14"/>
  <c r="D203" i="14"/>
  <c r="D197" i="14"/>
  <c r="D196" i="14"/>
  <c r="D193" i="14"/>
  <c r="D192" i="14"/>
  <c r="D189" i="14"/>
  <c r="D183" i="14"/>
  <c r="D178" i="14"/>
  <c r="D177" i="14"/>
  <c r="D176" i="14"/>
  <c r="D175" i="14"/>
  <c r="D174" i="14"/>
  <c r="D172" i="14"/>
  <c r="D171" i="14"/>
  <c r="D170" i="14"/>
  <c r="D164" i="14"/>
  <c r="D163" i="14"/>
  <c r="D158" i="14"/>
  <c r="D157" i="14"/>
  <c r="D156" i="14"/>
  <c r="D155" i="14"/>
  <c r="D154" i="14"/>
  <c r="D153" i="14"/>
  <c r="D152" i="14"/>
  <c r="D150" i="14"/>
  <c r="D149" i="14"/>
  <c r="D145" i="14"/>
  <c r="D143" i="14"/>
  <c r="D142" i="14"/>
  <c r="D141" i="14"/>
  <c r="D136" i="14"/>
  <c r="D135" i="14"/>
  <c r="D134" i="14"/>
  <c r="D133" i="14"/>
  <c r="D132" i="14"/>
  <c r="D131" i="14"/>
  <c r="D130" i="14"/>
  <c r="D121" i="14"/>
  <c r="D118" i="14"/>
  <c r="D114" i="14"/>
  <c r="D111" i="14"/>
  <c r="D110" i="14"/>
  <c r="D109" i="14"/>
  <c r="D105" i="14"/>
  <c r="D94" i="14"/>
  <c r="D93" i="14"/>
  <c r="D91" i="14"/>
  <c r="D90" i="14"/>
  <c r="D89" i="14"/>
  <c r="D88" i="14"/>
  <c r="D85" i="14"/>
  <c r="D84" i="14"/>
  <c r="D83" i="14"/>
  <c r="D77" i="14"/>
  <c r="D74" i="14"/>
  <c r="D70" i="14"/>
  <c r="D65" i="14"/>
  <c r="D59" i="14"/>
  <c r="D56" i="14"/>
  <c r="D53" i="14"/>
  <c r="D47" i="14"/>
  <c r="D46" i="14"/>
  <c r="D45" i="14"/>
  <c r="D44" i="14"/>
  <c r="D43" i="14"/>
  <c r="D39" i="14"/>
  <c r="D38" i="14"/>
  <c r="D34" i="14"/>
  <c r="D33" i="14"/>
  <c r="D32" i="14"/>
  <c r="D31" i="14"/>
  <c r="D30" i="14"/>
  <c r="D28" i="14"/>
  <c r="D23" i="14"/>
  <c r="D16" i="14"/>
  <c r="D12" i="14"/>
  <c r="F198" i="13"/>
  <c r="F263" i="13"/>
  <c r="F258" i="13"/>
  <c r="F300" i="13"/>
  <c r="F285" i="13"/>
  <c r="F180" i="13"/>
  <c r="F173" i="13"/>
  <c r="F57" i="13"/>
  <c r="F55" i="13"/>
  <c r="F196" i="13"/>
  <c r="F235" i="13"/>
  <c r="F136" i="13"/>
  <c r="F237" i="13"/>
  <c r="F208" i="13"/>
  <c r="F187" i="13"/>
  <c r="F172" i="13"/>
  <c r="F34" i="13"/>
  <c r="F174" i="13"/>
  <c r="F171" i="13"/>
  <c r="F217" i="13"/>
  <c r="F84" i="13"/>
  <c r="F74" i="13"/>
  <c r="F125" i="13"/>
  <c r="F132" i="13"/>
  <c r="F81" i="13"/>
  <c r="F13" i="13"/>
  <c r="F133" i="13"/>
  <c r="F312" i="13"/>
  <c r="F275" i="13"/>
  <c r="F71" i="13"/>
  <c r="F70" i="13"/>
  <c r="F67" i="13"/>
  <c r="F9" i="13"/>
  <c r="F223" i="13"/>
  <c r="F69" i="13"/>
  <c r="F140" i="13"/>
  <c r="F95" i="13"/>
  <c r="F239" i="13"/>
  <c r="F238" i="13"/>
  <c r="F158" i="13"/>
  <c r="F155" i="13"/>
  <c r="F272" i="13"/>
  <c r="F153" i="13"/>
  <c r="F58" i="13"/>
  <c r="F296" i="13"/>
  <c r="F46" i="13"/>
  <c r="F23" i="13"/>
  <c r="F197" i="13"/>
  <c r="F166" i="13"/>
  <c r="F73" i="13"/>
  <c r="F154" i="13"/>
  <c r="F245" i="13"/>
  <c r="F152" i="13"/>
  <c r="F54" i="13"/>
  <c r="F15" i="13"/>
  <c r="F244" i="13"/>
  <c r="F243" i="13"/>
  <c r="F193" i="13"/>
  <c r="F188" i="13"/>
  <c r="F146" i="13"/>
  <c r="F88" i="13"/>
  <c r="F87" i="13"/>
  <c r="F294" i="13"/>
  <c r="F194" i="13"/>
  <c r="F62" i="13"/>
  <c r="F38" i="13"/>
  <c r="F295" i="13"/>
  <c r="F4" i="13"/>
  <c r="F284" i="13"/>
  <c r="F123" i="13"/>
  <c r="F118" i="13"/>
  <c r="F89" i="13"/>
  <c r="F281" i="13"/>
  <c r="F240" i="13"/>
  <c r="F219" i="13"/>
  <c r="F218" i="13"/>
  <c r="F49" i="13"/>
  <c r="F12" i="13"/>
  <c r="F24" i="13"/>
  <c r="F159" i="13"/>
  <c r="F316" i="13"/>
  <c r="F199" i="13"/>
  <c r="F157" i="13"/>
  <c r="F283" i="13"/>
  <c r="F282" i="13"/>
  <c r="F186" i="13"/>
  <c r="F177" i="13"/>
  <c r="F176" i="13"/>
  <c r="F151" i="13"/>
  <c r="F114" i="13"/>
  <c r="F290" i="13"/>
  <c r="F289" i="13"/>
  <c r="F215" i="13"/>
  <c r="F179" i="13"/>
  <c r="F298" i="13"/>
  <c r="F234" i="13"/>
  <c r="F175" i="13"/>
  <c r="F165" i="13"/>
  <c r="F31" i="13"/>
  <c r="F30" i="13"/>
  <c r="F40" i="13"/>
  <c r="F27" i="13"/>
  <c r="F41" i="13"/>
  <c r="F184" i="13"/>
  <c r="F117" i="13"/>
  <c r="F305" i="13"/>
  <c r="F211" i="13"/>
  <c r="F126" i="13"/>
  <c r="F97" i="13"/>
  <c r="F59" i="13"/>
  <c r="F251" i="13"/>
  <c r="F195" i="13"/>
  <c r="F297" i="13"/>
  <c r="F269" i="13"/>
  <c r="F254" i="13"/>
  <c r="F137" i="13"/>
  <c r="F68" i="13"/>
  <c r="E198" i="13"/>
  <c r="E263" i="13"/>
  <c r="E258" i="13"/>
  <c r="E300" i="13"/>
  <c r="E285" i="13"/>
  <c r="E180" i="13"/>
  <c r="E173" i="13"/>
  <c r="E57" i="13"/>
  <c r="E55" i="13"/>
  <c r="E196" i="13"/>
  <c r="E235" i="13"/>
  <c r="E136" i="13"/>
  <c r="E237" i="13"/>
  <c r="E208" i="13"/>
  <c r="E187" i="13"/>
  <c r="E172" i="13"/>
  <c r="E34" i="13"/>
  <c r="E174" i="13"/>
  <c r="E171" i="13"/>
  <c r="E217" i="13"/>
  <c r="E84" i="13"/>
  <c r="E74" i="13"/>
  <c r="E125" i="13"/>
  <c r="E132" i="13"/>
  <c r="E81" i="13"/>
  <c r="E13" i="13"/>
  <c r="E133" i="13"/>
  <c r="E312" i="13"/>
  <c r="E275" i="13"/>
  <c r="E71" i="13"/>
  <c r="E70" i="13"/>
  <c r="E67" i="13"/>
  <c r="E9" i="13"/>
  <c r="E223" i="13"/>
  <c r="E69" i="13"/>
  <c r="E140" i="13"/>
  <c r="E95" i="13"/>
  <c r="E239" i="13"/>
  <c r="E238" i="13"/>
  <c r="E158" i="13"/>
  <c r="E155" i="13"/>
  <c r="E272" i="13"/>
  <c r="E153" i="13"/>
  <c r="E58" i="13"/>
  <c r="E296" i="13"/>
  <c r="E46" i="13"/>
  <c r="E23" i="13"/>
  <c r="E197" i="13"/>
  <c r="E166" i="13"/>
  <c r="E73" i="13"/>
  <c r="E154" i="13"/>
  <c r="E245" i="13"/>
  <c r="E152" i="13"/>
  <c r="E54" i="13"/>
  <c r="E15" i="13"/>
  <c r="E244" i="13"/>
  <c r="E243" i="13"/>
  <c r="E193" i="13"/>
  <c r="E188" i="13"/>
  <c r="E146" i="13"/>
  <c r="E88" i="13"/>
  <c r="E87" i="13"/>
  <c r="E294" i="13"/>
  <c r="E194" i="13"/>
  <c r="E62" i="13"/>
  <c r="E38" i="13"/>
  <c r="E295" i="13"/>
  <c r="E4" i="13"/>
  <c r="E284" i="13"/>
  <c r="E123" i="13"/>
  <c r="E118" i="13"/>
  <c r="E89" i="13"/>
  <c r="E281" i="13"/>
  <c r="E240" i="13"/>
  <c r="E219" i="13"/>
  <c r="E218" i="13"/>
  <c r="E49" i="13"/>
  <c r="E12" i="13"/>
  <c r="E24" i="13"/>
  <c r="E159" i="13"/>
  <c r="E316" i="13"/>
  <c r="E199" i="13"/>
  <c r="E157" i="13"/>
  <c r="E283" i="13"/>
  <c r="E282" i="13"/>
  <c r="E186" i="13"/>
  <c r="E177" i="13"/>
  <c r="E176" i="13"/>
  <c r="E151" i="13"/>
  <c r="E114" i="13"/>
  <c r="E290" i="13"/>
  <c r="E289" i="13"/>
  <c r="E215" i="13"/>
  <c r="E179" i="13"/>
  <c r="E298" i="13"/>
  <c r="E234" i="13"/>
  <c r="E175" i="13"/>
  <c r="E165" i="13"/>
  <c r="E31" i="13"/>
  <c r="E30" i="13"/>
  <c r="E40" i="13"/>
  <c r="E27" i="13"/>
  <c r="E41" i="13"/>
  <c r="E184" i="13"/>
  <c r="E117" i="13"/>
  <c r="E305" i="13"/>
  <c r="E211" i="13"/>
  <c r="E126" i="13"/>
  <c r="E97" i="13"/>
  <c r="E59" i="13"/>
  <c r="E251" i="13"/>
  <c r="E195" i="13"/>
  <c r="E297" i="13"/>
  <c r="E269" i="13"/>
  <c r="E254" i="13"/>
  <c r="E137" i="13"/>
  <c r="E68" i="13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75" i="5"/>
  <c r="E76" i="5"/>
  <c r="E34" i="5"/>
  <c r="E35" i="5"/>
  <c r="E36" i="5"/>
  <c r="E37" i="5"/>
  <c r="E38" i="5"/>
  <c r="E39" i="5"/>
  <c r="E57" i="5"/>
  <c r="E77" i="5"/>
  <c r="E78" i="5"/>
  <c r="E80" i="5"/>
  <c r="E84" i="5"/>
  <c r="E88" i="5"/>
  <c r="E89" i="5"/>
  <c r="E91" i="5"/>
  <c r="E92" i="5"/>
  <c r="E193" i="5"/>
  <c r="E195" i="5"/>
  <c r="E201" i="5"/>
  <c r="E183" i="5"/>
  <c r="E184" i="5"/>
  <c r="E185" i="5"/>
  <c r="E186" i="5"/>
  <c r="E187" i="5"/>
  <c r="E188" i="5"/>
  <c r="E189" i="5"/>
  <c r="E190" i="5"/>
  <c r="E191" i="5"/>
  <c r="E192" i="5"/>
  <c r="E194" i="5"/>
  <c r="E196" i="5"/>
  <c r="E197" i="5"/>
  <c r="E198" i="5"/>
  <c r="E199" i="5"/>
  <c r="E200" i="5"/>
  <c r="E212" i="5"/>
  <c r="E213" i="5"/>
  <c r="E215" i="5"/>
  <c r="E216" i="5"/>
  <c r="E219" i="5"/>
  <c r="E221" i="5"/>
  <c r="E224" i="5"/>
  <c r="E202" i="5"/>
  <c r="E203" i="5"/>
  <c r="E204" i="5"/>
  <c r="E205" i="5"/>
  <c r="E206" i="5"/>
  <c r="E207" i="5"/>
  <c r="E208" i="5"/>
  <c r="E209" i="5"/>
  <c r="E210" i="5"/>
  <c r="E211" i="5"/>
  <c r="E214" i="5"/>
  <c r="E217" i="5"/>
  <c r="E218" i="5"/>
  <c r="E220" i="5"/>
  <c r="E222" i="5"/>
  <c r="E223" i="5"/>
  <c r="E225" i="5"/>
  <c r="E226" i="5"/>
  <c r="E227" i="5"/>
  <c r="E228" i="5"/>
  <c r="E229" i="5"/>
  <c r="E230" i="5"/>
  <c r="E231" i="5"/>
  <c r="E232" i="5"/>
  <c r="E233" i="5"/>
  <c r="E234" i="5"/>
  <c r="E235" i="5"/>
  <c r="E237" i="5"/>
  <c r="E238" i="5"/>
  <c r="E240" i="5"/>
  <c r="E241" i="5"/>
  <c r="E243" i="5"/>
  <c r="E246" i="5"/>
  <c r="E249" i="5"/>
  <c r="E258" i="5"/>
  <c r="E260" i="5"/>
  <c r="E264" i="5"/>
  <c r="E268" i="5"/>
  <c r="E236" i="5"/>
  <c r="E239" i="5"/>
  <c r="E242" i="5"/>
  <c r="E244" i="5"/>
  <c r="E245" i="5"/>
  <c r="E247" i="5"/>
  <c r="E248" i="5"/>
  <c r="E250" i="5"/>
  <c r="E251" i="5"/>
  <c r="E252" i="5"/>
  <c r="E253" i="5"/>
  <c r="E254" i="5"/>
  <c r="E255" i="5"/>
  <c r="E256" i="5"/>
  <c r="E257" i="5"/>
  <c r="E259" i="5"/>
  <c r="E261" i="5"/>
  <c r="E262" i="5"/>
  <c r="E263" i="5"/>
  <c r="E265" i="5"/>
  <c r="E266" i="5"/>
  <c r="E267" i="5"/>
  <c r="E269" i="5"/>
  <c r="E270" i="5"/>
  <c r="E271" i="5"/>
  <c r="E272" i="5"/>
  <c r="E273" i="5"/>
  <c r="E274" i="5"/>
  <c r="E104" i="5"/>
  <c r="E108" i="5"/>
  <c r="E61" i="5"/>
  <c r="E123" i="5"/>
  <c r="E40" i="5"/>
  <c r="E106" i="5"/>
  <c r="E127" i="5"/>
  <c r="E46" i="5"/>
  <c r="E49" i="5"/>
  <c r="E50" i="5"/>
  <c r="E53" i="5"/>
  <c r="E94" i="5"/>
  <c r="E55" i="5"/>
  <c r="E129" i="5"/>
  <c r="E119" i="5"/>
  <c r="E95" i="5"/>
  <c r="E109" i="5"/>
  <c r="E62" i="5"/>
  <c r="E64" i="5"/>
  <c r="E131" i="5"/>
  <c r="E97" i="5"/>
  <c r="E120" i="5"/>
  <c r="E134" i="5"/>
  <c r="E67" i="5"/>
  <c r="E135" i="5"/>
  <c r="E121" i="5"/>
  <c r="E72" i="5"/>
  <c r="E122" i="5"/>
  <c r="E136" i="5"/>
  <c r="E74" i="5"/>
  <c r="E98" i="5"/>
  <c r="E180" i="5"/>
  <c r="E181" i="5"/>
  <c r="E182" i="5"/>
  <c r="E142" i="5"/>
  <c r="E124" i="5"/>
  <c r="E113" i="5"/>
  <c r="E163" i="5"/>
  <c r="E179" i="5"/>
  <c r="E111" i="5"/>
  <c r="E152" i="5"/>
  <c r="E139" i="5"/>
  <c r="E100" i="5"/>
  <c r="E154" i="5"/>
  <c r="E176" i="5"/>
  <c r="E177" i="5"/>
  <c r="E143" i="5"/>
  <c r="E125" i="5"/>
  <c r="E144" i="5"/>
  <c r="E172" i="5"/>
  <c r="E140" i="5"/>
  <c r="E173" i="5"/>
  <c r="E146" i="5"/>
  <c r="E141" i="5"/>
  <c r="E165" i="5"/>
  <c r="E115" i="5"/>
  <c r="E83" i="5"/>
  <c r="E148" i="5"/>
  <c r="E145" i="5"/>
  <c r="E126" i="5"/>
  <c r="E166" i="5"/>
  <c r="E167" i="5"/>
  <c r="E138" i="5"/>
  <c r="E175" i="5"/>
  <c r="E116" i="5"/>
  <c r="E16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8" i="5"/>
  <c r="E291" i="5"/>
  <c r="E292" i="5"/>
  <c r="E293" i="5"/>
  <c r="E294" i="5"/>
  <c r="E295" i="5"/>
  <c r="E296" i="5"/>
  <c r="E297" i="5"/>
  <c r="E299" i="5"/>
  <c r="E300" i="5"/>
  <c r="E301" i="5"/>
  <c r="E302" i="5"/>
  <c r="E303" i="5"/>
  <c r="E99" i="5"/>
  <c r="E168" i="5"/>
  <c r="E151" i="5"/>
  <c r="E169" i="5"/>
  <c r="E170" i="5"/>
  <c r="E159" i="5"/>
  <c r="E112" i="5"/>
  <c r="E79" i="5"/>
  <c r="E153" i="5"/>
  <c r="E149" i="5"/>
  <c r="E150" i="5"/>
  <c r="E171" i="5"/>
  <c r="E155" i="5"/>
  <c r="E101" i="5"/>
  <c r="E102" i="5"/>
  <c r="E103" i="5"/>
  <c r="E114" i="5"/>
  <c r="E161" i="5"/>
  <c r="E162" i="5"/>
  <c r="E174" i="5"/>
  <c r="E147" i="5"/>
  <c r="E156" i="5"/>
  <c r="E81" i="5"/>
  <c r="E178" i="5"/>
  <c r="E82" i="5"/>
  <c r="E160" i="5"/>
  <c r="E158" i="5"/>
  <c r="E137" i="5"/>
  <c r="E85" i="5"/>
  <c r="E86" i="5"/>
  <c r="E157" i="5"/>
  <c r="E87" i="5"/>
  <c r="E90" i="5"/>
  <c r="D25" i="5"/>
  <c r="D26" i="5"/>
  <c r="D27" i="5"/>
  <c r="D28" i="5"/>
  <c r="D29" i="5"/>
  <c r="D30" i="5"/>
  <c r="D31" i="5"/>
  <c r="D32" i="5"/>
  <c r="D33" i="5"/>
  <c r="D75" i="5"/>
  <c r="D76" i="5"/>
  <c r="D34" i="5"/>
  <c r="D35" i="5"/>
  <c r="D36" i="5"/>
  <c r="D37" i="5"/>
  <c r="D38" i="5"/>
  <c r="D39" i="5"/>
  <c r="D57" i="5"/>
  <c r="D77" i="5"/>
  <c r="D78" i="5"/>
  <c r="D80" i="5"/>
  <c r="D84" i="5"/>
  <c r="D88" i="5"/>
  <c r="D89" i="5"/>
  <c r="D91" i="5"/>
  <c r="D92" i="5"/>
  <c r="D193" i="5"/>
  <c r="D195" i="5"/>
  <c r="D201" i="5"/>
  <c r="D183" i="5"/>
  <c r="D184" i="5"/>
  <c r="D185" i="5"/>
  <c r="D186" i="5"/>
  <c r="D187" i="5"/>
  <c r="D188" i="5"/>
  <c r="D189" i="5"/>
  <c r="D190" i="5"/>
  <c r="D191" i="5"/>
  <c r="D192" i="5"/>
  <c r="D194" i="5"/>
  <c r="D196" i="5"/>
  <c r="D197" i="5"/>
  <c r="D198" i="5"/>
  <c r="D199" i="5"/>
  <c r="D200" i="5"/>
  <c r="D212" i="5"/>
  <c r="D213" i="5"/>
  <c r="D215" i="5"/>
  <c r="D216" i="5"/>
  <c r="D219" i="5"/>
  <c r="D221" i="5"/>
  <c r="D224" i="5"/>
  <c r="D202" i="5"/>
  <c r="D203" i="5"/>
  <c r="D204" i="5"/>
  <c r="D205" i="5"/>
  <c r="D206" i="5"/>
  <c r="D207" i="5"/>
  <c r="D208" i="5"/>
  <c r="D209" i="5"/>
  <c r="D210" i="5"/>
  <c r="D211" i="5"/>
  <c r="D214" i="5"/>
  <c r="D217" i="5"/>
  <c r="D218" i="5"/>
  <c r="D220" i="5"/>
  <c r="D222" i="5"/>
  <c r="D223" i="5"/>
  <c r="D225" i="5"/>
  <c r="D226" i="5"/>
  <c r="D227" i="5"/>
  <c r="D228" i="5"/>
  <c r="D229" i="5"/>
  <c r="D230" i="5"/>
  <c r="D231" i="5"/>
  <c r="D232" i="5"/>
  <c r="D233" i="5"/>
  <c r="D234" i="5"/>
  <c r="D235" i="5"/>
  <c r="D237" i="5"/>
  <c r="D238" i="5"/>
  <c r="D240" i="5"/>
  <c r="D241" i="5"/>
  <c r="D243" i="5"/>
  <c r="D246" i="5"/>
  <c r="D249" i="5"/>
  <c r="D258" i="5"/>
  <c r="D260" i="5"/>
  <c r="D264" i="5"/>
  <c r="D268" i="5"/>
  <c r="D236" i="5"/>
  <c r="D239" i="5"/>
  <c r="D242" i="5"/>
  <c r="D244" i="5"/>
  <c r="D245" i="5"/>
  <c r="D247" i="5"/>
  <c r="D248" i="5"/>
  <c r="D250" i="5"/>
  <c r="D251" i="5"/>
  <c r="D252" i="5"/>
  <c r="D253" i="5"/>
  <c r="D254" i="5"/>
  <c r="D255" i="5"/>
  <c r="D256" i="5"/>
  <c r="D257" i="5"/>
  <c r="D259" i="5"/>
  <c r="D261" i="5"/>
  <c r="D262" i="5"/>
  <c r="D263" i="5"/>
  <c r="D265" i="5"/>
  <c r="D266" i="5"/>
  <c r="D267" i="5"/>
  <c r="D269" i="5"/>
  <c r="D270" i="5"/>
  <c r="D271" i="5"/>
  <c r="D272" i="5"/>
  <c r="D273" i="5"/>
  <c r="D274" i="5"/>
  <c r="D104" i="5"/>
  <c r="D108" i="5"/>
  <c r="D61" i="5"/>
  <c r="D123" i="5"/>
  <c r="D40" i="5"/>
  <c r="D106" i="5"/>
  <c r="D127" i="5"/>
  <c r="D46" i="5"/>
  <c r="D49" i="5"/>
  <c r="D50" i="5"/>
  <c r="D53" i="5"/>
  <c r="D94" i="5"/>
  <c r="D55" i="5"/>
  <c r="D129" i="5"/>
  <c r="D119" i="5"/>
  <c r="D95" i="5"/>
  <c r="D109" i="5"/>
  <c r="D62" i="5"/>
  <c r="D64" i="5"/>
  <c r="D131" i="5"/>
  <c r="D97" i="5"/>
  <c r="D120" i="5"/>
  <c r="D134" i="5"/>
  <c r="D67" i="5"/>
  <c r="D135" i="5"/>
  <c r="D121" i="5"/>
  <c r="D72" i="5"/>
  <c r="D122" i="5"/>
  <c r="D136" i="5"/>
  <c r="D74" i="5"/>
  <c r="D98" i="5"/>
  <c r="D180" i="5"/>
  <c r="D181" i="5"/>
  <c r="D182" i="5"/>
  <c r="D142" i="5"/>
  <c r="D124" i="5"/>
  <c r="D113" i="5"/>
  <c r="D163" i="5"/>
  <c r="D179" i="5"/>
  <c r="D111" i="5"/>
  <c r="D152" i="5"/>
  <c r="D139" i="5"/>
  <c r="D100" i="5"/>
  <c r="D154" i="5"/>
  <c r="D176" i="5"/>
  <c r="D177" i="5"/>
  <c r="D143" i="5"/>
  <c r="D125" i="5"/>
  <c r="D144" i="5"/>
  <c r="D172" i="5"/>
  <c r="D140" i="5"/>
  <c r="D173" i="5"/>
  <c r="D146" i="5"/>
  <c r="D141" i="5"/>
  <c r="D165" i="5"/>
  <c r="D115" i="5"/>
  <c r="D83" i="5"/>
  <c r="D148" i="5"/>
  <c r="D145" i="5"/>
  <c r="D126" i="5"/>
  <c r="D166" i="5"/>
  <c r="D167" i="5"/>
  <c r="D138" i="5"/>
  <c r="D175" i="5"/>
  <c r="D116" i="5"/>
  <c r="D16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8" i="5"/>
  <c r="D291" i="5"/>
  <c r="D292" i="5"/>
  <c r="D293" i="5"/>
  <c r="D294" i="5"/>
  <c r="D295" i="5"/>
  <c r="D296" i="5"/>
  <c r="D297" i="5"/>
  <c r="D299" i="5"/>
  <c r="D300" i="5"/>
  <c r="D301" i="5"/>
  <c r="D302" i="5"/>
  <c r="D303" i="5"/>
  <c r="D99" i="5"/>
  <c r="D168" i="5"/>
  <c r="D151" i="5"/>
  <c r="D169" i="5"/>
  <c r="D170" i="5"/>
  <c r="D159" i="5"/>
  <c r="D112" i="5"/>
  <c r="D79" i="5"/>
  <c r="D153" i="5"/>
  <c r="D149" i="5"/>
  <c r="D150" i="5"/>
  <c r="D171" i="5"/>
  <c r="D155" i="5"/>
  <c r="D101" i="5"/>
  <c r="D102" i="5"/>
  <c r="D103" i="5"/>
  <c r="D114" i="5"/>
  <c r="D161" i="5"/>
  <c r="D162" i="5"/>
  <c r="D174" i="5"/>
  <c r="D147" i="5"/>
  <c r="D156" i="5"/>
  <c r="D81" i="5"/>
  <c r="D178" i="5"/>
  <c r="D82" i="5"/>
  <c r="D160" i="5"/>
  <c r="D158" i="5"/>
  <c r="D137" i="5"/>
  <c r="D85" i="5"/>
  <c r="D86" i="5"/>
  <c r="D157" i="5"/>
  <c r="D87" i="5"/>
  <c r="D9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5" i="5"/>
  <c r="F3" i="15"/>
  <c r="G3" i="16"/>
  <c r="G8" i="16"/>
  <c r="F4" i="11"/>
  <c r="G10" i="16"/>
  <c r="F2" i="11"/>
  <c r="G1" i="16"/>
  <c r="F2" i="15"/>
  <c r="G11" i="16"/>
  <c r="F4" i="15"/>
  <c r="G7" i="16"/>
  <c r="G5" i="16"/>
  <c r="G2" i="16"/>
  <c r="G9" i="16"/>
  <c r="F3" i="11"/>
  <c r="F5" i="11"/>
  <c r="G6" i="16"/>
  <c r="B3" i="7" l="1"/>
  <c r="B4" i="7"/>
  <c r="B5" i="7"/>
  <c r="B7" i="7"/>
  <c r="B8" i="7"/>
  <c r="B11" i="7"/>
  <c r="B13" i="7"/>
  <c r="B14" i="7"/>
  <c r="B15" i="7"/>
  <c r="B16" i="7"/>
  <c r="B17" i="7"/>
  <c r="B18" i="7"/>
  <c r="B19" i="7"/>
  <c r="B22" i="7"/>
  <c r="B23" i="7"/>
  <c r="B25" i="7"/>
  <c r="B26" i="7"/>
  <c r="B29" i="7"/>
  <c r="B30" i="7"/>
  <c r="B32" i="7"/>
  <c r="B33" i="7"/>
  <c r="B34" i="7"/>
  <c r="B36" i="7"/>
  <c r="B39" i="7"/>
  <c r="B40" i="7"/>
  <c r="B41" i="7"/>
  <c r="B42" i="7"/>
  <c r="B44" i="7"/>
  <c r="B45" i="7"/>
  <c r="B47" i="7"/>
  <c r="B48" i="7"/>
  <c r="B49" i="7"/>
  <c r="B50" i="7"/>
  <c r="B53" i="7"/>
  <c r="B170" i="17" s="1"/>
  <c r="B57" i="7"/>
  <c r="B58" i="7"/>
  <c r="B60" i="7"/>
  <c r="B61" i="7"/>
  <c r="B62" i="7"/>
  <c r="B63" i="7"/>
  <c r="B69" i="7"/>
  <c r="B72" i="7"/>
  <c r="B73" i="7"/>
  <c r="B74" i="7"/>
  <c r="B75" i="7"/>
  <c r="B76" i="7"/>
  <c r="B77" i="7"/>
  <c r="B79" i="7"/>
  <c r="B80" i="7"/>
  <c r="B82" i="7"/>
  <c r="B83" i="7"/>
  <c r="B88" i="7"/>
  <c r="B89" i="7"/>
  <c r="B90" i="7"/>
  <c r="B91" i="7"/>
  <c r="B92" i="7"/>
  <c r="B94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3" i="7"/>
  <c r="B114" i="7"/>
  <c r="B117" i="7"/>
  <c r="B118" i="7"/>
  <c r="B119" i="7"/>
  <c r="B120" i="7"/>
  <c r="B122" i="7"/>
  <c r="B125" i="7"/>
  <c r="B126" i="7"/>
  <c r="B127" i="7"/>
  <c r="B128" i="7"/>
  <c r="B129" i="7"/>
  <c r="B132" i="7"/>
  <c r="B133" i="7"/>
  <c r="B136" i="7"/>
  <c r="B137" i="7"/>
  <c r="B138" i="7"/>
  <c r="B309" i="19" s="1"/>
  <c r="B139" i="7"/>
  <c r="B140" i="7"/>
  <c r="B141" i="7"/>
  <c r="B142" i="7"/>
  <c r="B143" i="7"/>
  <c r="B145" i="7"/>
  <c r="B146" i="7"/>
  <c r="B147" i="7"/>
  <c r="B148" i="7"/>
  <c r="B154" i="7"/>
  <c r="B158" i="7"/>
  <c r="B159" i="7"/>
  <c r="B230" i="17" s="1"/>
  <c r="B160" i="7"/>
  <c r="B162" i="7"/>
  <c r="B165" i="7"/>
  <c r="B166" i="7"/>
  <c r="B167" i="7"/>
  <c r="B168" i="7"/>
  <c r="B176" i="7"/>
  <c r="B179" i="7"/>
  <c r="B180" i="7"/>
  <c r="B181" i="7"/>
  <c r="B183" i="7"/>
  <c r="B187" i="7"/>
  <c r="B188" i="7"/>
  <c r="B189" i="7"/>
  <c r="B190" i="7"/>
  <c r="B198" i="7"/>
  <c r="B199" i="7"/>
  <c r="B200" i="7"/>
  <c r="B201" i="7"/>
  <c r="B202" i="7"/>
  <c r="B203" i="7"/>
  <c r="B204" i="7"/>
  <c r="B205" i="7"/>
  <c r="B253" i="17" s="1"/>
  <c r="B207" i="7"/>
  <c r="B208" i="7"/>
  <c r="B210" i="7"/>
  <c r="B211" i="7"/>
  <c r="B212" i="7"/>
  <c r="B214" i="7"/>
  <c r="B215" i="7"/>
  <c r="B219" i="7"/>
  <c r="B220" i="7"/>
  <c r="B221" i="7"/>
  <c r="B223" i="7"/>
  <c r="B224" i="7"/>
  <c r="B225" i="7"/>
  <c r="B226" i="7"/>
  <c r="B227" i="7"/>
  <c r="B228" i="7"/>
  <c r="B230" i="7"/>
  <c r="B231" i="7"/>
  <c r="B232" i="7"/>
  <c r="B235" i="7"/>
  <c r="B240" i="7"/>
  <c r="B241" i="7"/>
  <c r="B245" i="7"/>
  <c r="B246" i="7"/>
  <c r="B247" i="7"/>
  <c r="B248" i="7"/>
  <c r="B249" i="7"/>
  <c r="B251" i="7"/>
  <c r="B252" i="7"/>
  <c r="B254" i="7"/>
  <c r="B255" i="7"/>
  <c r="B256" i="7"/>
  <c r="B258" i="7"/>
  <c r="B259" i="7"/>
  <c r="B260" i="7"/>
  <c r="B261" i="7"/>
  <c r="B263" i="7"/>
  <c r="B264" i="7"/>
  <c r="B265" i="7"/>
  <c r="B269" i="7"/>
  <c r="B270" i="7"/>
  <c r="B272" i="7"/>
  <c r="B273" i="7"/>
  <c r="B275" i="7"/>
  <c r="B276" i="7"/>
  <c r="B277" i="7"/>
  <c r="B278" i="7"/>
  <c r="B279" i="7"/>
  <c r="B285" i="7"/>
  <c r="B286" i="7"/>
  <c r="B287" i="7"/>
  <c r="B290" i="7"/>
  <c r="B291" i="7"/>
  <c r="B292" i="7"/>
  <c r="B298" i="7"/>
  <c r="B300" i="7"/>
  <c r="B301" i="7"/>
  <c r="B302" i="7"/>
  <c r="B303" i="7"/>
  <c r="B305" i="7"/>
  <c r="B306" i="7"/>
  <c r="B307" i="7"/>
  <c r="B308" i="7"/>
  <c r="B309" i="7"/>
  <c r="B310" i="7"/>
  <c r="B312" i="7"/>
  <c r="B313" i="7"/>
  <c r="B314" i="7"/>
  <c r="B316" i="7"/>
  <c r="B317" i="7"/>
  <c r="B318" i="7"/>
  <c r="B319" i="7"/>
  <c r="B320" i="7"/>
  <c r="B321" i="7"/>
  <c r="B322" i="7"/>
  <c r="B323" i="7"/>
  <c r="C3" i="7"/>
  <c r="C4" i="7"/>
  <c r="C5" i="7"/>
  <c r="C7" i="7"/>
  <c r="C8" i="7"/>
  <c r="C11" i="7"/>
  <c r="C13" i="7"/>
  <c r="C14" i="7"/>
  <c r="C15" i="7"/>
  <c r="C16" i="7"/>
  <c r="C17" i="7"/>
  <c r="C18" i="7"/>
  <c r="C19" i="7"/>
  <c r="C22" i="7"/>
  <c r="C23" i="7"/>
  <c r="C25" i="7"/>
  <c r="C26" i="7"/>
  <c r="C29" i="7"/>
  <c r="C30" i="7"/>
  <c r="C32" i="7"/>
  <c r="C33" i="7"/>
  <c r="C34" i="7"/>
  <c r="C36" i="7"/>
  <c r="C39" i="7"/>
  <c r="C40" i="7"/>
  <c r="C41" i="7"/>
  <c r="C42" i="7"/>
  <c r="C44" i="7"/>
  <c r="C45" i="7"/>
  <c r="C47" i="7"/>
  <c r="C48" i="7"/>
  <c r="C49" i="7"/>
  <c r="C50" i="7"/>
  <c r="C53" i="7"/>
  <c r="C57" i="7"/>
  <c r="C58" i="7"/>
  <c r="C60" i="7"/>
  <c r="C61" i="7"/>
  <c r="C62" i="7"/>
  <c r="C63" i="7"/>
  <c r="C69" i="7"/>
  <c r="C72" i="7"/>
  <c r="C73" i="7"/>
  <c r="C74" i="7"/>
  <c r="C75" i="7"/>
  <c r="C76" i="7"/>
  <c r="C77" i="7"/>
  <c r="C79" i="7"/>
  <c r="C80" i="7"/>
  <c r="C82" i="7"/>
  <c r="C83" i="7"/>
  <c r="C88" i="7"/>
  <c r="C89" i="7"/>
  <c r="C90" i="7"/>
  <c r="C91" i="7"/>
  <c r="C92" i="7"/>
  <c r="C94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3" i="7"/>
  <c r="C114" i="7"/>
  <c r="C117" i="7"/>
  <c r="C118" i="7"/>
  <c r="C119" i="7"/>
  <c r="C120" i="7"/>
  <c r="C122" i="7"/>
  <c r="C125" i="7"/>
  <c r="C126" i="7"/>
  <c r="C127" i="7"/>
  <c r="C128" i="7"/>
  <c r="C129" i="7"/>
  <c r="C132" i="7"/>
  <c r="C133" i="7"/>
  <c r="C136" i="7"/>
  <c r="C137" i="7"/>
  <c r="C138" i="7"/>
  <c r="C139" i="7"/>
  <c r="C140" i="7"/>
  <c r="C141" i="7"/>
  <c r="C142" i="7"/>
  <c r="C143" i="7"/>
  <c r="C145" i="7"/>
  <c r="C146" i="7"/>
  <c r="C147" i="7"/>
  <c r="C148" i="7"/>
  <c r="C154" i="7"/>
  <c r="C158" i="7"/>
  <c r="C159" i="7"/>
  <c r="C160" i="7"/>
  <c r="C162" i="7"/>
  <c r="C165" i="7"/>
  <c r="C166" i="7"/>
  <c r="C167" i="7"/>
  <c r="C168" i="7"/>
  <c r="C176" i="7"/>
  <c r="C179" i="7"/>
  <c r="C180" i="7"/>
  <c r="C181" i="7"/>
  <c r="C183" i="7"/>
  <c r="C187" i="7"/>
  <c r="C188" i="7"/>
  <c r="C189" i="7"/>
  <c r="C190" i="7"/>
  <c r="C198" i="7"/>
  <c r="C199" i="7"/>
  <c r="C200" i="7"/>
  <c r="C201" i="7"/>
  <c r="C202" i="7"/>
  <c r="C203" i="7"/>
  <c r="C204" i="7"/>
  <c r="C205" i="7"/>
  <c r="C207" i="7"/>
  <c r="C208" i="7"/>
  <c r="C210" i="7"/>
  <c r="C211" i="7"/>
  <c r="C212" i="7"/>
  <c r="C214" i="7"/>
  <c r="C215" i="7"/>
  <c r="C219" i="7"/>
  <c r="C220" i="7"/>
  <c r="C221" i="7"/>
  <c r="C223" i="7"/>
  <c r="C224" i="7"/>
  <c r="C225" i="7"/>
  <c r="C226" i="7"/>
  <c r="C227" i="7"/>
  <c r="C228" i="7"/>
  <c r="C230" i="7"/>
  <c r="C231" i="7"/>
  <c r="C232" i="7"/>
  <c r="C235" i="7"/>
  <c r="C240" i="7"/>
  <c r="C241" i="7"/>
  <c r="C245" i="7"/>
  <c r="C246" i="7"/>
  <c r="C247" i="7"/>
  <c r="C248" i="7"/>
  <c r="C249" i="7"/>
  <c r="C251" i="7"/>
  <c r="C252" i="7"/>
  <c r="C254" i="7"/>
  <c r="C255" i="7"/>
  <c r="C256" i="7"/>
  <c r="C258" i="7"/>
  <c r="C259" i="7"/>
  <c r="C260" i="7"/>
  <c r="C261" i="7"/>
  <c r="C263" i="7"/>
  <c r="C264" i="7"/>
  <c r="C265" i="7"/>
  <c r="C269" i="7"/>
  <c r="C270" i="7"/>
  <c r="C272" i="7"/>
  <c r="C273" i="7"/>
  <c r="C275" i="7"/>
  <c r="C276" i="7"/>
  <c r="C277" i="7"/>
  <c r="C278" i="7"/>
  <c r="C279" i="7"/>
  <c r="C285" i="7"/>
  <c r="C286" i="7"/>
  <c r="C287" i="7"/>
  <c r="C290" i="7"/>
  <c r="C291" i="7"/>
  <c r="C292" i="7"/>
  <c r="C298" i="7"/>
  <c r="C300" i="7"/>
  <c r="C301" i="7"/>
  <c r="C302" i="7"/>
  <c r="C303" i="7"/>
  <c r="C305" i="7"/>
  <c r="C306" i="7"/>
  <c r="C307" i="7"/>
  <c r="C308" i="7"/>
  <c r="C309" i="7"/>
  <c r="C310" i="7"/>
  <c r="C312" i="7"/>
  <c r="C313" i="7"/>
  <c r="C314" i="7"/>
  <c r="C316" i="7"/>
  <c r="C317" i="7"/>
  <c r="C318" i="7"/>
  <c r="C319" i="7"/>
  <c r="C320" i="7"/>
  <c r="C321" i="7"/>
  <c r="C322" i="7"/>
  <c r="C323" i="7"/>
  <c r="D3" i="7"/>
  <c r="D4" i="7"/>
  <c r="D5" i="7"/>
  <c r="D7" i="7"/>
  <c r="D8" i="7"/>
  <c r="D11" i="7"/>
  <c r="D13" i="7"/>
  <c r="D14" i="7"/>
  <c r="D15" i="7"/>
  <c r="D16" i="7"/>
  <c r="D17" i="7"/>
  <c r="D18" i="7"/>
  <c r="D19" i="7"/>
  <c r="D22" i="7"/>
  <c r="D23" i="7"/>
  <c r="D25" i="7"/>
  <c r="D26" i="7"/>
  <c r="D29" i="7"/>
  <c r="D30" i="7"/>
  <c r="D32" i="7"/>
  <c r="D33" i="7"/>
  <c r="D34" i="7"/>
  <c r="D36" i="7"/>
  <c r="D39" i="7"/>
  <c r="D40" i="7"/>
  <c r="D41" i="7"/>
  <c r="D42" i="7"/>
  <c r="D44" i="7"/>
  <c r="D45" i="7"/>
  <c r="D47" i="7"/>
  <c r="D48" i="7"/>
  <c r="D49" i="7"/>
  <c r="D50" i="7"/>
  <c r="D53" i="7"/>
  <c r="D57" i="7"/>
  <c r="D58" i="7"/>
  <c r="D60" i="7"/>
  <c r="D61" i="7"/>
  <c r="D62" i="7"/>
  <c r="D63" i="7"/>
  <c r="D69" i="7"/>
  <c r="D72" i="7"/>
  <c r="D73" i="7"/>
  <c r="D74" i="7"/>
  <c r="D75" i="7"/>
  <c r="D76" i="7"/>
  <c r="D77" i="7"/>
  <c r="D79" i="7"/>
  <c r="D80" i="7"/>
  <c r="D82" i="7"/>
  <c r="D83" i="7"/>
  <c r="H86" i="13" s="1"/>
  <c r="D88" i="7"/>
  <c r="D89" i="7"/>
  <c r="D90" i="7"/>
  <c r="D91" i="7"/>
  <c r="D92" i="7"/>
  <c r="D94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3" i="7"/>
  <c r="D114" i="7"/>
  <c r="D117" i="7"/>
  <c r="D118" i="7"/>
  <c r="D119" i="7"/>
  <c r="D120" i="7"/>
  <c r="D122" i="7"/>
  <c r="D125" i="7"/>
  <c r="D126" i="7"/>
  <c r="D127" i="7"/>
  <c r="D128" i="7"/>
  <c r="D129" i="7"/>
  <c r="D132" i="7"/>
  <c r="D133" i="7"/>
  <c r="D136" i="7"/>
  <c r="D137" i="7"/>
  <c r="D138" i="7"/>
  <c r="D139" i="7"/>
  <c r="D140" i="7"/>
  <c r="D141" i="7"/>
  <c r="D142" i="7"/>
  <c r="D143" i="7"/>
  <c r="D145" i="7"/>
  <c r="D146" i="7"/>
  <c r="D147" i="7"/>
  <c r="D148" i="7"/>
  <c r="D154" i="7"/>
  <c r="D158" i="7"/>
  <c r="D159" i="7"/>
  <c r="D160" i="7"/>
  <c r="D162" i="7"/>
  <c r="D165" i="7"/>
  <c r="D166" i="7"/>
  <c r="D167" i="7"/>
  <c r="D168" i="7"/>
  <c r="D176" i="7"/>
  <c r="D179" i="7"/>
  <c r="D180" i="7"/>
  <c r="D181" i="7"/>
  <c r="D183" i="7"/>
  <c r="D187" i="7"/>
  <c r="D188" i="7"/>
  <c r="D189" i="7"/>
  <c r="D190" i="7"/>
  <c r="D198" i="7"/>
  <c r="D199" i="7"/>
  <c r="D200" i="7"/>
  <c r="D201" i="7"/>
  <c r="D202" i="7"/>
  <c r="D203" i="7"/>
  <c r="D204" i="7"/>
  <c r="D205" i="7"/>
  <c r="D207" i="7"/>
  <c r="D208" i="7"/>
  <c r="D210" i="7"/>
  <c r="D211" i="7"/>
  <c r="D212" i="7"/>
  <c r="D214" i="7"/>
  <c r="D215" i="7"/>
  <c r="H216" i="13" s="1"/>
  <c r="D219" i="7"/>
  <c r="D220" i="7"/>
  <c r="D221" i="7"/>
  <c r="H222" i="13" s="1"/>
  <c r="D223" i="7"/>
  <c r="D224" i="7"/>
  <c r="D225" i="7"/>
  <c r="D226" i="7"/>
  <c r="D227" i="7"/>
  <c r="D228" i="7"/>
  <c r="D230" i="7"/>
  <c r="D231" i="7"/>
  <c r="D232" i="7"/>
  <c r="D235" i="7"/>
  <c r="D240" i="7"/>
  <c r="D241" i="7"/>
  <c r="D245" i="7"/>
  <c r="D246" i="7"/>
  <c r="D247" i="7"/>
  <c r="D248" i="7"/>
  <c r="D249" i="7"/>
  <c r="D251" i="7"/>
  <c r="D252" i="7"/>
  <c r="D254" i="7"/>
  <c r="D255" i="7"/>
  <c r="D256" i="7"/>
  <c r="D258" i="7"/>
  <c r="D259" i="7"/>
  <c r="D260" i="7"/>
  <c r="D261" i="7"/>
  <c r="D263" i="7"/>
  <c r="D264" i="7"/>
  <c r="D265" i="7"/>
  <c r="D269" i="7"/>
  <c r="D270" i="7"/>
  <c r="D272" i="7"/>
  <c r="D273" i="7"/>
  <c r="D275" i="7"/>
  <c r="D276" i="7"/>
  <c r="D277" i="7"/>
  <c r="D278" i="7"/>
  <c r="D279" i="7"/>
  <c r="D285" i="7"/>
  <c r="D286" i="7"/>
  <c r="D287" i="7"/>
  <c r="D290" i="7"/>
  <c r="D291" i="7"/>
  <c r="D292" i="7"/>
  <c r="D298" i="7"/>
  <c r="D300" i="7"/>
  <c r="D301" i="7"/>
  <c r="D302" i="7"/>
  <c r="D303" i="7"/>
  <c r="D305" i="7"/>
  <c r="D306" i="7"/>
  <c r="D307" i="7"/>
  <c r="D308" i="7"/>
  <c r="D309" i="7"/>
  <c r="D310" i="7"/>
  <c r="D312" i="7"/>
  <c r="D313" i="7"/>
  <c r="D314" i="7"/>
  <c r="D316" i="7"/>
  <c r="D317" i="7"/>
  <c r="D318" i="7"/>
  <c r="D319" i="7"/>
  <c r="D320" i="7"/>
  <c r="D321" i="7"/>
  <c r="D322" i="7"/>
  <c r="D323" i="7"/>
  <c r="E3" i="7"/>
  <c r="E4" i="7"/>
  <c r="E5" i="7"/>
  <c r="E7" i="7"/>
  <c r="E8" i="7"/>
  <c r="E11" i="7"/>
  <c r="E13" i="7"/>
  <c r="E14" i="7"/>
  <c r="E15" i="7"/>
  <c r="E16" i="7"/>
  <c r="E17" i="7"/>
  <c r="E18" i="7"/>
  <c r="E19" i="7"/>
  <c r="E22" i="7"/>
  <c r="E23" i="7"/>
  <c r="E25" i="7"/>
  <c r="E26" i="7"/>
  <c r="E29" i="7"/>
  <c r="E30" i="7"/>
  <c r="E32" i="7"/>
  <c r="E33" i="7"/>
  <c r="E34" i="7"/>
  <c r="E36" i="7"/>
  <c r="E39" i="7"/>
  <c r="E40" i="7"/>
  <c r="E41" i="7"/>
  <c r="E42" i="7"/>
  <c r="E44" i="7"/>
  <c r="E45" i="7"/>
  <c r="E47" i="7"/>
  <c r="E48" i="7"/>
  <c r="E49" i="7"/>
  <c r="E50" i="7"/>
  <c r="E53" i="7"/>
  <c r="E57" i="7"/>
  <c r="E58" i="7"/>
  <c r="E60" i="7"/>
  <c r="E61" i="7"/>
  <c r="E62" i="7"/>
  <c r="E63" i="7"/>
  <c r="E69" i="7"/>
  <c r="E72" i="7"/>
  <c r="E73" i="7"/>
  <c r="E74" i="7"/>
  <c r="E75" i="7"/>
  <c r="E76" i="7"/>
  <c r="E77" i="7"/>
  <c r="E79" i="7"/>
  <c r="E80" i="7"/>
  <c r="E82" i="7"/>
  <c r="E83" i="7"/>
  <c r="E88" i="7"/>
  <c r="E89" i="7"/>
  <c r="E90" i="7"/>
  <c r="E91" i="7"/>
  <c r="E92" i="7"/>
  <c r="E94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3" i="7"/>
  <c r="E114" i="7"/>
  <c r="E117" i="7"/>
  <c r="E118" i="7"/>
  <c r="E119" i="7"/>
  <c r="E120" i="7"/>
  <c r="E122" i="7"/>
  <c r="E125" i="7"/>
  <c r="E126" i="7"/>
  <c r="E127" i="7"/>
  <c r="E128" i="7"/>
  <c r="E129" i="7"/>
  <c r="E132" i="7"/>
  <c r="E133" i="7"/>
  <c r="E136" i="7"/>
  <c r="E137" i="7"/>
  <c r="E138" i="7"/>
  <c r="E139" i="7"/>
  <c r="E140" i="7"/>
  <c r="E141" i="7"/>
  <c r="E142" i="7"/>
  <c r="E143" i="7"/>
  <c r="E145" i="7"/>
  <c r="E146" i="7"/>
  <c r="E147" i="7"/>
  <c r="E148" i="7"/>
  <c r="E154" i="7"/>
  <c r="E158" i="7"/>
  <c r="E159" i="7"/>
  <c r="E160" i="7"/>
  <c r="E162" i="7"/>
  <c r="E165" i="7"/>
  <c r="E166" i="7"/>
  <c r="E167" i="7"/>
  <c r="E168" i="7"/>
  <c r="E176" i="7"/>
  <c r="E179" i="7"/>
  <c r="E180" i="7"/>
  <c r="E181" i="7"/>
  <c r="E183" i="7"/>
  <c r="E187" i="7"/>
  <c r="E188" i="7"/>
  <c r="E189" i="7"/>
  <c r="E190" i="7"/>
  <c r="E198" i="7"/>
  <c r="E199" i="7"/>
  <c r="E200" i="7"/>
  <c r="E201" i="7"/>
  <c r="E202" i="7"/>
  <c r="E203" i="7"/>
  <c r="E204" i="7"/>
  <c r="E205" i="7"/>
  <c r="E207" i="7"/>
  <c r="E208" i="7"/>
  <c r="E210" i="7"/>
  <c r="E211" i="7"/>
  <c r="E212" i="7"/>
  <c r="E214" i="7"/>
  <c r="E215" i="7"/>
  <c r="E219" i="7"/>
  <c r="E220" i="7"/>
  <c r="E221" i="7"/>
  <c r="E223" i="7"/>
  <c r="E224" i="7"/>
  <c r="E225" i="7"/>
  <c r="E226" i="7"/>
  <c r="E227" i="7"/>
  <c r="E228" i="7"/>
  <c r="E230" i="7"/>
  <c r="E231" i="7"/>
  <c r="E232" i="7"/>
  <c r="E235" i="7"/>
  <c r="E240" i="7"/>
  <c r="E241" i="7"/>
  <c r="E245" i="7"/>
  <c r="E246" i="7"/>
  <c r="E247" i="7"/>
  <c r="E248" i="7"/>
  <c r="E249" i="7"/>
  <c r="E251" i="7"/>
  <c r="E252" i="7"/>
  <c r="E254" i="7"/>
  <c r="E255" i="7"/>
  <c r="E256" i="7"/>
  <c r="E258" i="7"/>
  <c r="E259" i="7"/>
  <c r="E260" i="7"/>
  <c r="E261" i="7"/>
  <c r="E263" i="7"/>
  <c r="E264" i="7"/>
  <c r="E265" i="7"/>
  <c r="E269" i="7"/>
  <c r="E270" i="7"/>
  <c r="E272" i="7"/>
  <c r="E273" i="7"/>
  <c r="E275" i="7"/>
  <c r="E276" i="7"/>
  <c r="E277" i="7"/>
  <c r="E278" i="7"/>
  <c r="E279" i="7"/>
  <c r="E285" i="7"/>
  <c r="E286" i="7"/>
  <c r="E287" i="7"/>
  <c r="E290" i="7"/>
  <c r="E291" i="7"/>
  <c r="E292" i="7"/>
  <c r="E298" i="7"/>
  <c r="E300" i="7"/>
  <c r="E301" i="7"/>
  <c r="E302" i="7"/>
  <c r="E303" i="7"/>
  <c r="E305" i="7"/>
  <c r="E306" i="7"/>
  <c r="E307" i="7"/>
  <c r="E308" i="7"/>
  <c r="E309" i="7"/>
  <c r="E310" i="7"/>
  <c r="E312" i="7"/>
  <c r="E313" i="7"/>
  <c r="E314" i="7"/>
  <c r="E316" i="7"/>
  <c r="E317" i="7"/>
  <c r="E318" i="7"/>
  <c r="E319" i="7"/>
  <c r="E320" i="7"/>
  <c r="E321" i="7"/>
  <c r="E322" i="7"/>
  <c r="E323" i="7"/>
  <c r="F3" i="7"/>
  <c r="F4" i="7"/>
  <c r="F5" i="7"/>
  <c r="F7" i="7"/>
  <c r="F8" i="7"/>
  <c r="F11" i="7"/>
  <c r="F13" i="7"/>
  <c r="F14" i="7"/>
  <c r="F15" i="7"/>
  <c r="F16" i="7"/>
  <c r="F17" i="7"/>
  <c r="F18" i="7"/>
  <c r="F19" i="7"/>
  <c r="F22" i="7"/>
  <c r="F23" i="7"/>
  <c r="F25" i="7"/>
  <c r="F26" i="7"/>
  <c r="F29" i="7"/>
  <c r="F30" i="7"/>
  <c r="F32" i="7"/>
  <c r="F33" i="7"/>
  <c r="F34" i="7"/>
  <c r="F36" i="7"/>
  <c r="F39" i="7"/>
  <c r="F40" i="7"/>
  <c r="F41" i="7"/>
  <c r="F42" i="7"/>
  <c r="F44" i="7"/>
  <c r="F45" i="7"/>
  <c r="F47" i="7"/>
  <c r="F48" i="7"/>
  <c r="F49" i="7"/>
  <c r="F50" i="7"/>
  <c r="F53" i="7"/>
  <c r="F57" i="7"/>
  <c r="F58" i="7"/>
  <c r="F60" i="7"/>
  <c r="F61" i="7"/>
  <c r="F62" i="7"/>
  <c r="F63" i="7"/>
  <c r="F69" i="7"/>
  <c r="F72" i="7"/>
  <c r="F73" i="7"/>
  <c r="F74" i="7"/>
  <c r="F75" i="7"/>
  <c r="F76" i="7"/>
  <c r="F77" i="7"/>
  <c r="F79" i="7"/>
  <c r="F80" i="7"/>
  <c r="F82" i="7"/>
  <c r="F83" i="7"/>
  <c r="F88" i="7"/>
  <c r="F89" i="7"/>
  <c r="F90" i="7"/>
  <c r="F91" i="7"/>
  <c r="F92" i="7"/>
  <c r="F94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3" i="7"/>
  <c r="F114" i="7"/>
  <c r="F117" i="7"/>
  <c r="F118" i="7"/>
  <c r="F119" i="7"/>
  <c r="F120" i="7"/>
  <c r="F122" i="7"/>
  <c r="F125" i="7"/>
  <c r="F126" i="7"/>
  <c r="F127" i="7"/>
  <c r="F128" i="7"/>
  <c r="F129" i="7"/>
  <c r="F132" i="7"/>
  <c r="F133" i="7"/>
  <c r="F136" i="7"/>
  <c r="F137" i="7"/>
  <c r="F138" i="7"/>
  <c r="F139" i="7"/>
  <c r="F140" i="7"/>
  <c r="F141" i="7"/>
  <c r="F142" i="7"/>
  <c r="F143" i="7"/>
  <c r="F145" i="7"/>
  <c r="F146" i="7"/>
  <c r="F147" i="7"/>
  <c r="F148" i="7"/>
  <c r="F154" i="7"/>
  <c r="F158" i="7"/>
  <c r="F159" i="7"/>
  <c r="F160" i="7"/>
  <c r="F162" i="7"/>
  <c r="F165" i="7"/>
  <c r="F166" i="7"/>
  <c r="F167" i="7"/>
  <c r="F168" i="7"/>
  <c r="F176" i="7"/>
  <c r="F179" i="7"/>
  <c r="F180" i="7"/>
  <c r="F181" i="7"/>
  <c r="F183" i="7"/>
  <c r="F187" i="7"/>
  <c r="F188" i="7"/>
  <c r="F189" i="7"/>
  <c r="F190" i="7"/>
  <c r="F198" i="7"/>
  <c r="F199" i="7"/>
  <c r="F200" i="7"/>
  <c r="F201" i="7"/>
  <c r="F202" i="7"/>
  <c r="F203" i="7"/>
  <c r="F204" i="7"/>
  <c r="F205" i="7"/>
  <c r="F207" i="7"/>
  <c r="F208" i="7"/>
  <c r="F210" i="7"/>
  <c r="F211" i="7"/>
  <c r="F212" i="7"/>
  <c r="F214" i="7"/>
  <c r="F215" i="7"/>
  <c r="F219" i="7"/>
  <c r="F220" i="7"/>
  <c r="F221" i="7"/>
  <c r="F223" i="7"/>
  <c r="F224" i="7"/>
  <c r="F225" i="7"/>
  <c r="F226" i="7"/>
  <c r="F227" i="7"/>
  <c r="F228" i="7"/>
  <c r="F230" i="7"/>
  <c r="F231" i="7"/>
  <c r="F232" i="7"/>
  <c r="F235" i="7"/>
  <c r="F240" i="7"/>
  <c r="F241" i="7"/>
  <c r="F245" i="7"/>
  <c r="F246" i="7"/>
  <c r="F247" i="7"/>
  <c r="F248" i="7"/>
  <c r="F249" i="7"/>
  <c r="F251" i="7"/>
  <c r="F252" i="7"/>
  <c r="F254" i="7"/>
  <c r="F255" i="7"/>
  <c r="F256" i="7"/>
  <c r="F258" i="7"/>
  <c r="F259" i="7"/>
  <c r="F260" i="7"/>
  <c r="F261" i="7"/>
  <c r="F263" i="7"/>
  <c r="F264" i="7"/>
  <c r="F265" i="7"/>
  <c r="F269" i="7"/>
  <c r="F270" i="7"/>
  <c r="F272" i="7"/>
  <c r="F273" i="7"/>
  <c r="F275" i="7"/>
  <c r="F276" i="7"/>
  <c r="F277" i="7"/>
  <c r="F278" i="7"/>
  <c r="F279" i="7"/>
  <c r="F285" i="7"/>
  <c r="F286" i="7"/>
  <c r="F287" i="7"/>
  <c r="F290" i="7"/>
  <c r="F291" i="7"/>
  <c r="F292" i="7"/>
  <c r="F298" i="7"/>
  <c r="F300" i="7"/>
  <c r="F301" i="7"/>
  <c r="F302" i="7"/>
  <c r="F303" i="7"/>
  <c r="F305" i="7"/>
  <c r="F306" i="7"/>
  <c r="F307" i="7"/>
  <c r="F308" i="7"/>
  <c r="F309" i="7"/>
  <c r="F310" i="7"/>
  <c r="F312" i="7"/>
  <c r="F313" i="7"/>
  <c r="F314" i="7"/>
  <c r="F316" i="7"/>
  <c r="F317" i="7"/>
  <c r="F318" i="7"/>
  <c r="F319" i="7"/>
  <c r="F320" i="7"/>
  <c r="F321" i="7"/>
  <c r="F322" i="7"/>
  <c r="F323" i="7"/>
  <c r="G3" i="7"/>
  <c r="G4" i="7"/>
  <c r="G5" i="7"/>
  <c r="G7" i="7"/>
  <c r="G8" i="7"/>
  <c r="G11" i="7"/>
  <c r="G13" i="7"/>
  <c r="G14" i="7"/>
  <c r="G15" i="7"/>
  <c r="G16" i="7"/>
  <c r="G17" i="7"/>
  <c r="G18" i="7"/>
  <c r="G19" i="7"/>
  <c r="G22" i="7"/>
  <c r="G23" i="7"/>
  <c r="G25" i="7"/>
  <c r="G26" i="7"/>
  <c r="G29" i="7"/>
  <c r="G30" i="7"/>
  <c r="G32" i="7"/>
  <c r="G33" i="7"/>
  <c r="G34" i="7"/>
  <c r="G36" i="7"/>
  <c r="G39" i="7"/>
  <c r="G40" i="7"/>
  <c r="G41" i="7"/>
  <c r="G42" i="7"/>
  <c r="G44" i="7"/>
  <c r="G45" i="7"/>
  <c r="G47" i="7"/>
  <c r="G48" i="7"/>
  <c r="G49" i="7"/>
  <c r="G50" i="7"/>
  <c r="G53" i="7"/>
  <c r="D24" i="18" s="1"/>
  <c r="G57" i="7"/>
  <c r="G58" i="7"/>
  <c r="G60" i="7"/>
  <c r="G61" i="7"/>
  <c r="G62" i="7"/>
  <c r="G63" i="7"/>
  <c r="G69" i="7"/>
  <c r="G72" i="7"/>
  <c r="G73" i="7"/>
  <c r="G74" i="7"/>
  <c r="G75" i="7"/>
  <c r="G76" i="7"/>
  <c r="G77" i="7"/>
  <c r="G79" i="7"/>
  <c r="G80" i="7"/>
  <c r="G82" i="7"/>
  <c r="G83" i="7"/>
  <c r="T83" i="7" s="1"/>
  <c r="G88" i="7"/>
  <c r="G89" i="7"/>
  <c r="G90" i="7"/>
  <c r="G91" i="7"/>
  <c r="G92" i="7"/>
  <c r="G94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3" i="7"/>
  <c r="G114" i="7"/>
  <c r="G117" i="7"/>
  <c r="G118" i="7"/>
  <c r="G119" i="7"/>
  <c r="G120" i="7"/>
  <c r="G122" i="7"/>
  <c r="G125" i="7"/>
  <c r="G126" i="7"/>
  <c r="G127" i="7"/>
  <c r="G128" i="7"/>
  <c r="G129" i="7"/>
  <c r="G132" i="7"/>
  <c r="G133" i="7"/>
  <c r="G136" i="7"/>
  <c r="G137" i="7"/>
  <c r="G138" i="7"/>
  <c r="G139" i="7"/>
  <c r="G140" i="7"/>
  <c r="G141" i="7"/>
  <c r="G142" i="7"/>
  <c r="G143" i="7"/>
  <c r="G145" i="7"/>
  <c r="G146" i="7"/>
  <c r="G147" i="7"/>
  <c r="G148" i="7"/>
  <c r="G154" i="7"/>
  <c r="G158" i="7"/>
  <c r="G159" i="7"/>
  <c r="G160" i="7"/>
  <c r="G162" i="7"/>
  <c r="G165" i="7"/>
  <c r="G166" i="7"/>
  <c r="G167" i="7"/>
  <c r="G168" i="7"/>
  <c r="G176" i="7"/>
  <c r="G179" i="7"/>
  <c r="G180" i="7"/>
  <c r="G181" i="7"/>
  <c r="G183" i="7"/>
  <c r="G187" i="7"/>
  <c r="G188" i="7"/>
  <c r="G189" i="7"/>
  <c r="G190" i="7"/>
  <c r="G198" i="7"/>
  <c r="G199" i="7"/>
  <c r="G200" i="7"/>
  <c r="G201" i="7"/>
  <c r="G202" i="7"/>
  <c r="G203" i="7"/>
  <c r="G204" i="7"/>
  <c r="G205" i="7"/>
  <c r="D51" i="18" s="1"/>
  <c r="G207" i="7"/>
  <c r="G208" i="7"/>
  <c r="G210" i="7"/>
  <c r="G211" i="7"/>
  <c r="G212" i="7"/>
  <c r="G214" i="7"/>
  <c r="G215" i="7"/>
  <c r="T215" i="7" s="1"/>
  <c r="G219" i="7"/>
  <c r="G220" i="7"/>
  <c r="G221" i="7"/>
  <c r="G223" i="7"/>
  <c r="G224" i="7"/>
  <c r="G225" i="7"/>
  <c r="G226" i="7"/>
  <c r="G227" i="7"/>
  <c r="G228" i="7"/>
  <c r="G230" i="7"/>
  <c r="G231" i="7"/>
  <c r="G232" i="7"/>
  <c r="G235" i="7"/>
  <c r="G240" i="7"/>
  <c r="G241" i="7"/>
  <c r="G245" i="7"/>
  <c r="G246" i="7"/>
  <c r="G247" i="7"/>
  <c r="G248" i="7"/>
  <c r="G249" i="7"/>
  <c r="G251" i="7"/>
  <c r="G252" i="7"/>
  <c r="G254" i="7"/>
  <c r="G255" i="7"/>
  <c r="G256" i="7"/>
  <c r="G258" i="7"/>
  <c r="G259" i="7"/>
  <c r="G260" i="7"/>
  <c r="G261" i="7"/>
  <c r="G263" i="7"/>
  <c r="G264" i="7"/>
  <c r="G265" i="7"/>
  <c r="G269" i="7"/>
  <c r="G270" i="7"/>
  <c r="G272" i="7"/>
  <c r="G273" i="7"/>
  <c r="G275" i="7"/>
  <c r="G276" i="7"/>
  <c r="G277" i="7"/>
  <c r="G278" i="7"/>
  <c r="G279" i="7"/>
  <c r="G285" i="7"/>
  <c r="G286" i="7"/>
  <c r="G287" i="7"/>
  <c r="G290" i="7"/>
  <c r="G291" i="7"/>
  <c r="G292" i="7"/>
  <c r="G298" i="7"/>
  <c r="G300" i="7"/>
  <c r="G301" i="7"/>
  <c r="G302" i="7"/>
  <c r="G303" i="7"/>
  <c r="G305" i="7"/>
  <c r="G306" i="7"/>
  <c r="G307" i="7"/>
  <c r="G308" i="7"/>
  <c r="G309" i="7"/>
  <c r="G310" i="7"/>
  <c r="G312" i="7"/>
  <c r="G313" i="7"/>
  <c r="G314" i="7"/>
  <c r="G316" i="7"/>
  <c r="G317" i="7"/>
  <c r="G318" i="7"/>
  <c r="G319" i="7"/>
  <c r="G320" i="7"/>
  <c r="G321" i="7"/>
  <c r="G322" i="7"/>
  <c r="G323" i="7"/>
  <c r="O3" i="7"/>
  <c r="O4" i="7"/>
  <c r="O5" i="7"/>
  <c r="O7" i="7"/>
  <c r="O8" i="7"/>
  <c r="O11" i="7"/>
  <c r="O13" i="7"/>
  <c r="O14" i="7"/>
  <c r="O15" i="7"/>
  <c r="O16" i="7"/>
  <c r="O17" i="7"/>
  <c r="O18" i="7"/>
  <c r="O19" i="7"/>
  <c r="O22" i="7"/>
  <c r="O23" i="7"/>
  <c r="O25" i="7"/>
  <c r="O26" i="7"/>
  <c r="O29" i="7"/>
  <c r="O30" i="7"/>
  <c r="O32" i="7"/>
  <c r="O33" i="7"/>
  <c r="O34" i="7"/>
  <c r="O36" i="7"/>
  <c r="O39" i="7"/>
  <c r="O40" i="7"/>
  <c r="O41" i="7"/>
  <c r="O42" i="7"/>
  <c r="O44" i="7"/>
  <c r="O45" i="7"/>
  <c r="O47" i="7"/>
  <c r="O48" i="7"/>
  <c r="O49" i="7"/>
  <c r="O50" i="7"/>
  <c r="O53" i="7"/>
  <c r="O57" i="7"/>
  <c r="O58" i="7"/>
  <c r="O60" i="7"/>
  <c r="O61" i="7"/>
  <c r="O62" i="7"/>
  <c r="O63" i="7"/>
  <c r="O69" i="7"/>
  <c r="O72" i="7"/>
  <c r="O73" i="7"/>
  <c r="O74" i="7"/>
  <c r="O75" i="7"/>
  <c r="O76" i="7"/>
  <c r="O77" i="7"/>
  <c r="O79" i="7"/>
  <c r="O80" i="7"/>
  <c r="O82" i="7"/>
  <c r="O83" i="7"/>
  <c r="O88" i="7"/>
  <c r="O89" i="7"/>
  <c r="O90" i="7"/>
  <c r="O91" i="7"/>
  <c r="O92" i="7"/>
  <c r="O94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3" i="7"/>
  <c r="O114" i="7"/>
  <c r="O117" i="7"/>
  <c r="O118" i="7"/>
  <c r="O119" i="7"/>
  <c r="O120" i="7"/>
  <c r="O122" i="7"/>
  <c r="O125" i="7"/>
  <c r="O126" i="7"/>
  <c r="O127" i="7"/>
  <c r="O128" i="7"/>
  <c r="O129" i="7"/>
  <c r="O132" i="7"/>
  <c r="O133" i="7"/>
  <c r="O136" i="7"/>
  <c r="O137" i="7"/>
  <c r="O138" i="7"/>
  <c r="O139" i="7"/>
  <c r="O140" i="7"/>
  <c r="O141" i="7"/>
  <c r="O142" i="7"/>
  <c r="O143" i="7"/>
  <c r="O145" i="7"/>
  <c r="O146" i="7"/>
  <c r="O147" i="7"/>
  <c r="O148" i="7"/>
  <c r="O154" i="7"/>
  <c r="O158" i="7"/>
  <c r="O159" i="7"/>
  <c r="O160" i="7"/>
  <c r="O162" i="7"/>
  <c r="O165" i="7"/>
  <c r="O166" i="7"/>
  <c r="O167" i="7"/>
  <c r="O168" i="7"/>
  <c r="O176" i="7"/>
  <c r="O179" i="7"/>
  <c r="O180" i="7"/>
  <c r="O181" i="7"/>
  <c r="O183" i="7"/>
  <c r="O187" i="7"/>
  <c r="O188" i="7"/>
  <c r="O189" i="7"/>
  <c r="O190" i="7"/>
  <c r="O198" i="7"/>
  <c r="O199" i="7"/>
  <c r="O200" i="7"/>
  <c r="O201" i="7"/>
  <c r="O202" i="7"/>
  <c r="O203" i="7"/>
  <c r="O204" i="7"/>
  <c r="O205" i="7"/>
  <c r="O207" i="7"/>
  <c r="O208" i="7"/>
  <c r="O210" i="7"/>
  <c r="O211" i="7"/>
  <c r="O212" i="7"/>
  <c r="O214" i="7"/>
  <c r="O215" i="7"/>
  <c r="O219" i="7"/>
  <c r="O220" i="7"/>
  <c r="O221" i="7"/>
  <c r="O223" i="7"/>
  <c r="O224" i="7"/>
  <c r="O225" i="7"/>
  <c r="O226" i="7"/>
  <c r="O227" i="7"/>
  <c r="O228" i="7"/>
  <c r="O230" i="7"/>
  <c r="O231" i="7"/>
  <c r="O232" i="7"/>
  <c r="O235" i="7"/>
  <c r="O240" i="7"/>
  <c r="O241" i="7"/>
  <c r="O245" i="7"/>
  <c r="O246" i="7"/>
  <c r="O247" i="7"/>
  <c r="O248" i="7"/>
  <c r="O249" i="7"/>
  <c r="O251" i="7"/>
  <c r="O252" i="7"/>
  <c r="O254" i="7"/>
  <c r="O255" i="7"/>
  <c r="O256" i="7"/>
  <c r="O258" i="7"/>
  <c r="O259" i="7"/>
  <c r="O260" i="7"/>
  <c r="O261" i="7"/>
  <c r="O263" i="7"/>
  <c r="O264" i="7"/>
  <c r="O265" i="7"/>
  <c r="O269" i="7"/>
  <c r="O270" i="7"/>
  <c r="O272" i="7"/>
  <c r="O273" i="7"/>
  <c r="O275" i="7"/>
  <c r="O276" i="7"/>
  <c r="O277" i="7"/>
  <c r="O278" i="7"/>
  <c r="O279" i="7"/>
  <c r="O285" i="7"/>
  <c r="O286" i="7"/>
  <c r="O287" i="7"/>
  <c r="O290" i="7"/>
  <c r="O291" i="7"/>
  <c r="O292" i="7"/>
  <c r="O298" i="7"/>
  <c r="O300" i="7"/>
  <c r="O301" i="7"/>
  <c r="O302" i="7"/>
  <c r="O303" i="7"/>
  <c r="O305" i="7"/>
  <c r="O306" i="7"/>
  <c r="O307" i="7"/>
  <c r="O308" i="7"/>
  <c r="O309" i="7"/>
  <c r="O310" i="7"/>
  <c r="O312" i="7"/>
  <c r="O313" i="7"/>
  <c r="O314" i="7"/>
  <c r="O316" i="7"/>
  <c r="O317" i="7"/>
  <c r="O318" i="7"/>
  <c r="O319" i="7"/>
  <c r="O320" i="7"/>
  <c r="O321" i="7"/>
  <c r="O322" i="7"/>
  <c r="O323" i="7"/>
  <c r="P3" i="7"/>
  <c r="P4" i="7"/>
  <c r="P5" i="7"/>
  <c r="P7" i="7"/>
  <c r="P8" i="7"/>
  <c r="P11" i="7"/>
  <c r="P13" i="7"/>
  <c r="P14" i="7"/>
  <c r="P15" i="7"/>
  <c r="P16" i="7"/>
  <c r="P17" i="7"/>
  <c r="P18" i="7"/>
  <c r="P19" i="7"/>
  <c r="P22" i="7"/>
  <c r="P23" i="7"/>
  <c r="P25" i="7"/>
  <c r="P26" i="7"/>
  <c r="P29" i="7"/>
  <c r="P30" i="7"/>
  <c r="P32" i="7"/>
  <c r="P33" i="7"/>
  <c r="P34" i="7"/>
  <c r="P36" i="7"/>
  <c r="P39" i="7"/>
  <c r="P40" i="7"/>
  <c r="P41" i="7"/>
  <c r="P42" i="7"/>
  <c r="P44" i="7"/>
  <c r="P45" i="7"/>
  <c r="P47" i="7"/>
  <c r="P48" i="7"/>
  <c r="P49" i="7"/>
  <c r="P50" i="7"/>
  <c r="P53" i="7"/>
  <c r="P57" i="7"/>
  <c r="P58" i="7"/>
  <c r="P60" i="7"/>
  <c r="P61" i="7"/>
  <c r="P62" i="7"/>
  <c r="P63" i="7"/>
  <c r="P69" i="7"/>
  <c r="P72" i="7"/>
  <c r="P73" i="7"/>
  <c r="P74" i="7"/>
  <c r="P75" i="7"/>
  <c r="P76" i="7"/>
  <c r="P77" i="7"/>
  <c r="P79" i="7"/>
  <c r="P80" i="7"/>
  <c r="P82" i="7"/>
  <c r="P83" i="7"/>
  <c r="P88" i="7"/>
  <c r="P89" i="7"/>
  <c r="P90" i="7"/>
  <c r="P91" i="7"/>
  <c r="P92" i="7"/>
  <c r="P94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3" i="7"/>
  <c r="P114" i="7"/>
  <c r="P117" i="7"/>
  <c r="P118" i="7"/>
  <c r="P119" i="7"/>
  <c r="P120" i="7"/>
  <c r="P122" i="7"/>
  <c r="P125" i="7"/>
  <c r="P126" i="7"/>
  <c r="P127" i="7"/>
  <c r="P128" i="7"/>
  <c r="P129" i="7"/>
  <c r="P132" i="7"/>
  <c r="P133" i="7"/>
  <c r="P136" i="7"/>
  <c r="P137" i="7"/>
  <c r="P138" i="7"/>
  <c r="P139" i="7"/>
  <c r="P140" i="7"/>
  <c r="P141" i="7"/>
  <c r="P142" i="7"/>
  <c r="P143" i="7"/>
  <c r="P145" i="7"/>
  <c r="P146" i="7"/>
  <c r="P147" i="7"/>
  <c r="P148" i="7"/>
  <c r="P154" i="7"/>
  <c r="P158" i="7"/>
  <c r="P159" i="7"/>
  <c r="P160" i="7"/>
  <c r="P162" i="7"/>
  <c r="P165" i="7"/>
  <c r="P166" i="7"/>
  <c r="P167" i="7"/>
  <c r="P168" i="7"/>
  <c r="P176" i="7"/>
  <c r="P179" i="7"/>
  <c r="P180" i="7"/>
  <c r="P181" i="7"/>
  <c r="P183" i="7"/>
  <c r="P187" i="7"/>
  <c r="P188" i="7"/>
  <c r="P189" i="7"/>
  <c r="P190" i="7"/>
  <c r="P198" i="7"/>
  <c r="P199" i="7"/>
  <c r="P200" i="7"/>
  <c r="P201" i="7"/>
  <c r="P202" i="7"/>
  <c r="P203" i="7"/>
  <c r="P204" i="7"/>
  <c r="P205" i="7"/>
  <c r="P207" i="7"/>
  <c r="P208" i="7"/>
  <c r="P210" i="7"/>
  <c r="P211" i="7"/>
  <c r="P212" i="7"/>
  <c r="P214" i="7"/>
  <c r="P215" i="7"/>
  <c r="P219" i="7"/>
  <c r="P220" i="7"/>
  <c r="P221" i="7"/>
  <c r="P223" i="7"/>
  <c r="P224" i="7"/>
  <c r="P225" i="7"/>
  <c r="P226" i="7"/>
  <c r="P227" i="7"/>
  <c r="P228" i="7"/>
  <c r="P230" i="7"/>
  <c r="P231" i="7"/>
  <c r="P232" i="7"/>
  <c r="P235" i="7"/>
  <c r="P240" i="7"/>
  <c r="P241" i="7"/>
  <c r="P245" i="7"/>
  <c r="P246" i="7"/>
  <c r="P247" i="7"/>
  <c r="P248" i="7"/>
  <c r="P249" i="7"/>
  <c r="P251" i="7"/>
  <c r="P252" i="7"/>
  <c r="P254" i="7"/>
  <c r="P255" i="7"/>
  <c r="P256" i="7"/>
  <c r="P258" i="7"/>
  <c r="P259" i="7"/>
  <c r="P260" i="7"/>
  <c r="P261" i="7"/>
  <c r="P263" i="7"/>
  <c r="P264" i="7"/>
  <c r="P265" i="7"/>
  <c r="P269" i="7"/>
  <c r="P270" i="7"/>
  <c r="P272" i="7"/>
  <c r="P273" i="7"/>
  <c r="P275" i="7"/>
  <c r="P276" i="7"/>
  <c r="P277" i="7"/>
  <c r="P278" i="7"/>
  <c r="P279" i="7"/>
  <c r="P285" i="7"/>
  <c r="P286" i="7"/>
  <c r="P287" i="7"/>
  <c r="P290" i="7"/>
  <c r="P291" i="7"/>
  <c r="P292" i="7"/>
  <c r="P298" i="7"/>
  <c r="P300" i="7"/>
  <c r="P301" i="7"/>
  <c r="P302" i="7"/>
  <c r="P303" i="7"/>
  <c r="P305" i="7"/>
  <c r="P306" i="7"/>
  <c r="P307" i="7"/>
  <c r="P308" i="7"/>
  <c r="P309" i="7"/>
  <c r="P310" i="7"/>
  <c r="P312" i="7"/>
  <c r="P313" i="7"/>
  <c r="P314" i="7"/>
  <c r="P316" i="7"/>
  <c r="P317" i="7"/>
  <c r="P318" i="7"/>
  <c r="P319" i="7"/>
  <c r="P320" i="7"/>
  <c r="P321" i="7"/>
  <c r="P322" i="7"/>
  <c r="P323" i="7"/>
  <c r="Q3" i="7"/>
  <c r="Q4" i="7"/>
  <c r="Q5" i="7"/>
  <c r="Q7" i="7"/>
  <c r="Q8" i="7"/>
  <c r="Q11" i="7"/>
  <c r="Q13" i="7"/>
  <c r="Q14" i="7"/>
  <c r="Q15" i="7"/>
  <c r="Q16" i="7"/>
  <c r="Q17" i="7"/>
  <c r="Q18" i="7"/>
  <c r="Q19" i="7"/>
  <c r="Q22" i="7"/>
  <c r="Q23" i="7"/>
  <c r="Q25" i="7"/>
  <c r="Q26" i="7"/>
  <c r="Q29" i="7"/>
  <c r="Q30" i="7"/>
  <c r="Q32" i="7"/>
  <c r="Q33" i="7"/>
  <c r="Q34" i="7"/>
  <c r="Q36" i="7"/>
  <c r="Q39" i="7"/>
  <c r="Q40" i="7"/>
  <c r="Q41" i="7"/>
  <c r="Q42" i="7"/>
  <c r="Q44" i="7"/>
  <c r="Q45" i="7"/>
  <c r="Q47" i="7"/>
  <c r="Q48" i="7"/>
  <c r="Q49" i="7"/>
  <c r="Q50" i="7"/>
  <c r="Q53" i="7"/>
  <c r="Q57" i="7"/>
  <c r="Q58" i="7"/>
  <c r="Q60" i="7"/>
  <c r="Q61" i="7"/>
  <c r="Q62" i="7"/>
  <c r="Q63" i="7"/>
  <c r="Q69" i="7"/>
  <c r="Q72" i="7"/>
  <c r="Q73" i="7"/>
  <c r="Q74" i="7"/>
  <c r="Q75" i="7"/>
  <c r="Q76" i="7"/>
  <c r="Q77" i="7"/>
  <c r="Q79" i="7"/>
  <c r="Q80" i="7"/>
  <c r="Q82" i="7"/>
  <c r="Q83" i="7"/>
  <c r="Q88" i="7"/>
  <c r="Q89" i="7"/>
  <c r="Q90" i="7"/>
  <c r="Q91" i="7"/>
  <c r="Q92" i="7"/>
  <c r="Q94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3" i="7"/>
  <c r="Q114" i="7"/>
  <c r="Q117" i="7"/>
  <c r="Q118" i="7"/>
  <c r="Q119" i="7"/>
  <c r="Q120" i="7"/>
  <c r="Q122" i="7"/>
  <c r="Q125" i="7"/>
  <c r="Q126" i="7"/>
  <c r="Q127" i="7"/>
  <c r="Q128" i="7"/>
  <c r="Q129" i="7"/>
  <c r="Q132" i="7"/>
  <c r="Q133" i="7"/>
  <c r="Q136" i="7"/>
  <c r="Q137" i="7"/>
  <c r="Q138" i="7"/>
  <c r="Q139" i="7"/>
  <c r="Q140" i="7"/>
  <c r="Q141" i="7"/>
  <c r="Q142" i="7"/>
  <c r="Q143" i="7"/>
  <c r="Q145" i="7"/>
  <c r="Q146" i="7"/>
  <c r="Q147" i="7"/>
  <c r="Q148" i="7"/>
  <c r="Q154" i="7"/>
  <c r="Q158" i="7"/>
  <c r="Q159" i="7"/>
  <c r="Q160" i="7"/>
  <c r="Q162" i="7"/>
  <c r="Q165" i="7"/>
  <c r="Q166" i="7"/>
  <c r="Q167" i="7"/>
  <c r="Q168" i="7"/>
  <c r="Q176" i="7"/>
  <c r="Q179" i="7"/>
  <c r="Q180" i="7"/>
  <c r="Q181" i="7"/>
  <c r="Q183" i="7"/>
  <c r="Q187" i="7"/>
  <c r="Q188" i="7"/>
  <c r="Q189" i="7"/>
  <c r="Q190" i="7"/>
  <c r="Q198" i="7"/>
  <c r="Q199" i="7"/>
  <c r="Q200" i="7"/>
  <c r="Q201" i="7"/>
  <c r="Q202" i="7"/>
  <c r="Q203" i="7"/>
  <c r="Q204" i="7"/>
  <c r="Q205" i="7"/>
  <c r="Q207" i="7"/>
  <c r="Q208" i="7"/>
  <c r="Q210" i="7"/>
  <c r="Q211" i="7"/>
  <c r="Q212" i="7"/>
  <c r="Q214" i="7"/>
  <c r="Q215" i="7"/>
  <c r="Q219" i="7"/>
  <c r="Q220" i="7"/>
  <c r="Q221" i="7"/>
  <c r="Q223" i="7"/>
  <c r="Q224" i="7"/>
  <c r="Q225" i="7"/>
  <c r="Q226" i="7"/>
  <c r="Q227" i="7"/>
  <c r="Q228" i="7"/>
  <c r="Q230" i="7"/>
  <c r="Q231" i="7"/>
  <c r="Q232" i="7"/>
  <c r="Q235" i="7"/>
  <c r="Q240" i="7"/>
  <c r="Q241" i="7"/>
  <c r="Q245" i="7"/>
  <c r="Q246" i="7"/>
  <c r="Q247" i="7"/>
  <c r="Q248" i="7"/>
  <c r="Q249" i="7"/>
  <c r="Q251" i="7"/>
  <c r="Q252" i="7"/>
  <c r="Q254" i="7"/>
  <c r="Q255" i="7"/>
  <c r="Q256" i="7"/>
  <c r="Q258" i="7"/>
  <c r="Q259" i="7"/>
  <c r="Q260" i="7"/>
  <c r="Q261" i="7"/>
  <c r="Q263" i="7"/>
  <c r="Q264" i="7"/>
  <c r="Q265" i="7"/>
  <c r="Q269" i="7"/>
  <c r="Q270" i="7"/>
  <c r="Q272" i="7"/>
  <c r="Q273" i="7"/>
  <c r="Q275" i="7"/>
  <c r="Q276" i="7"/>
  <c r="Q277" i="7"/>
  <c r="Q278" i="7"/>
  <c r="Q279" i="7"/>
  <c r="Q285" i="7"/>
  <c r="Q286" i="7"/>
  <c r="Q287" i="7"/>
  <c r="Q290" i="7"/>
  <c r="Q291" i="7"/>
  <c r="Q292" i="7"/>
  <c r="Q298" i="7"/>
  <c r="Q300" i="7"/>
  <c r="Q301" i="7"/>
  <c r="Q302" i="7"/>
  <c r="Q303" i="7"/>
  <c r="Q305" i="7"/>
  <c r="Q306" i="7"/>
  <c r="Q307" i="7"/>
  <c r="Q308" i="7"/>
  <c r="Q309" i="7"/>
  <c r="Q310" i="7"/>
  <c r="Q312" i="7"/>
  <c r="Q313" i="7"/>
  <c r="Q314" i="7"/>
  <c r="Q316" i="7"/>
  <c r="Q317" i="7"/>
  <c r="Q318" i="7"/>
  <c r="Q319" i="7"/>
  <c r="Q320" i="7"/>
  <c r="Q321" i="7"/>
  <c r="Q322" i="7"/>
  <c r="Q323" i="7"/>
  <c r="R3" i="7"/>
  <c r="R4" i="7"/>
  <c r="R5" i="7"/>
  <c r="R7" i="7"/>
  <c r="R8" i="7"/>
  <c r="R11" i="7"/>
  <c r="R13" i="7"/>
  <c r="R14" i="7"/>
  <c r="R15" i="7"/>
  <c r="R16" i="7"/>
  <c r="R17" i="7"/>
  <c r="R18" i="7"/>
  <c r="R19" i="7"/>
  <c r="R22" i="7"/>
  <c r="R23" i="7"/>
  <c r="R25" i="7"/>
  <c r="R26" i="7"/>
  <c r="R29" i="7"/>
  <c r="R30" i="7"/>
  <c r="R32" i="7"/>
  <c r="R33" i="7"/>
  <c r="R34" i="7"/>
  <c r="R36" i="7"/>
  <c r="R39" i="7"/>
  <c r="R40" i="7"/>
  <c r="R41" i="7"/>
  <c r="R42" i="7"/>
  <c r="R44" i="7"/>
  <c r="R45" i="7"/>
  <c r="R47" i="7"/>
  <c r="R48" i="7"/>
  <c r="R49" i="7"/>
  <c r="R50" i="7"/>
  <c r="R53" i="7"/>
  <c r="R57" i="7"/>
  <c r="R58" i="7"/>
  <c r="R60" i="7"/>
  <c r="R61" i="7"/>
  <c r="R62" i="7"/>
  <c r="R63" i="7"/>
  <c r="R69" i="7"/>
  <c r="R72" i="7"/>
  <c r="R73" i="7"/>
  <c r="R74" i="7"/>
  <c r="R75" i="7"/>
  <c r="R76" i="7"/>
  <c r="R77" i="7"/>
  <c r="R79" i="7"/>
  <c r="R80" i="7"/>
  <c r="R82" i="7"/>
  <c r="R83" i="7"/>
  <c r="R88" i="7"/>
  <c r="R89" i="7"/>
  <c r="R90" i="7"/>
  <c r="R91" i="7"/>
  <c r="R92" i="7"/>
  <c r="R94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3" i="7"/>
  <c r="R114" i="7"/>
  <c r="R117" i="7"/>
  <c r="R118" i="7"/>
  <c r="R119" i="7"/>
  <c r="R120" i="7"/>
  <c r="R122" i="7"/>
  <c r="R125" i="7"/>
  <c r="R126" i="7"/>
  <c r="R127" i="7"/>
  <c r="R128" i="7"/>
  <c r="R129" i="7"/>
  <c r="R132" i="7"/>
  <c r="R133" i="7"/>
  <c r="R136" i="7"/>
  <c r="R137" i="7"/>
  <c r="R138" i="7"/>
  <c r="R139" i="7"/>
  <c r="R140" i="7"/>
  <c r="R141" i="7"/>
  <c r="R142" i="7"/>
  <c r="R143" i="7"/>
  <c r="R145" i="7"/>
  <c r="R146" i="7"/>
  <c r="R147" i="7"/>
  <c r="R148" i="7"/>
  <c r="R154" i="7"/>
  <c r="R158" i="7"/>
  <c r="R159" i="7"/>
  <c r="R160" i="7"/>
  <c r="R162" i="7"/>
  <c r="R165" i="7"/>
  <c r="R166" i="7"/>
  <c r="R167" i="7"/>
  <c r="R168" i="7"/>
  <c r="R176" i="7"/>
  <c r="R179" i="7"/>
  <c r="R180" i="7"/>
  <c r="R181" i="7"/>
  <c r="R183" i="7"/>
  <c r="R187" i="7"/>
  <c r="R188" i="7"/>
  <c r="R189" i="7"/>
  <c r="R190" i="7"/>
  <c r="R198" i="7"/>
  <c r="R199" i="7"/>
  <c r="R200" i="7"/>
  <c r="R201" i="7"/>
  <c r="R202" i="7"/>
  <c r="R203" i="7"/>
  <c r="R204" i="7"/>
  <c r="R205" i="7"/>
  <c r="R207" i="7"/>
  <c r="R208" i="7"/>
  <c r="R210" i="7"/>
  <c r="R211" i="7"/>
  <c r="R212" i="7"/>
  <c r="R214" i="7"/>
  <c r="R215" i="7"/>
  <c r="R219" i="7"/>
  <c r="R220" i="7"/>
  <c r="R221" i="7"/>
  <c r="R223" i="7"/>
  <c r="R224" i="7"/>
  <c r="R225" i="7"/>
  <c r="R226" i="7"/>
  <c r="R227" i="7"/>
  <c r="R228" i="7"/>
  <c r="R230" i="7"/>
  <c r="R231" i="7"/>
  <c r="R232" i="7"/>
  <c r="R235" i="7"/>
  <c r="R240" i="7"/>
  <c r="R241" i="7"/>
  <c r="R245" i="7"/>
  <c r="R246" i="7"/>
  <c r="R247" i="7"/>
  <c r="R248" i="7"/>
  <c r="R249" i="7"/>
  <c r="R251" i="7"/>
  <c r="R252" i="7"/>
  <c r="R254" i="7"/>
  <c r="R255" i="7"/>
  <c r="R256" i="7"/>
  <c r="R258" i="7"/>
  <c r="R259" i="7"/>
  <c r="R260" i="7"/>
  <c r="R261" i="7"/>
  <c r="R263" i="7"/>
  <c r="R264" i="7"/>
  <c r="R265" i="7"/>
  <c r="R269" i="7"/>
  <c r="R270" i="7"/>
  <c r="R272" i="7"/>
  <c r="R273" i="7"/>
  <c r="R275" i="7"/>
  <c r="R276" i="7"/>
  <c r="R277" i="7"/>
  <c r="R278" i="7"/>
  <c r="R279" i="7"/>
  <c r="R285" i="7"/>
  <c r="R286" i="7"/>
  <c r="R287" i="7"/>
  <c r="R290" i="7"/>
  <c r="R291" i="7"/>
  <c r="R292" i="7"/>
  <c r="R298" i="7"/>
  <c r="R300" i="7"/>
  <c r="R301" i="7"/>
  <c r="R302" i="7"/>
  <c r="R303" i="7"/>
  <c r="R305" i="7"/>
  <c r="R306" i="7"/>
  <c r="R307" i="7"/>
  <c r="R308" i="7"/>
  <c r="R309" i="7"/>
  <c r="R310" i="7"/>
  <c r="R312" i="7"/>
  <c r="R313" i="7"/>
  <c r="R314" i="7"/>
  <c r="R316" i="7"/>
  <c r="R317" i="7"/>
  <c r="R318" i="7"/>
  <c r="R319" i="7"/>
  <c r="R320" i="7"/>
  <c r="R321" i="7"/>
  <c r="R322" i="7"/>
  <c r="R323" i="7"/>
  <c r="S3" i="7"/>
  <c r="S4" i="7"/>
  <c r="S5" i="7"/>
  <c r="S7" i="7"/>
  <c r="S8" i="7"/>
  <c r="S11" i="7"/>
  <c r="S13" i="7"/>
  <c r="S14" i="7"/>
  <c r="S15" i="7"/>
  <c r="S16" i="7"/>
  <c r="S17" i="7"/>
  <c r="S18" i="7"/>
  <c r="S19" i="7"/>
  <c r="S22" i="7"/>
  <c r="S23" i="7"/>
  <c r="S25" i="7"/>
  <c r="S26" i="7"/>
  <c r="S29" i="7"/>
  <c r="S30" i="7"/>
  <c r="S32" i="7"/>
  <c r="S33" i="7"/>
  <c r="S34" i="7"/>
  <c r="S36" i="7"/>
  <c r="S39" i="7"/>
  <c r="S40" i="7"/>
  <c r="S41" i="7"/>
  <c r="S42" i="7"/>
  <c r="S44" i="7"/>
  <c r="S45" i="7"/>
  <c r="S47" i="7"/>
  <c r="S48" i="7"/>
  <c r="S49" i="7"/>
  <c r="S50" i="7"/>
  <c r="S53" i="7"/>
  <c r="S57" i="7"/>
  <c r="S58" i="7"/>
  <c r="S60" i="7"/>
  <c r="S61" i="7"/>
  <c r="S62" i="7"/>
  <c r="S63" i="7"/>
  <c r="S69" i="7"/>
  <c r="S72" i="7"/>
  <c r="S73" i="7"/>
  <c r="S74" i="7"/>
  <c r="S75" i="7"/>
  <c r="S76" i="7"/>
  <c r="S77" i="7"/>
  <c r="S79" i="7"/>
  <c r="S80" i="7"/>
  <c r="S82" i="7"/>
  <c r="S83" i="7"/>
  <c r="S88" i="7"/>
  <c r="S89" i="7"/>
  <c r="S90" i="7"/>
  <c r="S91" i="7"/>
  <c r="S92" i="7"/>
  <c r="S94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3" i="7"/>
  <c r="S114" i="7"/>
  <c r="S117" i="7"/>
  <c r="S118" i="7"/>
  <c r="S119" i="7"/>
  <c r="S120" i="7"/>
  <c r="S122" i="7"/>
  <c r="S125" i="7"/>
  <c r="S126" i="7"/>
  <c r="S127" i="7"/>
  <c r="S128" i="7"/>
  <c r="S129" i="7"/>
  <c r="S132" i="7"/>
  <c r="S133" i="7"/>
  <c r="S136" i="7"/>
  <c r="S137" i="7"/>
  <c r="S138" i="7"/>
  <c r="S139" i="7"/>
  <c r="S140" i="7"/>
  <c r="S141" i="7"/>
  <c r="S142" i="7"/>
  <c r="S143" i="7"/>
  <c r="S145" i="7"/>
  <c r="S146" i="7"/>
  <c r="S147" i="7"/>
  <c r="S148" i="7"/>
  <c r="S154" i="7"/>
  <c r="S158" i="7"/>
  <c r="S159" i="7"/>
  <c r="S160" i="7"/>
  <c r="S162" i="7"/>
  <c r="S165" i="7"/>
  <c r="S166" i="7"/>
  <c r="S167" i="7"/>
  <c r="S168" i="7"/>
  <c r="S176" i="7"/>
  <c r="S179" i="7"/>
  <c r="S180" i="7"/>
  <c r="S181" i="7"/>
  <c r="S183" i="7"/>
  <c r="S187" i="7"/>
  <c r="S188" i="7"/>
  <c r="S189" i="7"/>
  <c r="S190" i="7"/>
  <c r="S198" i="7"/>
  <c r="S199" i="7"/>
  <c r="S200" i="7"/>
  <c r="S201" i="7"/>
  <c r="S202" i="7"/>
  <c r="S203" i="7"/>
  <c r="S204" i="7"/>
  <c r="S205" i="7"/>
  <c r="S207" i="7"/>
  <c r="S208" i="7"/>
  <c r="S210" i="7"/>
  <c r="S211" i="7"/>
  <c r="S212" i="7"/>
  <c r="S214" i="7"/>
  <c r="S215" i="7"/>
  <c r="S219" i="7"/>
  <c r="S220" i="7"/>
  <c r="S221" i="7"/>
  <c r="S223" i="7"/>
  <c r="S224" i="7"/>
  <c r="S225" i="7"/>
  <c r="S226" i="7"/>
  <c r="S227" i="7"/>
  <c r="S228" i="7"/>
  <c r="S230" i="7"/>
  <c r="S231" i="7"/>
  <c r="S232" i="7"/>
  <c r="S235" i="7"/>
  <c r="S240" i="7"/>
  <c r="S241" i="7"/>
  <c r="S245" i="7"/>
  <c r="S246" i="7"/>
  <c r="S247" i="7"/>
  <c r="S248" i="7"/>
  <c r="S249" i="7"/>
  <c r="S251" i="7"/>
  <c r="S252" i="7"/>
  <c r="S254" i="7"/>
  <c r="S255" i="7"/>
  <c r="S256" i="7"/>
  <c r="S258" i="7"/>
  <c r="S259" i="7"/>
  <c r="S260" i="7"/>
  <c r="S261" i="7"/>
  <c r="S263" i="7"/>
  <c r="S264" i="7"/>
  <c r="S265" i="7"/>
  <c r="S269" i="7"/>
  <c r="S270" i="7"/>
  <c r="S272" i="7"/>
  <c r="S273" i="7"/>
  <c r="S275" i="7"/>
  <c r="S276" i="7"/>
  <c r="S277" i="7"/>
  <c r="S278" i="7"/>
  <c r="S279" i="7"/>
  <c r="S285" i="7"/>
  <c r="S286" i="7"/>
  <c r="S287" i="7"/>
  <c r="S290" i="7"/>
  <c r="S291" i="7"/>
  <c r="S292" i="7"/>
  <c r="S298" i="7"/>
  <c r="S300" i="7"/>
  <c r="S301" i="7"/>
  <c r="S302" i="7"/>
  <c r="S303" i="7"/>
  <c r="S305" i="7"/>
  <c r="S306" i="7"/>
  <c r="S307" i="7"/>
  <c r="S308" i="7"/>
  <c r="S309" i="7"/>
  <c r="S310" i="7"/>
  <c r="S312" i="7"/>
  <c r="S313" i="7"/>
  <c r="S314" i="7"/>
  <c r="S316" i="7"/>
  <c r="S317" i="7"/>
  <c r="S318" i="7"/>
  <c r="S319" i="7"/>
  <c r="S320" i="7"/>
  <c r="S321" i="7"/>
  <c r="S322" i="7"/>
  <c r="S323" i="7"/>
  <c r="S6" i="7"/>
  <c r="S9" i="7"/>
  <c r="S10" i="7"/>
  <c r="S12" i="7"/>
  <c r="S20" i="7"/>
  <c r="S21" i="7"/>
  <c r="S24" i="7"/>
  <c r="S27" i="7"/>
  <c r="S28" i="7"/>
  <c r="S31" i="7"/>
  <c r="S35" i="7"/>
  <c r="S37" i="7"/>
  <c r="S38" i="7"/>
  <c r="S43" i="7"/>
  <c r="S46" i="7"/>
  <c r="S51" i="7"/>
  <c r="S52" i="7"/>
  <c r="S54" i="7"/>
  <c r="S55" i="7"/>
  <c r="S56" i="7"/>
  <c r="S59" i="7"/>
  <c r="S64" i="7"/>
  <c r="S65" i="7"/>
  <c r="S66" i="7"/>
  <c r="S67" i="7"/>
  <c r="S68" i="7"/>
  <c r="S70" i="7"/>
  <c r="S71" i="7"/>
  <c r="S78" i="7"/>
  <c r="S81" i="7"/>
  <c r="S84" i="7"/>
  <c r="S85" i="7"/>
  <c r="S86" i="7"/>
  <c r="S87" i="7"/>
  <c r="S93" i="7"/>
  <c r="S95" i="7"/>
  <c r="S112" i="7"/>
  <c r="S115" i="7"/>
  <c r="S116" i="7"/>
  <c r="S121" i="7"/>
  <c r="S123" i="7"/>
  <c r="S124" i="7"/>
  <c r="S130" i="7"/>
  <c r="S131" i="7"/>
  <c r="S134" i="7"/>
  <c r="S135" i="7"/>
  <c r="S144" i="7"/>
  <c r="S149" i="7"/>
  <c r="S150" i="7"/>
  <c r="S151" i="7"/>
  <c r="S152" i="7"/>
  <c r="S153" i="7"/>
  <c r="S155" i="7"/>
  <c r="S156" i="7"/>
  <c r="S157" i="7"/>
  <c r="S161" i="7"/>
  <c r="S163" i="7"/>
  <c r="S164" i="7"/>
  <c r="S169" i="7"/>
  <c r="S170" i="7"/>
  <c r="S171" i="7"/>
  <c r="S172" i="7"/>
  <c r="S173" i="7"/>
  <c r="S174" i="7"/>
  <c r="S175" i="7"/>
  <c r="S177" i="7"/>
  <c r="S178" i="7"/>
  <c r="S182" i="7"/>
  <c r="S184" i="7"/>
  <c r="S185" i="7"/>
  <c r="S186" i="7"/>
  <c r="S191" i="7"/>
  <c r="S192" i="7"/>
  <c r="S193" i="7"/>
  <c r="S194" i="7"/>
  <c r="S195" i="7"/>
  <c r="S196" i="7"/>
  <c r="S197" i="7"/>
  <c r="S206" i="7"/>
  <c r="S209" i="7"/>
  <c r="S213" i="7"/>
  <c r="S216" i="7"/>
  <c r="S217" i="7"/>
  <c r="S218" i="7"/>
  <c r="S222" i="7"/>
  <c r="S233" i="7"/>
  <c r="S234" i="7"/>
  <c r="S236" i="7"/>
  <c r="S237" i="7"/>
  <c r="S238" i="7"/>
  <c r="S239" i="7"/>
  <c r="S242" i="7"/>
  <c r="S243" i="7"/>
  <c r="S244" i="7"/>
  <c r="S250" i="7"/>
  <c r="S253" i="7"/>
  <c r="S257" i="7"/>
  <c r="S262" i="7"/>
  <c r="S266" i="7"/>
  <c r="S267" i="7"/>
  <c r="S268" i="7"/>
  <c r="S271" i="7"/>
  <c r="S274" i="7"/>
  <c r="S280" i="7"/>
  <c r="S281" i="7"/>
  <c r="S282" i="7"/>
  <c r="S283" i="7"/>
  <c r="S284" i="7"/>
  <c r="S288" i="7"/>
  <c r="S289" i="7"/>
  <c r="S293" i="7"/>
  <c r="S294" i="7"/>
  <c r="S295" i="7"/>
  <c r="S296" i="7"/>
  <c r="S297" i="7"/>
  <c r="S299" i="7"/>
  <c r="S304" i="7"/>
  <c r="S311" i="7"/>
  <c r="S315" i="7"/>
  <c r="S229" i="7"/>
  <c r="R6" i="7"/>
  <c r="R9" i="7"/>
  <c r="R10" i="7"/>
  <c r="R12" i="7"/>
  <c r="R20" i="7"/>
  <c r="R21" i="7"/>
  <c r="R24" i="7"/>
  <c r="R27" i="7"/>
  <c r="R28" i="7"/>
  <c r="R31" i="7"/>
  <c r="R35" i="7"/>
  <c r="R37" i="7"/>
  <c r="R38" i="7"/>
  <c r="R43" i="7"/>
  <c r="R46" i="7"/>
  <c r="R51" i="7"/>
  <c r="R52" i="7"/>
  <c r="R54" i="7"/>
  <c r="R55" i="7"/>
  <c r="R56" i="7"/>
  <c r="R59" i="7"/>
  <c r="R64" i="7"/>
  <c r="R65" i="7"/>
  <c r="R66" i="7"/>
  <c r="R67" i="7"/>
  <c r="R68" i="7"/>
  <c r="R70" i="7"/>
  <c r="R71" i="7"/>
  <c r="R78" i="7"/>
  <c r="R81" i="7"/>
  <c r="R84" i="7"/>
  <c r="R85" i="7"/>
  <c r="R86" i="7"/>
  <c r="R87" i="7"/>
  <c r="R93" i="7"/>
  <c r="R95" i="7"/>
  <c r="R112" i="7"/>
  <c r="R115" i="7"/>
  <c r="R116" i="7"/>
  <c r="R121" i="7"/>
  <c r="R123" i="7"/>
  <c r="R124" i="7"/>
  <c r="R130" i="7"/>
  <c r="R131" i="7"/>
  <c r="R134" i="7"/>
  <c r="R135" i="7"/>
  <c r="R144" i="7"/>
  <c r="R149" i="7"/>
  <c r="R150" i="7"/>
  <c r="R151" i="7"/>
  <c r="R152" i="7"/>
  <c r="R153" i="7"/>
  <c r="R155" i="7"/>
  <c r="R156" i="7"/>
  <c r="R157" i="7"/>
  <c r="R161" i="7"/>
  <c r="R163" i="7"/>
  <c r="R164" i="7"/>
  <c r="R169" i="7"/>
  <c r="R170" i="7"/>
  <c r="R171" i="7"/>
  <c r="R172" i="7"/>
  <c r="R173" i="7"/>
  <c r="R174" i="7"/>
  <c r="R175" i="7"/>
  <c r="R177" i="7"/>
  <c r="R178" i="7"/>
  <c r="R182" i="7"/>
  <c r="R184" i="7"/>
  <c r="R185" i="7"/>
  <c r="R186" i="7"/>
  <c r="R191" i="7"/>
  <c r="R192" i="7"/>
  <c r="R193" i="7"/>
  <c r="R194" i="7"/>
  <c r="R195" i="7"/>
  <c r="R196" i="7"/>
  <c r="R197" i="7"/>
  <c r="R206" i="7"/>
  <c r="R209" i="7"/>
  <c r="R213" i="7"/>
  <c r="R216" i="7"/>
  <c r="R217" i="7"/>
  <c r="R218" i="7"/>
  <c r="R222" i="7"/>
  <c r="R233" i="7"/>
  <c r="R234" i="7"/>
  <c r="R236" i="7"/>
  <c r="R237" i="7"/>
  <c r="R238" i="7"/>
  <c r="R239" i="7"/>
  <c r="R242" i="7"/>
  <c r="R243" i="7"/>
  <c r="R244" i="7"/>
  <c r="R250" i="7"/>
  <c r="R253" i="7"/>
  <c r="R257" i="7"/>
  <c r="R262" i="7"/>
  <c r="R266" i="7"/>
  <c r="R267" i="7"/>
  <c r="R268" i="7"/>
  <c r="R271" i="7"/>
  <c r="R274" i="7"/>
  <c r="R280" i="7"/>
  <c r="R281" i="7"/>
  <c r="R282" i="7"/>
  <c r="R283" i="7"/>
  <c r="R284" i="7"/>
  <c r="R288" i="7"/>
  <c r="R289" i="7"/>
  <c r="R293" i="7"/>
  <c r="R294" i="7"/>
  <c r="R295" i="7"/>
  <c r="R296" i="7"/>
  <c r="R297" i="7"/>
  <c r="R299" i="7"/>
  <c r="R304" i="7"/>
  <c r="R311" i="7"/>
  <c r="R315" i="7"/>
  <c r="R229" i="7"/>
  <c r="F1" i="15"/>
  <c r="T321" i="7" l="1"/>
  <c r="T302" i="7"/>
  <c r="T292" i="7"/>
  <c r="T286" i="7"/>
  <c r="T277" i="7"/>
  <c r="T272" i="7"/>
  <c r="T254" i="7"/>
  <c r="T241" i="7"/>
  <c r="T226" i="7"/>
  <c r="T214" i="7"/>
  <c r="T208" i="7"/>
  <c r="T199" i="7"/>
  <c r="T188" i="7"/>
  <c r="T180" i="7"/>
  <c r="T167" i="7"/>
  <c r="T160" i="7"/>
  <c r="T148" i="7"/>
  <c r="T143" i="7"/>
  <c r="T139" i="7"/>
  <c r="T127" i="7"/>
  <c r="T120" i="7"/>
  <c r="T114" i="7"/>
  <c r="D30" i="18"/>
  <c r="T91" i="7"/>
  <c r="D27" i="18"/>
  <c r="T62" i="7"/>
  <c r="T48" i="7"/>
  <c r="T42" i="7"/>
  <c r="T36" i="7"/>
  <c r="T30" i="7"/>
  <c r="T23" i="7"/>
  <c r="D12" i="18"/>
  <c r="T5" i="7"/>
  <c r="H321" i="13"/>
  <c r="G311" i="21"/>
  <c r="H311" i="21" s="1"/>
  <c r="G307" i="21"/>
  <c r="H307" i="21" s="1"/>
  <c r="H317" i="13"/>
  <c r="H311" i="13"/>
  <c r="G301" i="21"/>
  <c r="H301" i="21" s="1"/>
  <c r="H307" i="13"/>
  <c r="G297" i="21"/>
  <c r="H297" i="21" s="1"/>
  <c r="H302" i="13"/>
  <c r="G292" i="21"/>
  <c r="H292" i="21" s="1"/>
  <c r="G283" i="21"/>
  <c r="H283" i="21" s="1"/>
  <c r="H292" i="13"/>
  <c r="H286" i="13"/>
  <c r="G277" i="21"/>
  <c r="H277" i="21" s="1"/>
  <c r="H277" i="13"/>
  <c r="G268" i="21"/>
  <c r="H268" i="21" s="1"/>
  <c r="G262" i="21"/>
  <c r="H262" i="21" s="1"/>
  <c r="H271" i="13"/>
  <c r="I290" i="17"/>
  <c r="J290" i="17" s="1"/>
  <c r="L290" i="17" s="1"/>
  <c r="G255" i="21"/>
  <c r="H255" i="21" s="1"/>
  <c r="H264" i="13"/>
  <c r="G250" i="21"/>
  <c r="H250" i="21" s="1"/>
  <c r="H259" i="13"/>
  <c r="H253" i="13"/>
  <c r="G244" i="21"/>
  <c r="H244" i="21" s="1"/>
  <c r="H248" i="13"/>
  <c r="G239" i="21"/>
  <c r="H239" i="21" s="1"/>
  <c r="H241" i="13"/>
  <c r="G232" i="21"/>
  <c r="H232" i="21" s="1"/>
  <c r="G222" i="21"/>
  <c r="H222" i="21" s="1"/>
  <c r="H231" i="13"/>
  <c r="H226" i="13"/>
  <c r="G217" i="21"/>
  <c r="H217" i="21" s="1"/>
  <c r="H221" i="13"/>
  <c r="G213" i="21"/>
  <c r="H213" i="21" s="1"/>
  <c r="G206" i="21"/>
  <c r="H206" i="21" s="1"/>
  <c r="H214" i="13"/>
  <c r="I254" i="17"/>
  <c r="J254" i="17" s="1"/>
  <c r="L254" i="17" s="1"/>
  <c r="H209" i="13"/>
  <c r="G201" i="21"/>
  <c r="H201" i="21" s="1"/>
  <c r="I250" i="17"/>
  <c r="J250" i="17" s="1"/>
  <c r="L250" i="17" s="1"/>
  <c r="H204" i="13"/>
  <c r="G197" i="21"/>
  <c r="H197" i="21" s="1"/>
  <c r="H200" i="13"/>
  <c r="G193" i="21"/>
  <c r="H193" i="21" s="1"/>
  <c r="H189" i="13"/>
  <c r="G182" i="21"/>
  <c r="H182" i="21" s="1"/>
  <c r="H181" i="13"/>
  <c r="G174" i="21"/>
  <c r="H174" i="21" s="1"/>
  <c r="H168" i="13"/>
  <c r="G161" i="21"/>
  <c r="H161" i="21" s="1"/>
  <c r="I230" i="17"/>
  <c r="J230" i="17" s="1"/>
  <c r="L230" i="17" s="1"/>
  <c r="H161" i="13"/>
  <c r="G143" i="21"/>
  <c r="H143" i="21" s="1"/>
  <c r="H149" i="13"/>
  <c r="G138" i="21"/>
  <c r="H138" i="21" s="1"/>
  <c r="H144" i="13"/>
  <c r="G309" i="19"/>
  <c r="M309" i="19" s="1"/>
  <c r="H140" i="13"/>
  <c r="H134" i="13"/>
  <c r="G129" i="21"/>
  <c r="H129" i="21" s="1"/>
  <c r="H128" i="13"/>
  <c r="G123" i="21"/>
  <c r="H123" i="21" s="1"/>
  <c r="H121" i="13"/>
  <c r="G116" i="21"/>
  <c r="H116" i="21" s="1"/>
  <c r="G110" i="21"/>
  <c r="H110" i="21" s="1"/>
  <c r="H115" i="13"/>
  <c r="H110" i="13"/>
  <c r="G105" i="21"/>
  <c r="H105" i="21" s="1"/>
  <c r="H106" i="13"/>
  <c r="G101" i="21"/>
  <c r="H101" i="21" s="1"/>
  <c r="H102" i="13"/>
  <c r="G97" i="21"/>
  <c r="H97" i="21" s="1"/>
  <c r="H98" i="13"/>
  <c r="G93" i="21"/>
  <c r="H93" i="21" s="1"/>
  <c r="G87" i="21"/>
  <c r="H87" i="21" s="1"/>
  <c r="H92" i="13"/>
  <c r="H85" i="13"/>
  <c r="G80" i="21"/>
  <c r="H80" i="21" s="1"/>
  <c r="H79" i="13"/>
  <c r="G74" i="21"/>
  <c r="H74" i="21" s="1"/>
  <c r="H75" i="13"/>
  <c r="G70" i="21"/>
  <c r="H70" i="21" s="1"/>
  <c r="H64" i="13"/>
  <c r="G59" i="21"/>
  <c r="H59" i="21" s="1"/>
  <c r="I170" i="17"/>
  <c r="J170" i="17" s="1"/>
  <c r="L170" i="17" s="1"/>
  <c r="H56" i="13"/>
  <c r="G48" i="21"/>
  <c r="H48" i="21" s="1"/>
  <c r="H50" i="13"/>
  <c r="G42" i="21"/>
  <c r="H42" i="21" s="1"/>
  <c r="H44" i="13"/>
  <c r="I158" i="17"/>
  <c r="J158" i="17" s="1"/>
  <c r="G35" i="21"/>
  <c r="H35" i="21" s="1"/>
  <c r="H37" i="13"/>
  <c r="H32" i="13"/>
  <c r="G30" i="21"/>
  <c r="H30" i="21" s="1"/>
  <c r="G23" i="21"/>
  <c r="H23" i="21" s="1"/>
  <c r="H25" i="13"/>
  <c r="I147" i="17"/>
  <c r="J147" i="17" s="1"/>
  <c r="L147" i="17" s="1"/>
  <c r="H19" i="13"/>
  <c r="G17" i="21"/>
  <c r="H17" i="21" s="1"/>
  <c r="I143" i="17"/>
  <c r="J143" i="17" s="1"/>
  <c r="L143" i="17" s="1"/>
  <c r="H14" i="13"/>
  <c r="G12" i="21"/>
  <c r="H12" i="21" s="1"/>
  <c r="H7" i="13"/>
  <c r="G5" i="21"/>
  <c r="H5" i="21" s="1"/>
  <c r="C313" i="21"/>
  <c r="C309" i="21"/>
  <c r="C299" i="21"/>
  <c r="C294" i="21"/>
  <c r="C290" i="21"/>
  <c r="C279" i="21"/>
  <c r="C270" i="21"/>
  <c r="C247" i="21"/>
  <c r="C241" i="21"/>
  <c r="C237" i="21"/>
  <c r="C224" i="21"/>
  <c r="C219" i="21"/>
  <c r="C215" i="21"/>
  <c r="C204" i="21"/>
  <c r="C199" i="21"/>
  <c r="C195" i="21"/>
  <c r="C184" i="21"/>
  <c r="C176" i="21"/>
  <c r="C163" i="21"/>
  <c r="C157" i="21"/>
  <c r="C136" i="21"/>
  <c r="C133" i="21"/>
  <c r="C125" i="21"/>
  <c r="C119" i="21"/>
  <c r="C114" i="21"/>
  <c r="C107" i="21"/>
  <c r="C103" i="21"/>
  <c r="C99" i="21"/>
  <c r="C95" i="21"/>
  <c r="C89" i="21"/>
  <c r="C85" i="21"/>
  <c r="C72" i="21"/>
  <c r="C61" i="21"/>
  <c r="C56" i="21"/>
  <c r="C50" i="21"/>
  <c r="C45" i="21"/>
  <c r="C40" i="21"/>
  <c r="C33" i="21"/>
  <c r="C26" i="21"/>
  <c r="C19" i="21"/>
  <c r="C15" i="21"/>
  <c r="C8" i="21"/>
  <c r="T322" i="7"/>
  <c r="T317" i="7"/>
  <c r="T320" i="7"/>
  <c r="T316" i="7"/>
  <c r="T310" i="7"/>
  <c r="T306" i="7"/>
  <c r="T301" i="7"/>
  <c r="T285" i="7"/>
  <c r="T276" i="7"/>
  <c r="T270" i="7"/>
  <c r="D62" i="18"/>
  <c r="T258" i="7"/>
  <c r="T252" i="7"/>
  <c r="T240" i="7"/>
  <c r="T230" i="7"/>
  <c r="T225" i="7"/>
  <c r="T220" i="7"/>
  <c r="T212" i="7"/>
  <c r="T198" i="7"/>
  <c r="T187" i="7"/>
  <c r="T179" i="7"/>
  <c r="T166" i="7"/>
  <c r="T147" i="7"/>
  <c r="T142" i="7"/>
  <c r="T132" i="7"/>
  <c r="T126" i="7"/>
  <c r="T119" i="7"/>
  <c r="T108" i="7"/>
  <c r="T104" i="7"/>
  <c r="T100" i="7"/>
  <c r="T96" i="7"/>
  <c r="T90" i="7"/>
  <c r="T82" i="7"/>
  <c r="T76" i="7"/>
  <c r="T72" i="7"/>
  <c r="T47" i="7"/>
  <c r="T22" i="7"/>
  <c r="T4" i="7"/>
  <c r="H324" i="13"/>
  <c r="G314" i="21"/>
  <c r="H314" i="21" s="1"/>
  <c r="G310" i="21"/>
  <c r="H310" i="21" s="1"/>
  <c r="H320" i="13"/>
  <c r="I321" i="17"/>
  <c r="J321" i="17" s="1"/>
  <c r="L321" i="17" s="1"/>
  <c r="H315" i="13"/>
  <c r="G305" i="21"/>
  <c r="H305" i="21" s="1"/>
  <c r="H310" i="13"/>
  <c r="G300" i="21"/>
  <c r="H300" i="21" s="1"/>
  <c r="I314" i="17"/>
  <c r="J314" i="17" s="1"/>
  <c r="L314" i="17" s="1"/>
  <c r="G296" i="21"/>
  <c r="H296" i="21" s="1"/>
  <c r="H306" i="13"/>
  <c r="G291" i="21"/>
  <c r="H291" i="21" s="1"/>
  <c r="H301" i="13"/>
  <c r="G282" i="21"/>
  <c r="H282" i="21" s="1"/>
  <c r="H291" i="13"/>
  <c r="H280" i="13"/>
  <c r="G271" i="21"/>
  <c r="H271" i="21" s="1"/>
  <c r="H276" i="13"/>
  <c r="G267" i="21"/>
  <c r="H267" i="21" s="1"/>
  <c r="H270" i="13"/>
  <c r="G261" i="21"/>
  <c r="H261" i="21" s="1"/>
  <c r="H262" i="13"/>
  <c r="G253" i="21"/>
  <c r="H253" i="21" s="1"/>
  <c r="H257" i="13"/>
  <c r="G248" i="21"/>
  <c r="H248" i="21" s="1"/>
  <c r="G243" i="21"/>
  <c r="H243" i="21" s="1"/>
  <c r="H252" i="13"/>
  <c r="H247" i="13"/>
  <c r="G238" i="21"/>
  <c r="H238" i="21" s="1"/>
  <c r="G227" i="21"/>
  <c r="H227" i="21" s="1"/>
  <c r="H236" i="13"/>
  <c r="H229" i="13"/>
  <c r="G220" i="21"/>
  <c r="H220" i="21" s="1"/>
  <c r="H225" i="13"/>
  <c r="G216" i="21"/>
  <c r="H216" i="21" s="1"/>
  <c r="G212" i="21"/>
  <c r="H212" i="21" s="1"/>
  <c r="H220" i="13"/>
  <c r="H213" i="13"/>
  <c r="G205" i="21"/>
  <c r="H205" i="21" s="1"/>
  <c r="I253" i="17"/>
  <c r="J253" i="17" s="1"/>
  <c r="L253" i="17" s="1"/>
  <c r="H207" i="13"/>
  <c r="H203" i="13"/>
  <c r="G196" i="21"/>
  <c r="H196" i="21" s="1"/>
  <c r="H192" i="13"/>
  <c r="G185" i="21"/>
  <c r="H185" i="21" s="1"/>
  <c r="H185" i="13"/>
  <c r="G178" i="21"/>
  <c r="H178" i="21" s="1"/>
  <c r="G171" i="21"/>
  <c r="H171" i="21" s="1"/>
  <c r="H178" i="13"/>
  <c r="G160" i="21"/>
  <c r="H160" i="21" s="1"/>
  <c r="H167" i="13"/>
  <c r="G154" i="21"/>
  <c r="H154" i="21" s="1"/>
  <c r="H160" i="13"/>
  <c r="I226" i="17"/>
  <c r="J226" i="17" s="1"/>
  <c r="G142" i="21"/>
  <c r="H142" i="21" s="1"/>
  <c r="H148" i="13"/>
  <c r="H143" i="13"/>
  <c r="G137" i="21"/>
  <c r="H137" i="21" s="1"/>
  <c r="G134" i="21"/>
  <c r="H134" i="21" s="1"/>
  <c r="H139" i="13"/>
  <c r="G126" i="21"/>
  <c r="H126" i="21" s="1"/>
  <c r="H131" i="13"/>
  <c r="G122" i="21"/>
  <c r="H122" i="21" s="1"/>
  <c r="H127" i="13"/>
  <c r="H120" i="13"/>
  <c r="G115" i="21"/>
  <c r="H115" i="21" s="1"/>
  <c r="H113" i="13"/>
  <c r="G108" i="21"/>
  <c r="H108" i="21" s="1"/>
  <c r="H109" i="13"/>
  <c r="G104" i="21"/>
  <c r="H104" i="21" s="1"/>
  <c r="H105" i="13"/>
  <c r="G100" i="21"/>
  <c r="H100" i="21" s="1"/>
  <c r="I194" i="17"/>
  <c r="J194" i="17" s="1"/>
  <c r="G96" i="21"/>
  <c r="H96" i="21" s="1"/>
  <c r="H101" i="13"/>
  <c r="H96" i="13"/>
  <c r="G91" i="21"/>
  <c r="H91" i="21" s="1"/>
  <c r="G86" i="21"/>
  <c r="H86" i="21" s="1"/>
  <c r="H91" i="13"/>
  <c r="G78" i="21"/>
  <c r="H78" i="21" s="1"/>
  <c r="H83" i="13"/>
  <c r="H78" i="13"/>
  <c r="G73" i="21"/>
  <c r="H73" i="21" s="1"/>
  <c r="H72" i="13"/>
  <c r="G67" i="21"/>
  <c r="H67" i="21" s="1"/>
  <c r="G58" i="21"/>
  <c r="H58" i="21" s="1"/>
  <c r="H63" i="13"/>
  <c r="G51" i="21"/>
  <c r="H51" i="21" s="1"/>
  <c r="H53" i="13"/>
  <c r="I165" i="17"/>
  <c r="J165" i="17" s="1"/>
  <c r="G46" i="21"/>
  <c r="H46" i="21" s="1"/>
  <c r="H48" i="13"/>
  <c r="H43" i="13"/>
  <c r="G41" i="21"/>
  <c r="H41" i="21" s="1"/>
  <c r="G34" i="21"/>
  <c r="H34" i="21" s="1"/>
  <c r="H36" i="13"/>
  <c r="H29" i="13"/>
  <c r="G27" i="21"/>
  <c r="H27" i="21" s="1"/>
  <c r="H22" i="13"/>
  <c r="G20" i="21"/>
  <c r="H20" i="21" s="1"/>
  <c r="H18" i="13"/>
  <c r="G16" i="21"/>
  <c r="H16" i="21" s="1"/>
  <c r="H11" i="13"/>
  <c r="G9" i="21"/>
  <c r="H9" i="21" s="1"/>
  <c r="G4" i="21"/>
  <c r="H4" i="21" s="1"/>
  <c r="H6" i="13"/>
  <c r="C312" i="21"/>
  <c r="C308" i="21"/>
  <c r="C298" i="21"/>
  <c r="C293" i="21"/>
  <c r="C284" i="21"/>
  <c r="C278" i="21"/>
  <c r="C269" i="21"/>
  <c r="C264" i="21"/>
  <c r="C251" i="21"/>
  <c r="C246" i="21"/>
  <c r="C233" i="21"/>
  <c r="C223" i="21"/>
  <c r="C218" i="21"/>
  <c r="C208" i="21"/>
  <c r="C202" i="21"/>
  <c r="C194" i="21"/>
  <c r="C183" i="21"/>
  <c r="C175" i="21"/>
  <c r="C162" i="21"/>
  <c r="C155" i="21"/>
  <c r="C144" i="21"/>
  <c r="C139" i="21"/>
  <c r="C135" i="21"/>
  <c r="C130" i="21"/>
  <c r="C124" i="21"/>
  <c r="C117" i="21"/>
  <c r="C111" i="21"/>
  <c r="C106" i="21"/>
  <c r="C98" i="21"/>
  <c r="C94" i="21"/>
  <c r="C88" i="21"/>
  <c r="C71" i="21"/>
  <c r="C60" i="21"/>
  <c r="C55" i="21"/>
  <c r="C49" i="21"/>
  <c r="C43" i="21"/>
  <c r="C37" i="21"/>
  <c r="C31" i="21"/>
  <c r="C24" i="21"/>
  <c r="C14" i="21"/>
  <c r="C6" i="21"/>
  <c r="T309" i="7"/>
  <c r="T300" i="7"/>
  <c r="T290" i="7"/>
  <c r="T269" i="7"/>
  <c r="T261" i="7"/>
  <c r="T256" i="7"/>
  <c r="T246" i="7"/>
  <c r="T228" i="7"/>
  <c r="T224" i="7"/>
  <c r="T219" i="7"/>
  <c r="T211" i="7"/>
  <c r="T190" i="7"/>
  <c r="T183" i="7"/>
  <c r="T176" i="7"/>
  <c r="T158" i="7"/>
  <c r="T118" i="7"/>
  <c r="T111" i="7"/>
  <c r="T107" i="7"/>
  <c r="T103" i="7"/>
  <c r="T94" i="7"/>
  <c r="T80" i="7"/>
  <c r="T75" i="7"/>
  <c r="T60" i="7"/>
  <c r="T50" i="7"/>
  <c r="D21" i="18"/>
  <c r="T40" i="7"/>
  <c r="T26" i="7"/>
  <c r="T19" i="7"/>
  <c r="T15" i="7"/>
  <c r="H323" i="13"/>
  <c r="G313" i="21"/>
  <c r="H313" i="21" s="1"/>
  <c r="H319" i="13"/>
  <c r="G309" i="21"/>
  <c r="H309" i="21" s="1"/>
  <c r="I320" i="17"/>
  <c r="J320" i="17" s="1"/>
  <c r="L320" i="17" s="1"/>
  <c r="H314" i="13"/>
  <c r="G304" i="21"/>
  <c r="H304" i="21" s="1"/>
  <c r="H309" i="13"/>
  <c r="G299" i="21"/>
  <c r="H299" i="21" s="1"/>
  <c r="G294" i="21"/>
  <c r="H294" i="21" s="1"/>
  <c r="H304" i="13"/>
  <c r="G290" i="21"/>
  <c r="H290" i="21" s="1"/>
  <c r="H299" i="13"/>
  <c r="G279" i="21"/>
  <c r="H279" i="21" s="1"/>
  <c r="H288" i="13"/>
  <c r="G270" i="21"/>
  <c r="H270" i="21" s="1"/>
  <c r="H279" i="13"/>
  <c r="I298" i="17"/>
  <c r="J298" i="17" s="1"/>
  <c r="H274" i="13"/>
  <c r="G265" i="21"/>
  <c r="H265" i="21" s="1"/>
  <c r="I292" i="17"/>
  <c r="J292" i="17" s="1"/>
  <c r="H266" i="13"/>
  <c r="G257" i="21"/>
  <c r="H257" i="21" s="1"/>
  <c r="I288" i="17"/>
  <c r="J288" i="17" s="1"/>
  <c r="L288" i="17" s="1"/>
  <c r="H261" i="13"/>
  <c r="G252" i="21"/>
  <c r="H252" i="21" s="1"/>
  <c r="G247" i="21"/>
  <c r="H247" i="21" s="1"/>
  <c r="H256" i="13"/>
  <c r="H250" i="13"/>
  <c r="G241" i="21"/>
  <c r="H241" i="21" s="1"/>
  <c r="H246" i="13"/>
  <c r="G237" i="21"/>
  <c r="H237" i="21" s="1"/>
  <c r="H233" i="13"/>
  <c r="G224" i="21"/>
  <c r="H224" i="21" s="1"/>
  <c r="G219" i="21"/>
  <c r="H219" i="21" s="1"/>
  <c r="H228" i="13"/>
  <c r="G215" i="21"/>
  <c r="H215" i="21" s="1"/>
  <c r="H224" i="13"/>
  <c r="H212" i="13"/>
  <c r="G204" i="21"/>
  <c r="H204" i="21" s="1"/>
  <c r="H206" i="13"/>
  <c r="G199" i="21"/>
  <c r="H199" i="21" s="1"/>
  <c r="G195" i="21"/>
  <c r="H195" i="21" s="1"/>
  <c r="H202" i="13"/>
  <c r="H191" i="13"/>
  <c r="G184" i="21"/>
  <c r="H184" i="21" s="1"/>
  <c r="H183" i="13"/>
  <c r="G176" i="21"/>
  <c r="H176" i="21" s="1"/>
  <c r="H170" i="13"/>
  <c r="G163" i="21"/>
  <c r="H163" i="21" s="1"/>
  <c r="H164" i="13"/>
  <c r="G157" i="21"/>
  <c r="H157" i="21" s="1"/>
  <c r="I12" i="17"/>
  <c r="J12" i="17" s="1"/>
  <c r="L12" i="17" s="1"/>
  <c r="G150" i="21"/>
  <c r="H150" i="21" s="1"/>
  <c r="H156" i="13"/>
  <c r="I225" i="17"/>
  <c r="J225" i="17" s="1"/>
  <c r="L225" i="17" s="1"/>
  <c r="H147" i="13"/>
  <c r="G141" i="21"/>
  <c r="H141" i="21" s="1"/>
  <c r="G136" i="21"/>
  <c r="H136" i="21" s="1"/>
  <c r="H142" i="13"/>
  <c r="H138" i="13"/>
  <c r="G133" i="21"/>
  <c r="H133" i="21" s="1"/>
  <c r="H130" i="13"/>
  <c r="G125" i="21"/>
  <c r="H125" i="21" s="1"/>
  <c r="H124" i="13"/>
  <c r="G119" i="21"/>
  <c r="H119" i="21" s="1"/>
  <c r="H119" i="13"/>
  <c r="G114" i="21"/>
  <c r="H114" i="21" s="1"/>
  <c r="G107" i="21"/>
  <c r="H107" i="21" s="1"/>
  <c r="H112" i="13"/>
  <c r="G103" i="21"/>
  <c r="H103" i="21" s="1"/>
  <c r="H108" i="13"/>
  <c r="G99" i="21"/>
  <c r="H99" i="21" s="1"/>
  <c r="H104" i="13"/>
  <c r="G95" i="21"/>
  <c r="H95" i="21" s="1"/>
  <c r="H100" i="13"/>
  <c r="H94" i="13"/>
  <c r="G89" i="21"/>
  <c r="H89" i="21" s="1"/>
  <c r="H90" i="13"/>
  <c r="G85" i="21"/>
  <c r="H85" i="21" s="1"/>
  <c r="I6" i="17"/>
  <c r="J6" i="17" s="1"/>
  <c r="L6" i="17" s="1"/>
  <c r="H82" i="13"/>
  <c r="G77" i="21"/>
  <c r="H77" i="21" s="1"/>
  <c r="H77" i="13"/>
  <c r="G72" i="21"/>
  <c r="H72" i="21" s="1"/>
  <c r="H66" i="13"/>
  <c r="G61" i="21"/>
  <c r="H61" i="21" s="1"/>
  <c r="H61" i="13"/>
  <c r="G56" i="21"/>
  <c r="H56" i="21" s="1"/>
  <c r="G50" i="21"/>
  <c r="H50" i="21" s="1"/>
  <c r="H52" i="13"/>
  <c r="H47" i="13"/>
  <c r="G45" i="21"/>
  <c r="H45" i="21" s="1"/>
  <c r="H42" i="13"/>
  <c r="G40" i="21"/>
  <c r="H40" i="21" s="1"/>
  <c r="H35" i="13"/>
  <c r="G33" i="21"/>
  <c r="H33" i="21" s="1"/>
  <c r="G26" i="21"/>
  <c r="H26" i="21" s="1"/>
  <c r="H28" i="13"/>
  <c r="H21" i="13"/>
  <c r="G19" i="21"/>
  <c r="H19" i="21" s="1"/>
  <c r="H17" i="13"/>
  <c r="G15" i="21"/>
  <c r="H15" i="21" s="1"/>
  <c r="G8" i="21"/>
  <c r="H8" i="21" s="1"/>
  <c r="H10" i="13"/>
  <c r="C311" i="21"/>
  <c r="C307" i="21"/>
  <c r="C301" i="21"/>
  <c r="C297" i="21"/>
  <c r="C292" i="21"/>
  <c r="C283" i="21"/>
  <c r="C277" i="21"/>
  <c r="C268" i="21"/>
  <c r="C262" i="21"/>
  <c r="C250" i="21"/>
  <c r="C244" i="21"/>
  <c r="C239" i="21"/>
  <c r="C232" i="21"/>
  <c r="C222" i="21"/>
  <c r="C217" i="21"/>
  <c r="C213" i="21"/>
  <c r="C206" i="21"/>
  <c r="C193" i="21"/>
  <c r="C182" i="21"/>
  <c r="C174" i="21"/>
  <c r="C161" i="21"/>
  <c r="C143" i="21"/>
  <c r="C138" i="21"/>
  <c r="C129" i="21"/>
  <c r="C123" i="21"/>
  <c r="C116" i="21"/>
  <c r="C110" i="21"/>
  <c r="C105" i="21"/>
  <c r="C101" i="21"/>
  <c r="C97" i="21"/>
  <c r="C93" i="21"/>
  <c r="C87" i="21"/>
  <c r="C80" i="21"/>
  <c r="C74" i="21"/>
  <c r="C70" i="21"/>
  <c r="C59" i="21"/>
  <c r="C48" i="21"/>
  <c r="C42" i="21"/>
  <c r="C30" i="21"/>
  <c r="C23" i="21"/>
  <c r="C5" i="21"/>
  <c r="T318" i="7"/>
  <c r="T308" i="7"/>
  <c r="T298" i="7"/>
  <c r="T278" i="7"/>
  <c r="T249" i="7"/>
  <c r="T245" i="7"/>
  <c r="T232" i="7"/>
  <c r="T223" i="7"/>
  <c r="T210" i="7"/>
  <c r="T204" i="7"/>
  <c r="T200" i="7"/>
  <c r="T168" i="7"/>
  <c r="T162" i="7"/>
  <c r="D36" i="18"/>
  <c r="T140" i="7"/>
  <c r="T136" i="7"/>
  <c r="T128" i="7"/>
  <c r="T122" i="7"/>
  <c r="T110" i="7"/>
  <c r="T106" i="7"/>
  <c r="T102" i="7"/>
  <c r="T98" i="7"/>
  <c r="T92" i="7"/>
  <c r="T88" i="7"/>
  <c r="T74" i="7"/>
  <c r="T63" i="7"/>
  <c r="T58" i="7"/>
  <c r="T44" i="7"/>
  <c r="T39" i="7"/>
  <c r="T32" i="7"/>
  <c r="T18" i="7"/>
  <c r="T14" i="7"/>
  <c r="T7" i="7"/>
  <c r="H322" i="13"/>
  <c r="G312" i="21"/>
  <c r="H312" i="21" s="1"/>
  <c r="G308" i="21"/>
  <c r="H308" i="21" s="1"/>
  <c r="H318" i="13"/>
  <c r="I319" i="17"/>
  <c r="J319" i="17" s="1"/>
  <c r="G303" i="21"/>
  <c r="H303" i="21" s="1"/>
  <c r="H313" i="13"/>
  <c r="H308" i="13"/>
  <c r="G298" i="21"/>
  <c r="H298" i="21" s="1"/>
  <c r="H303" i="13"/>
  <c r="G293" i="21"/>
  <c r="H293" i="21" s="1"/>
  <c r="G284" i="21"/>
  <c r="H284" i="21" s="1"/>
  <c r="H293" i="13"/>
  <c r="H287" i="13"/>
  <c r="G278" i="21"/>
  <c r="H278" i="21" s="1"/>
  <c r="H278" i="13"/>
  <c r="G269" i="21"/>
  <c r="H269" i="21" s="1"/>
  <c r="H273" i="13"/>
  <c r="G264" i="21"/>
  <c r="H264" i="21" s="1"/>
  <c r="I291" i="17"/>
  <c r="J291" i="17" s="1"/>
  <c r="L291" i="17" s="1"/>
  <c r="H265" i="13"/>
  <c r="G256" i="21"/>
  <c r="H256" i="21" s="1"/>
  <c r="H260" i="13"/>
  <c r="G251" i="21"/>
  <c r="H251" i="21" s="1"/>
  <c r="G246" i="21"/>
  <c r="H246" i="21" s="1"/>
  <c r="H255" i="13"/>
  <c r="I279" i="17"/>
  <c r="J279" i="17" s="1"/>
  <c r="L279" i="17" s="1"/>
  <c r="H249" i="13"/>
  <c r="G240" i="21"/>
  <c r="H240" i="21" s="1"/>
  <c r="H242" i="13"/>
  <c r="G233" i="21"/>
  <c r="H233" i="21" s="1"/>
  <c r="H232" i="13"/>
  <c r="G223" i="21"/>
  <c r="H223" i="21" s="1"/>
  <c r="G218" i="21"/>
  <c r="H218" i="21" s="1"/>
  <c r="H227" i="13"/>
  <c r="H5" i="13"/>
  <c r="G208" i="21"/>
  <c r="H208" i="21" s="1"/>
  <c r="H210" i="13"/>
  <c r="G202" i="21"/>
  <c r="H202" i="21" s="1"/>
  <c r="I251" i="17"/>
  <c r="J251" i="17" s="1"/>
  <c r="L251" i="17" s="1"/>
  <c r="G198" i="21"/>
  <c r="H198" i="21" s="1"/>
  <c r="H205" i="13"/>
  <c r="G194" i="21"/>
  <c r="H194" i="21" s="1"/>
  <c r="H201" i="13"/>
  <c r="H190" i="13"/>
  <c r="G183" i="21"/>
  <c r="H183" i="21" s="1"/>
  <c r="G175" i="21"/>
  <c r="H175" i="21" s="1"/>
  <c r="H182" i="13"/>
  <c r="G162" i="21"/>
  <c r="H162" i="21" s="1"/>
  <c r="H169" i="13"/>
  <c r="G155" i="21"/>
  <c r="H155" i="21" s="1"/>
  <c r="H162" i="13"/>
  <c r="G144" i="21"/>
  <c r="H144" i="21" s="1"/>
  <c r="H150" i="13"/>
  <c r="H145" i="13"/>
  <c r="G139" i="21"/>
  <c r="H139" i="21" s="1"/>
  <c r="H141" i="13"/>
  <c r="G135" i="21"/>
  <c r="H135" i="21" s="1"/>
  <c r="G130" i="21"/>
  <c r="H130" i="21" s="1"/>
  <c r="H135" i="13"/>
  <c r="H129" i="13"/>
  <c r="G124" i="21"/>
  <c r="H124" i="21" s="1"/>
  <c r="H122" i="13"/>
  <c r="G117" i="21"/>
  <c r="H117" i="21" s="1"/>
  <c r="G111" i="21"/>
  <c r="H111" i="21" s="1"/>
  <c r="H116" i="13"/>
  <c r="G106" i="21"/>
  <c r="H106" i="21" s="1"/>
  <c r="H111" i="13"/>
  <c r="I9" i="17"/>
  <c r="J9" i="17" s="1"/>
  <c r="G102" i="21"/>
  <c r="H102" i="21" s="1"/>
  <c r="H107" i="13"/>
  <c r="G98" i="21"/>
  <c r="H98" i="21" s="1"/>
  <c r="H103" i="13"/>
  <c r="H99" i="13"/>
  <c r="G94" i="21"/>
  <c r="H94" i="21" s="1"/>
  <c r="H93" i="13"/>
  <c r="G88" i="21"/>
  <c r="H88" i="21" s="1"/>
  <c r="I183" i="17"/>
  <c r="J183" i="17" s="1"/>
  <c r="G75" i="21"/>
  <c r="H75" i="21" s="1"/>
  <c r="H80" i="13"/>
  <c r="H76" i="13"/>
  <c r="G71" i="21"/>
  <c r="H71" i="21" s="1"/>
  <c r="H65" i="13"/>
  <c r="G60" i="21"/>
  <c r="H60" i="21" s="1"/>
  <c r="G55" i="21"/>
  <c r="H55" i="21" s="1"/>
  <c r="H60" i="13"/>
  <c r="H51" i="13"/>
  <c r="G49" i="21"/>
  <c r="H49" i="21" s="1"/>
  <c r="H45" i="13"/>
  <c r="G43" i="21"/>
  <c r="H43" i="21" s="1"/>
  <c r="H39" i="13"/>
  <c r="G37" i="21"/>
  <c r="H37" i="21" s="1"/>
  <c r="H33" i="13"/>
  <c r="G31" i="21"/>
  <c r="H31" i="21" s="1"/>
  <c r="H26" i="13"/>
  <c r="G24" i="21"/>
  <c r="H24" i="21" s="1"/>
  <c r="I148" i="17"/>
  <c r="J148" i="17" s="1"/>
  <c r="L148" i="17" s="1"/>
  <c r="G18" i="21"/>
  <c r="H18" i="21" s="1"/>
  <c r="H20" i="13"/>
  <c r="G14" i="21"/>
  <c r="H14" i="21" s="1"/>
  <c r="H16" i="13"/>
  <c r="G6" i="21"/>
  <c r="H6" i="21" s="1"/>
  <c r="H8" i="13"/>
  <c r="C314" i="21"/>
  <c r="C310" i="21"/>
  <c r="C300" i="21"/>
  <c r="C291" i="21"/>
  <c r="C282" i="21"/>
  <c r="C271" i="21"/>
  <c r="C267" i="21"/>
  <c r="C261" i="21"/>
  <c r="C253" i="21"/>
  <c r="C248" i="21"/>
  <c r="C243" i="21"/>
  <c r="C238" i="21"/>
  <c r="C227" i="21"/>
  <c r="C220" i="21"/>
  <c r="C216" i="21"/>
  <c r="C212" i="21"/>
  <c r="C205" i="21"/>
  <c r="C196" i="21"/>
  <c r="C185" i="21"/>
  <c r="C178" i="21"/>
  <c r="C171" i="21"/>
  <c r="C160" i="21"/>
  <c r="C154" i="21"/>
  <c r="C137" i="21"/>
  <c r="C134" i="21"/>
  <c r="C126" i="21"/>
  <c r="C122" i="21"/>
  <c r="C115" i="21"/>
  <c r="C108" i="21"/>
  <c r="C104" i="21"/>
  <c r="C100" i="21"/>
  <c r="C91" i="21"/>
  <c r="C86" i="21"/>
  <c r="C78" i="21"/>
  <c r="C73" i="21"/>
  <c r="C67" i="21"/>
  <c r="C58" i="21"/>
  <c r="C51" i="21"/>
  <c r="C41" i="21"/>
  <c r="C34" i="21"/>
  <c r="C27" i="21"/>
  <c r="C20" i="21"/>
  <c r="C16" i="21"/>
  <c r="C9" i="21"/>
  <c r="C4" i="21"/>
  <c r="U201" i="21"/>
  <c r="U296" i="21"/>
  <c r="U197" i="21"/>
  <c r="U305" i="21"/>
  <c r="U252" i="21"/>
  <c r="U150" i="21"/>
  <c r="U141" i="21"/>
  <c r="U77" i="21"/>
  <c r="U255" i="21"/>
  <c r="U17" i="21"/>
  <c r="U12" i="21"/>
  <c r="U240" i="21"/>
  <c r="U102" i="21"/>
  <c r="B320" i="17"/>
  <c r="C304" i="21"/>
  <c r="B298" i="17"/>
  <c r="C265" i="21"/>
  <c r="B292" i="17"/>
  <c r="C257" i="21"/>
  <c r="B288" i="17"/>
  <c r="C252" i="21"/>
  <c r="B12" i="17"/>
  <c r="C150" i="21"/>
  <c r="B225" i="17"/>
  <c r="C141" i="21"/>
  <c r="B6" i="17"/>
  <c r="C77" i="21"/>
  <c r="B319" i="17"/>
  <c r="C303" i="21"/>
  <c r="B291" i="17"/>
  <c r="C256" i="21"/>
  <c r="B279" i="17"/>
  <c r="C240" i="21"/>
  <c r="B251" i="17"/>
  <c r="C198" i="21"/>
  <c r="B9" i="17"/>
  <c r="C102" i="21"/>
  <c r="B183" i="17"/>
  <c r="C75" i="21"/>
  <c r="B148" i="17"/>
  <c r="C18" i="21"/>
  <c r="B290" i="17"/>
  <c r="C255" i="21"/>
  <c r="B254" i="17"/>
  <c r="C201" i="21"/>
  <c r="B250" i="17"/>
  <c r="C197" i="21"/>
  <c r="B158" i="17"/>
  <c r="C35" i="21"/>
  <c r="B147" i="17"/>
  <c r="C17" i="21"/>
  <c r="B143" i="17"/>
  <c r="C12" i="21"/>
  <c r="B321" i="17"/>
  <c r="C305" i="21"/>
  <c r="B314" i="17"/>
  <c r="C296" i="21"/>
  <c r="B226" i="17"/>
  <c r="C142" i="21"/>
  <c r="B194" i="17"/>
  <c r="C96" i="21"/>
  <c r="B165" i="17"/>
  <c r="C46" i="21"/>
  <c r="G324" i="19"/>
  <c r="I20" i="17"/>
  <c r="J20" i="17" s="1"/>
  <c r="L20" i="17" s="1"/>
  <c r="G304" i="19"/>
  <c r="I322" i="17"/>
  <c r="J322" i="17" s="1"/>
  <c r="G298" i="19"/>
  <c r="I316" i="17"/>
  <c r="J316" i="17" s="1"/>
  <c r="L316" i="17" s="1"/>
  <c r="G294" i="19"/>
  <c r="I312" i="17"/>
  <c r="J312" i="17" s="1"/>
  <c r="L312" i="17" s="1"/>
  <c r="G28" i="19"/>
  <c r="H28" i="19" s="1"/>
  <c r="I308" i="17"/>
  <c r="J308" i="17" s="1"/>
  <c r="L308" i="17" s="1"/>
  <c r="G287" i="19"/>
  <c r="I304" i="17"/>
  <c r="J304" i="17" s="1"/>
  <c r="L304" i="17" s="1"/>
  <c r="G283" i="19"/>
  <c r="I300" i="17"/>
  <c r="J300" i="17" s="1"/>
  <c r="L300" i="17" s="1"/>
  <c r="G280" i="19"/>
  <c r="I297" i="17"/>
  <c r="J297" i="17" s="1"/>
  <c r="L297" i="17" s="1"/>
  <c r="G271" i="19"/>
  <c r="I287" i="17"/>
  <c r="J287" i="17" s="1"/>
  <c r="L287" i="17" s="1"/>
  <c r="G267" i="19"/>
  <c r="I283" i="17"/>
  <c r="J283" i="17" s="1"/>
  <c r="G260" i="19"/>
  <c r="I275" i="17"/>
  <c r="J275" i="17" s="1"/>
  <c r="L275" i="17" s="1"/>
  <c r="G24" i="19"/>
  <c r="H24" i="19" s="1"/>
  <c r="I271" i="17"/>
  <c r="J271" i="17" s="1"/>
  <c r="L271" i="17" s="1"/>
  <c r="G254" i="19"/>
  <c r="I267" i="17"/>
  <c r="J267" i="17" s="1"/>
  <c r="L267" i="17" s="1"/>
  <c r="G250" i="19"/>
  <c r="I263" i="17"/>
  <c r="J263" i="17" s="1"/>
  <c r="L263" i="17" s="1"/>
  <c r="G247" i="19"/>
  <c r="I259" i="17"/>
  <c r="J259" i="17" s="1"/>
  <c r="G243" i="19"/>
  <c r="I255" i="17"/>
  <c r="J255" i="17" s="1"/>
  <c r="G22" i="19"/>
  <c r="H22" i="19" s="1"/>
  <c r="I247" i="17"/>
  <c r="J247" i="17" s="1"/>
  <c r="L247" i="17" s="1"/>
  <c r="G232" i="19"/>
  <c r="I243" i="17"/>
  <c r="J243" i="17" s="1"/>
  <c r="G230" i="19"/>
  <c r="I240" i="17"/>
  <c r="J240" i="17" s="1"/>
  <c r="G226" i="19"/>
  <c r="I236" i="17"/>
  <c r="J236" i="17" s="1"/>
  <c r="L236" i="17" s="1"/>
  <c r="G221" i="19"/>
  <c r="I231" i="17"/>
  <c r="J231" i="17" s="1"/>
  <c r="L231" i="17" s="1"/>
  <c r="G218" i="19"/>
  <c r="I228" i="17"/>
  <c r="J228" i="17" s="1"/>
  <c r="G215" i="19"/>
  <c r="I224" i="17"/>
  <c r="J224" i="17" s="1"/>
  <c r="L224" i="17" s="1"/>
  <c r="G212" i="19"/>
  <c r="I221" i="17"/>
  <c r="J221" i="17" s="1"/>
  <c r="G209" i="19"/>
  <c r="I218" i="17"/>
  <c r="J218" i="17" s="1"/>
  <c r="L218" i="17" s="1"/>
  <c r="G19" i="19"/>
  <c r="H19" i="19" s="1"/>
  <c r="I214" i="17"/>
  <c r="J214" i="17" s="1"/>
  <c r="L214" i="17" s="1"/>
  <c r="G202" i="19"/>
  <c r="I210" i="17"/>
  <c r="J210" i="17" s="1"/>
  <c r="G198" i="19"/>
  <c r="I206" i="17"/>
  <c r="J206" i="17" s="1"/>
  <c r="G195" i="19"/>
  <c r="I203" i="17"/>
  <c r="J203" i="17" s="1"/>
  <c r="G188" i="19"/>
  <c r="I196" i="17"/>
  <c r="J196" i="17" s="1"/>
  <c r="G184" i="19"/>
  <c r="I192" i="17"/>
  <c r="J192" i="17" s="1"/>
  <c r="L192" i="17" s="1"/>
  <c r="G312" i="19"/>
  <c r="I7" i="17"/>
  <c r="J7" i="17" s="1"/>
  <c r="L7" i="17" s="1"/>
  <c r="G178" i="19"/>
  <c r="I186" i="17"/>
  <c r="J186" i="17" s="1"/>
  <c r="L186" i="17" s="1"/>
  <c r="G172" i="19"/>
  <c r="I179" i="17"/>
  <c r="J179" i="17" s="1"/>
  <c r="L179" i="17" s="1"/>
  <c r="G168" i="19"/>
  <c r="I175" i="17"/>
  <c r="J175" i="17" s="1"/>
  <c r="G165" i="19"/>
  <c r="I171" i="17"/>
  <c r="J171" i="17" s="1"/>
  <c r="G16" i="19"/>
  <c r="H16" i="19" s="1"/>
  <c r="I167" i="17"/>
  <c r="J167" i="17" s="1"/>
  <c r="L167" i="17" s="1"/>
  <c r="G159" i="19"/>
  <c r="I163" i="17"/>
  <c r="J163" i="17" s="1"/>
  <c r="L163" i="17" s="1"/>
  <c r="G156" i="19"/>
  <c r="I159" i="17"/>
  <c r="J159" i="17" s="1"/>
  <c r="L159" i="17" s="1"/>
  <c r="G152" i="19"/>
  <c r="I155" i="17"/>
  <c r="J155" i="17" s="1"/>
  <c r="G148" i="19"/>
  <c r="I151" i="17"/>
  <c r="J151" i="17" s="1"/>
  <c r="G141" i="19"/>
  <c r="I144" i="17"/>
  <c r="J144" i="17" s="1"/>
  <c r="L144" i="17" s="1"/>
  <c r="G137" i="19"/>
  <c r="I140" i="17"/>
  <c r="J140" i="17" s="1"/>
  <c r="L140" i="17" s="1"/>
  <c r="B306" i="19"/>
  <c r="B325" i="17"/>
  <c r="B322" i="19"/>
  <c r="B18" i="17"/>
  <c r="B300" i="19"/>
  <c r="B318" i="17"/>
  <c r="B292" i="19"/>
  <c r="B310" i="17"/>
  <c r="B289" i="19"/>
  <c r="B306" i="17"/>
  <c r="B285" i="19"/>
  <c r="B302" i="17"/>
  <c r="B319" i="19"/>
  <c r="B15" i="17"/>
  <c r="B278" i="19"/>
  <c r="B295" i="17"/>
  <c r="B273" i="19"/>
  <c r="B289" i="17"/>
  <c r="B269" i="19"/>
  <c r="B285" i="17"/>
  <c r="B266" i="19"/>
  <c r="B281" i="17"/>
  <c r="B262" i="19"/>
  <c r="B277" i="17"/>
  <c r="B25" i="19"/>
  <c r="B273" i="17"/>
  <c r="B256" i="19"/>
  <c r="B269" i="17"/>
  <c r="B252" i="19"/>
  <c r="B265" i="17"/>
  <c r="B249" i="19"/>
  <c r="B261" i="17"/>
  <c r="B245" i="19"/>
  <c r="B257" i="17"/>
  <c r="B237" i="19"/>
  <c r="B249" i="17"/>
  <c r="B234" i="19"/>
  <c r="B245" i="17"/>
  <c r="B317" i="19"/>
  <c r="B13" i="17"/>
  <c r="B228" i="19"/>
  <c r="B238" i="17"/>
  <c r="B224" i="19"/>
  <c r="B234" i="17"/>
  <c r="B219" i="19"/>
  <c r="B229" i="17"/>
  <c r="B316" i="19"/>
  <c r="B11" i="17"/>
  <c r="B211" i="19"/>
  <c r="B220" i="17"/>
  <c r="B207" i="19"/>
  <c r="B216" i="17"/>
  <c r="B204" i="19"/>
  <c r="B212" i="17"/>
  <c r="B200" i="19"/>
  <c r="B208" i="17"/>
  <c r="B197" i="19"/>
  <c r="B205" i="17"/>
  <c r="B193" i="19"/>
  <c r="B201" i="17"/>
  <c r="B190" i="19"/>
  <c r="B198" i="17"/>
  <c r="B182" i="19"/>
  <c r="B190" i="17"/>
  <c r="B180" i="19"/>
  <c r="B188" i="17"/>
  <c r="B176" i="19"/>
  <c r="B184" i="17"/>
  <c r="B174" i="19"/>
  <c r="B181" i="17"/>
  <c r="B170" i="19"/>
  <c r="B177" i="17"/>
  <c r="B17" i="19"/>
  <c r="B173" i="17"/>
  <c r="B163" i="19"/>
  <c r="B169" i="17"/>
  <c r="B157" i="19"/>
  <c r="B161" i="17"/>
  <c r="B154" i="19"/>
  <c r="B157" i="17"/>
  <c r="B150" i="19"/>
  <c r="B153" i="17"/>
  <c r="B146" i="19"/>
  <c r="B149" i="17"/>
  <c r="B143" i="19"/>
  <c r="B146" i="17"/>
  <c r="B139" i="19"/>
  <c r="B142" i="17"/>
  <c r="B135" i="19"/>
  <c r="B138" i="17"/>
  <c r="G323" i="19"/>
  <c r="I19" i="17"/>
  <c r="J19" i="17" s="1"/>
  <c r="G321" i="19"/>
  <c r="I17" i="17"/>
  <c r="J17" i="17" s="1"/>
  <c r="L17" i="17" s="1"/>
  <c r="G320" i="19"/>
  <c r="I16" i="17"/>
  <c r="J16" i="17" s="1"/>
  <c r="G297" i="19"/>
  <c r="I315" i="17"/>
  <c r="J315" i="17" s="1"/>
  <c r="G293" i="19"/>
  <c r="I311" i="17"/>
  <c r="J311" i="17" s="1"/>
  <c r="L311" i="17" s="1"/>
  <c r="G290" i="19"/>
  <c r="I307" i="17"/>
  <c r="J307" i="17" s="1"/>
  <c r="L307" i="17" s="1"/>
  <c r="G286" i="19"/>
  <c r="I303" i="17"/>
  <c r="J303" i="17" s="1"/>
  <c r="L303" i="17" s="1"/>
  <c r="G282" i="19"/>
  <c r="I299" i="17"/>
  <c r="J299" i="17" s="1"/>
  <c r="L299" i="17" s="1"/>
  <c r="G279" i="19"/>
  <c r="I296" i="17"/>
  <c r="J296" i="17" s="1"/>
  <c r="L296" i="17" s="1"/>
  <c r="G270" i="19"/>
  <c r="I286" i="17"/>
  <c r="J286" i="17" s="1"/>
  <c r="L286" i="17" s="1"/>
  <c r="G26" i="19"/>
  <c r="H26" i="19" s="1"/>
  <c r="I282" i="17"/>
  <c r="J282" i="17" s="1"/>
  <c r="L282" i="17" s="1"/>
  <c r="G263" i="19"/>
  <c r="I278" i="17"/>
  <c r="J278" i="17" s="1"/>
  <c r="L278" i="17" s="1"/>
  <c r="G259" i="19"/>
  <c r="I274" i="17"/>
  <c r="J274" i="17" s="1"/>
  <c r="L274" i="17" s="1"/>
  <c r="G318" i="19"/>
  <c r="I14" i="17"/>
  <c r="J14" i="17" s="1"/>
  <c r="G253" i="19"/>
  <c r="I266" i="17"/>
  <c r="J266" i="17" s="1"/>
  <c r="L266" i="17" s="1"/>
  <c r="G23" i="19"/>
  <c r="H23" i="19" s="1"/>
  <c r="I262" i="17"/>
  <c r="J262" i="17" s="1"/>
  <c r="L262" i="17" s="1"/>
  <c r="G246" i="19"/>
  <c r="I258" i="17"/>
  <c r="J258" i="17" s="1"/>
  <c r="G235" i="19"/>
  <c r="I246" i="17"/>
  <c r="J246" i="17" s="1"/>
  <c r="G21" i="19"/>
  <c r="H21" i="19" s="1"/>
  <c r="I242" i="17"/>
  <c r="J242" i="17" s="1"/>
  <c r="L242" i="17" s="1"/>
  <c r="G229" i="19"/>
  <c r="I239" i="17"/>
  <c r="J239" i="17" s="1"/>
  <c r="L239" i="17" s="1"/>
  <c r="G225" i="19"/>
  <c r="I235" i="17"/>
  <c r="J235" i="17" s="1"/>
  <c r="L235" i="17" s="1"/>
  <c r="G20" i="19"/>
  <c r="H20" i="19" s="1"/>
  <c r="I227" i="17"/>
  <c r="J227" i="17" s="1"/>
  <c r="L227" i="17" s="1"/>
  <c r="G214" i="19"/>
  <c r="I223" i="17"/>
  <c r="J223" i="17" s="1"/>
  <c r="G208" i="19"/>
  <c r="I217" i="17"/>
  <c r="J217" i="17" s="1"/>
  <c r="L217" i="17" s="1"/>
  <c r="G205" i="19"/>
  <c r="I213" i="17"/>
  <c r="J213" i="17" s="1"/>
  <c r="G201" i="19"/>
  <c r="I209" i="17"/>
  <c r="J209" i="17" s="1"/>
  <c r="L209" i="17" s="1"/>
  <c r="G315" i="19"/>
  <c r="I10" i="17"/>
  <c r="J10" i="17" s="1"/>
  <c r="G194" i="19"/>
  <c r="I202" i="17"/>
  <c r="J202" i="17" s="1"/>
  <c r="G191" i="19"/>
  <c r="I199" i="17"/>
  <c r="J199" i="17" s="1"/>
  <c r="G187" i="19"/>
  <c r="I195" i="17"/>
  <c r="J195" i="17" s="1"/>
  <c r="L195" i="17" s="1"/>
  <c r="G183" i="19"/>
  <c r="I191" i="17"/>
  <c r="J191" i="17" s="1"/>
  <c r="G181" i="19"/>
  <c r="I189" i="17"/>
  <c r="J189" i="17" s="1"/>
  <c r="L189" i="17" s="1"/>
  <c r="G177" i="19"/>
  <c r="I185" i="17"/>
  <c r="J185" i="17" s="1"/>
  <c r="L185" i="17" s="1"/>
  <c r="G18" i="19"/>
  <c r="H18" i="19" s="1"/>
  <c r="I182" i="17"/>
  <c r="J182" i="17" s="1"/>
  <c r="G171" i="19"/>
  <c r="I178" i="17"/>
  <c r="J178" i="17" s="1"/>
  <c r="L178" i="17" s="1"/>
  <c r="G167" i="19"/>
  <c r="I174" i="17"/>
  <c r="J174" i="17" s="1"/>
  <c r="G15" i="19"/>
  <c r="H15" i="19" s="1"/>
  <c r="I166" i="17"/>
  <c r="J166" i="17" s="1"/>
  <c r="L166" i="17" s="1"/>
  <c r="G158" i="19"/>
  <c r="I162" i="17"/>
  <c r="J162" i="17" s="1"/>
  <c r="L162" i="17" s="1"/>
  <c r="G151" i="19"/>
  <c r="I154" i="17"/>
  <c r="J154" i="17" s="1"/>
  <c r="G147" i="19"/>
  <c r="I150" i="17"/>
  <c r="J150" i="17" s="1"/>
  <c r="L150" i="17" s="1"/>
  <c r="G136" i="19"/>
  <c r="I139" i="17"/>
  <c r="J139" i="17" s="1"/>
  <c r="L139" i="17" s="1"/>
  <c r="B305" i="19"/>
  <c r="B324" i="17"/>
  <c r="B29" i="19"/>
  <c r="B323" i="17"/>
  <c r="B299" i="19"/>
  <c r="B317" i="17"/>
  <c r="B295" i="19"/>
  <c r="B313" i="17"/>
  <c r="B291" i="19"/>
  <c r="B309" i="17"/>
  <c r="B288" i="19"/>
  <c r="B305" i="17"/>
  <c r="B284" i="19"/>
  <c r="B301" i="17"/>
  <c r="B268" i="19"/>
  <c r="B284" i="17"/>
  <c r="B265" i="19"/>
  <c r="B280" i="17"/>
  <c r="B261" i="19"/>
  <c r="B276" i="17"/>
  <c r="B258" i="19"/>
  <c r="B272" i="17"/>
  <c r="B255" i="19"/>
  <c r="B268" i="17"/>
  <c r="B251" i="19"/>
  <c r="B264" i="17"/>
  <c r="B248" i="19"/>
  <c r="B260" i="17"/>
  <c r="B244" i="19"/>
  <c r="B256" i="17"/>
  <c r="B240" i="19"/>
  <c r="B252" i="17"/>
  <c r="B236" i="19"/>
  <c r="B248" i="17"/>
  <c r="B233" i="19"/>
  <c r="B244" i="17"/>
  <c r="B231" i="19"/>
  <c r="B241" i="17"/>
  <c r="B227" i="19"/>
  <c r="B237" i="17"/>
  <c r="B223" i="19"/>
  <c r="B233" i="17"/>
  <c r="B213" i="19"/>
  <c r="B222" i="17"/>
  <c r="B210" i="19"/>
  <c r="B219" i="17"/>
  <c r="B206" i="19"/>
  <c r="B215" i="17"/>
  <c r="B203" i="19"/>
  <c r="B211" i="17"/>
  <c r="B199" i="19"/>
  <c r="B207" i="17"/>
  <c r="B196" i="19"/>
  <c r="B204" i="17"/>
  <c r="B192" i="19"/>
  <c r="B200" i="17"/>
  <c r="B189" i="19"/>
  <c r="B197" i="17"/>
  <c r="B185" i="19"/>
  <c r="B193" i="17"/>
  <c r="B313" i="19"/>
  <c r="B8" i="17"/>
  <c r="B179" i="19"/>
  <c r="B187" i="17"/>
  <c r="B173" i="19"/>
  <c r="B180" i="17"/>
  <c r="B169" i="19"/>
  <c r="B176" i="17"/>
  <c r="B166" i="19"/>
  <c r="B172" i="17"/>
  <c r="B162" i="19"/>
  <c r="B168" i="17"/>
  <c r="B160" i="19"/>
  <c r="B164" i="17"/>
  <c r="B14" i="19"/>
  <c r="B160" i="17"/>
  <c r="B153" i="19"/>
  <c r="B156" i="17"/>
  <c r="B149" i="19"/>
  <c r="B152" i="17"/>
  <c r="B310" i="19"/>
  <c r="B5" i="17"/>
  <c r="B142" i="19"/>
  <c r="B145" i="17"/>
  <c r="B138" i="19"/>
  <c r="B141" i="17"/>
  <c r="G306" i="19"/>
  <c r="I325" i="17"/>
  <c r="J325" i="17" s="1"/>
  <c r="G322" i="19"/>
  <c r="I18" i="17"/>
  <c r="J18" i="17" s="1"/>
  <c r="G300" i="19"/>
  <c r="I318" i="17"/>
  <c r="J318" i="17" s="1"/>
  <c r="L318" i="17" s="1"/>
  <c r="G292" i="19"/>
  <c r="I310" i="17"/>
  <c r="J310" i="17" s="1"/>
  <c r="L310" i="17" s="1"/>
  <c r="G289" i="19"/>
  <c r="I306" i="17"/>
  <c r="J306" i="17" s="1"/>
  <c r="L306" i="17" s="1"/>
  <c r="G285" i="19"/>
  <c r="I302" i="17"/>
  <c r="J302" i="17" s="1"/>
  <c r="L302" i="17" s="1"/>
  <c r="G319" i="19"/>
  <c r="I15" i="17"/>
  <c r="J15" i="17" s="1"/>
  <c r="G278" i="19"/>
  <c r="I295" i="17"/>
  <c r="J295" i="17" s="1"/>
  <c r="G273" i="19"/>
  <c r="I289" i="17"/>
  <c r="J289" i="17" s="1"/>
  <c r="G269" i="19"/>
  <c r="I285" i="17"/>
  <c r="J285" i="17" s="1"/>
  <c r="G266" i="19"/>
  <c r="I281" i="17"/>
  <c r="J281" i="17" s="1"/>
  <c r="G262" i="19"/>
  <c r="I277" i="17"/>
  <c r="J277" i="17" s="1"/>
  <c r="L277" i="17" s="1"/>
  <c r="G25" i="19"/>
  <c r="H25" i="19" s="1"/>
  <c r="I273" i="17"/>
  <c r="J273" i="17" s="1"/>
  <c r="L273" i="17" s="1"/>
  <c r="G256" i="19"/>
  <c r="I269" i="17"/>
  <c r="J269" i="17" s="1"/>
  <c r="L269" i="17" s="1"/>
  <c r="G252" i="19"/>
  <c r="I265" i="17"/>
  <c r="J265" i="17" s="1"/>
  <c r="L265" i="17" s="1"/>
  <c r="G249" i="19"/>
  <c r="I261" i="17"/>
  <c r="J261" i="17" s="1"/>
  <c r="L261" i="17" s="1"/>
  <c r="G245" i="19"/>
  <c r="I257" i="17"/>
  <c r="J257" i="17" s="1"/>
  <c r="L257" i="17" s="1"/>
  <c r="G237" i="19"/>
  <c r="I249" i="17"/>
  <c r="J249" i="17" s="1"/>
  <c r="L249" i="17" s="1"/>
  <c r="G234" i="19"/>
  <c r="I245" i="17"/>
  <c r="J245" i="17" s="1"/>
  <c r="G317" i="19"/>
  <c r="I13" i="17"/>
  <c r="J13" i="17" s="1"/>
  <c r="G228" i="19"/>
  <c r="I238" i="17"/>
  <c r="J238" i="17" s="1"/>
  <c r="G224" i="19"/>
  <c r="I234" i="17"/>
  <c r="J234" i="17" s="1"/>
  <c r="L234" i="17" s="1"/>
  <c r="G219" i="19"/>
  <c r="I229" i="17"/>
  <c r="J229" i="17" s="1"/>
  <c r="G316" i="19"/>
  <c r="I11" i="17"/>
  <c r="J11" i="17" s="1"/>
  <c r="L11" i="17" s="1"/>
  <c r="G211" i="19"/>
  <c r="I220" i="17"/>
  <c r="J220" i="17" s="1"/>
  <c r="L220" i="17" s="1"/>
  <c r="G207" i="19"/>
  <c r="I216" i="17"/>
  <c r="J216" i="17" s="1"/>
  <c r="G204" i="19"/>
  <c r="I212" i="17"/>
  <c r="J212" i="17" s="1"/>
  <c r="L212" i="17" s="1"/>
  <c r="G200" i="19"/>
  <c r="I208" i="17"/>
  <c r="J208" i="17" s="1"/>
  <c r="L208" i="17" s="1"/>
  <c r="G197" i="19"/>
  <c r="I205" i="17"/>
  <c r="J205" i="17" s="1"/>
  <c r="L205" i="17" s="1"/>
  <c r="G193" i="19"/>
  <c r="I201" i="17"/>
  <c r="J201" i="17" s="1"/>
  <c r="G190" i="19"/>
  <c r="I198" i="17"/>
  <c r="J198" i="17" s="1"/>
  <c r="G182" i="19"/>
  <c r="I190" i="17"/>
  <c r="J190" i="17" s="1"/>
  <c r="L190" i="17" s="1"/>
  <c r="G180" i="19"/>
  <c r="I188" i="17"/>
  <c r="J188" i="17" s="1"/>
  <c r="L188" i="17" s="1"/>
  <c r="G176" i="19"/>
  <c r="I184" i="17"/>
  <c r="J184" i="17" s="1"/>
  <c r="L184" i="17" s="1"/>
  <c r="G174" i="19"/>
  <c r="I181" i="17"/>
  <c r="J181" i="17" s="1"/>
  <c r="G170" i="19"/>
  <c r="I177" i="17"/>
  <c r="J177" i="17" s="1"/>
  <c r="L177" i="17" s="1"/>
  <c r="G17" i="19"/>
  <c r="H17" i="19" s="1"/>
  <c r="I173" i="17"/>
  <c r="J173" i="17" s="1"/>
  <c r="G163" i="19"/>
  <c r="I169" i="17"/>
  <c r="J169" i="17" s="1"/>
  <c r="L169" i="17" s="1"/>
  <c r="G157" i="19"/>
  <c r="I161" i="17"/>
  <c r="J161" i="17" s="1"/>
  <c r="G154" i="19"/>
  <c r="I157" i="17"/>
  <c r="J157" i="17" s="1"/>
  <c r="G150" i="19"/>
  <c r="I153" i="17"/>
  <c r="J153" i="17" s="1"/>
  <c r="G146" i="19"/>
  <c r="I149" i="17"/>
  <c r="J149" i="17" s="1"/>
  <c r="L149" i="17" s="1"/>
  <c r="G143" i="19"/>
  <c r="I146" i="17"/>
  <c r="J146" i="17" s="1"/>
  <c r="G139" i="19"/>
  <c r="I142" i="17"/>
  <c r="J142" i="17" s="1"/>
  <c r="L142" i="17" s="1"/>
  <c r="G135" i="19"/>
  <c r="I138" i="17"/>
  <c r="J138" i="17" s="1"/>
  <c r="L138" i="17" s="1"/>
  <c r="B324" i="19"/>
  <c r="B20" i="17"/>
  <c r="B304" i="19"/>
  <c r="B322" i="17"/>
  <c r="B298" i="19"/>
  <c r="B316" i="17"/>
  <c r="B294" i="19"/>
  <c r="B312" i="17"/>
  <c r="B28" i="19"/>
  <c r="B308" i="17"/>
  <c r="B287" i="19"/>
  <c r="B304" i="17"/>
  <c r="B283" i="19"/>
  <c r="B300" i="17"/>
  <c r="B280" i="19"/>
  <c r="B297" i="17"/>
  <c r="B271" i="19"/>
  <c r="B287" i="17"/>
  <c r="B267" i="19"/>
  <c r="B283" i="17"/>
  <c r="B260" i="19"/>
  <c r="B275" i="17"/>
  <c r="B24" i="19"/>
  <c r="B271" i="17"/>
  <c r="B254" i="19"/>
  <c r="B267" i="17"/>
  <c r="B250" i="19"/>
  <c r="B263" i="17"/>
  <c r="B247" i="19"/>
  <c r="B259" i="17"/>
  <c r="B243" i="19"/>
  <c r="B255" i="17"/>
  <c r="B22" i="19"/>
  <c r="B247" i="17"/>
  <c r="B232" i="19"/>
  <c r="B243" i="17"/>
  <c r="B230" i="19"/>
  <c r="B240" i="17"/>
  <c r="B226" i="19"/>
  <c r="B236" i="17"/>
  <c r="B221" i="19"/>
  <c r="B231" i="17"/>
  <c r="B218" i="19"/>
  <c r="B228" i="17"/>
  <c r="B215" i="19"/>
  <c r="B224" i="17"/>
  <c r="B212" i="19"/>
  <c r="B221" i="17"/>
  <c r="B209" i="19"/>
  <c r="B218" i="17"/>
  <c r="B19" i="19"/>
  <c r="B214" i="17"/>
  <c r="B202" i="19"/>
  <c r="B210" i="17"/>
  <c r="B198" i="19"/>
  <c r="B206" i="17"/>
  <c r="B195" i="19"/>
  <c r="B203" i="17"/>
  <c r="B188" i="19"/>
  <c r="B196" i="17"/>
  <c r="B184" i="19"/>
  <c r="B192" i="17"/>
  <c r="B312" i="19"/>
  <c r="B7" i="17"/>
  <c r="B178" i="19"/>
  <c r="B186" i="17"/>
  <c r="B172" i="19"/>
  <c r="B179" i="17"/>
  <c r="B168" i="19"/>
  <c r="B175" i="17"/>
  <c r="B165" i="19"/>
  <c r="B171" i="17"/>
  <c r="B16" i="19"/>
  <c r="B167" i="17"/>
  <c r="B159" i="19"/>
  <c r="B163" i="17"/>
  <c r="B156" i="19"/>
  <c r="B159" i="17"/>
  <c r="B152" i="19"/>
  <c r="B155" i="17"/>
  <c r="B148" i="19"/>
  <c r="B151" i="17"/>
  <c r="B141" i="19"/>
  <c r="B144" i="17"/>
  <c r="B137" i="19"/>
  <c r="B140" i="17"/>
  <c r="G305" i="19"/>
  <c r="I324" i="17"/>
  <c r="J324" i="17" s="1"/>
  <c r="L324" i="17" s="1"/>
  <c r="G29" i="19"/>
  <c r="H29" i="19" s="1"/>
  <c r="I323" i="17"/>
  <c r="J323" i="17" s="1"/>
  <c r="G299" i="19"/>
  <c r="I317" i="17"/>
  <c r="J317" i="17" s="1"/>
  <c r="L317" i="17" s="1"/>
  <c r="G295" i="19"/>
  <c r="I313" i="17"/>
  <c r="J313" i="17" s="1"/>
  <c r="L313" i="17" s="1"/>
  <c r="G291" i="19"/>
  <c r="M291" i="19" s="1"/>
  <c r="I309" i="17"/>
  <c r="J309" i="17" s="1"/>
  <c r="L309" i="17" s="1"/>
  <c r="G288" i="19"/>
  <c r="I305" i="17"/>
  <c r="J305" i="17" s="1"/>
  <c r="L305" i="17" s="1"/>
  <c r="G284" i="19"/>
  <c r="I301" i="17"/>
  <c r="J301" i="17" s="1"/>
  <c r="G268" i="19"/>
  <c r="I284" i="17"/>
  <c r="J284" i="17" s="1"/>
  <c r="L284" i="17" s="1"/>
  <c r="G265" i="19"/>
  <c r="I280" i="17"/>
  <c r="J280" i="17" s="1"/>
  <c r="G261" i="19"/>
  <c r="I276" i="17"/>
  <c r="J276" i="17" s="1"/>
  <c r="L276" i="17" s="1"/>
  <c r="G258" i="19"/>
  <c r="I272" i="17"/>
  <c r="J272" i="17" s="1"/>
  <c r="G255" i="19"/>
  <c r="I268" i="17"/>
  <c r="J268" i="17" s="1"/>
  <c r="L268" i="17" s="1"/>
  <c r="G251" i="19"/>
  <c r="I264" i="17"/>
  <c r="J264" i="17" s="1"/>
  <c r="G248" i="19"/>
  <c r="I260" i="17"/>
  <c r="J260" i="17" s="1"/>
  <c r="L260" i="17" s="1"/>
  <c r="G244" i="19"/>
  <c r="I256" i="17"/>
  <c r="J256" i="17" s="1"/>
  <c r="L256" i="17" s="1"/>
  <c r="G240" i="19"/>
  <c r="I252" i="17"/>
  <c r="J252" i="17" s="1"/>
  <c r="L252" i="17" s="1"/>
  <c r="G236" i="19"/>
  <c r="I248" i="17"/>
  <c r="J248" i="17" s="1"/>
  <c r="G233" i="19"/>
  <c r="I244" i="17"/>
  <c r="J244" i="17" s="1"/>
  <c r="L244" i="17" s="1"/>
  <c r="G231" i="19"/>
  <c r="I241" i="17"/>
  <c r="J241" i="17" s="1"/>
  <c r="G227" i="19"/>
  <c r="I237" i="17"/>
  <c r="J237" i="17" s="1"/>
  <c r="G223" i="19"/>
  <c r="I233" i="17"/>
  <c r="J233" i="17" s="1"/>
  <c r="L233" i="17" s="1"/>
  <c r="G213" i="19"/>
  <c r="I222" i="17"/>
  <c r="J222" i="17" s="1"/>
  <c r="L222" i="17" s="1"/>
  <c r="G210" i="19"/>
  <c r="I219" i="17"/>
  <c r="J219" i="17" s="1"/>
  <c r="L219" i="17" s="1"/>
  <c r="G206" i="19"/>
  <c r="I215" i="17"/>
  <c r="J215" i="17" s="1"/>
  <c r="G203" i="19"/>
  <c r="I211" i="17"/>
  <c r="J211" i="17" s="1"/>
  <c r="G199" i="19"/>
  <c r="I207" i="17"/>
  <c r="J207" i="17" s="1"/>
  <c r="L207" i="17" s="1"/>
  <c r="G196" i="19"/>
  <c r="I204" i="17"/>
  <c r="J204" i="17" s="1"/>
  <c r="G192" i="19"/>
  <c r="I200" i="17"/>
  <c r="J200" i="17" s="1"/>
  <c r="G189" i="19"/>
  <c r="I197" i="17"/>
  <c r="J197" i="17" s="1"/>
  <c r="G185" i="19"/>
  <c r="I193" i="17"/>
  <c r="J193" i="17" s="1"/>
  <c r="L193" i="17" s="1"/>
  <c r="G313" i="19"/>
  <c r="I8" i="17"/>
  <c r="J8" i="17" s="1"/>
  <c r="G179" i="19"/>
  <c r="I187" i="17"/>
  <c r="J187" i="17" s="1"/>
  <c r="G173" i="19"/>
  <c r="I180" i="17"/>
  <c r="J180" i="17" s="1"/>
  <c r="L180" i="17" s="1"/>
  <c r="G169" i="19"/>
  <c r="I176" i="17"/>
  <c r="J176" i="17" s="1"/>
  <c r="L176" i="17" s="1"/>
  <c r="G166" i="19"/>
  <c r="I172" i="17"/>
  <c r="J172" i="17" s="1"/>
  <c r="G162" i="19"/>
  <c r="I168" i="17"/>
  <c r="J168" i="17" s="1"/>
  <c r="G160" i="19"/>
  <c r="I164" i="17"/>
  <c r="J164" i="17" s="1"/>
  <c r="L164" i="17" s="1"/>
  <c r="G14" i="19"/>
  <c r="H14" i="19" s="1"/>
  <c r="I160" i="17"/>
  <c r="J160" i="17" s="1"/>
  <c r="L160" i="17" s="1"/>
  <c r="G153" i="19"/>
  <c r="I156" i="17"/>
  <c r="J156" i="17" s="1"/>
  <c r="L156" i="17" s="1"/>
  <c r="G149" i="19"/>
  <c r="I152" i="17"/>
  <c r="J152" i="17" s="1"/>
  <c r="G310" i="19"/>
  <c r="I5" i="17"/>
  <c r="J5" i="17" s="1"/>
  <c r="G142" i="19"/>
  <c r="I145" i="17"/>
  <c r="J145" i="17" s="1"/>
  <c r="L145" i="17" s="1"/>
  <c r="G138" i="19"/>
  <c r="I141" i="17"/>
  <c r="J141" i="17" s="1"/>
  <c r="L141" i="17" s="1"/>
  <c r="B323" i="19"/>
  <c r="B19" i="17"/>
  <c r="B321" i="19"/>
  <c r="B17" i="17"/>
  <c r="B320" i="19"/>
  <c r="B16" i="17"/>
  <c r="B297" i="19"/>
  <c r="B315" i="17"/>
  <c r="B293" i="19"/>
  <c r="B311" i="17"/>
  <c r="B290" i="19"/>
  <c r="B307" i="17"/>
  <c r="B286" i="19"/>
  <c r="B303" i="17"/>
  <c r="B282" i="19"/>
  <c r="B299" i="17"/>
  <c r="B279" i="19"/>
  <c r="B296" i="17"/>
  <c r="B270" i="19"/>
  <c r="B286" i="17"/>
  <c r="B26" i="19"/>
  <c r="B282" i="17"/>
  <c r="B263" i="19"/>
  <c r="B278" i="17"/>
  <c r="B259" i="19"/>
  <c r="B274" i="17"/>
  <c r="B318" i="19"/>
  <c r="B14" i="17"/>
  <c r="B253" i="19"/>
  <c r="B266" i="17"/>
  <c r="B23" i="19"/>
  <c r="B262" i="17"/>
  <c r="B246" i="19"/>
  <c r="B258" i="17"/>
  <c r="B235" i="19"/>
  <c r="B246" i="17"/>
  <c r="B21" i="19"/>
  <c r="B242" i="17"/>
  <c r="B229" i="19"/>
  <c r="B239" i="17"/>
  <c r="B225" i="19"/>
  <c r="B235" i="17"/>
  <c r="B20" i="19"/>
  <c r="B227" i="17"/>
  <c r="B214" i="19"/>
  <c r="B223" i="17"/>
  <c r="B208" i="19"/>
  <c r="B217" i="17"/>
  <c r="B205" i="19"/>
  <c r="B213" i="17"/>
  <c r="B201" i="19"/>
  <c r="B209" i="17"/>
  <c r="B315" i="19"/>
  <c r="B10" i="17"/>
  <c r="B194" i="19"/>
  <c r="B202" i="17"/>
  <c r="B191" i="19"/>
  <c r="B199" i="17"/>
  <c r="B187" i="19"/>
  <c r="B195" i="17"/>
  <c r="B183" i="19"/>
  <c r="B191" i="17"/>
  <c r="B181" i="19"/>
  <c r="B189" i="17"/>
  <c r="B177" i="19"/>
  <c r="B185" i="17"/>
  <c r="B18" i="19"/>
  <c r="B182" i="17"/>
  <c r="B171" i="19"/>
  <c r="B178" i="17"/>
  <c r="B167" i="19"/>
  <c r="B174" i="17"/>
  <c r="B15" i="19"/>
  <c r="B166" i="17"/>
  <c r="B158" i="19"/>
  <c r="B162" i="17"/>
  <c r="B151" i="19"/>
  <c r="B154" i="17"/>
  <c r="B147" i="19"/>
  <c r="B150" i="17"/>
  <c r="B136" i="19"/>
  <c r="B139" i="17"/>
  <c r="T207" i="7"/>
  <c r="D52" i="18"/>
  <c r="T159" i="7"/>
  <c r="D43" i="18"/>
  <c r="T314" i="7"/>
  <c r="D76" i="18"/>
  <c r="T305" i="7"/>
  <c r="D73" i="18"/>
  <c r="T146" i="7"/>
  <c r="D37" i="18"/>
  <c r="T99" i="7"/>
  <c r="D29" i="18"/>
  <c r="T313" i="7"/>
  <c r="D75" i="18"/>
  <c r="T265" i="7"/>
  <c r="D64" i="18"/>
  <c r="T154" i="7"/>
  <c r="D39" i="18"/>
  <c r="T79" i="7"/>
  <c r="D28" i="18"/>
  <c r="T273" i="7"/>
  <c r="D68" i="18"/>
  <c r="T260" i="7"/>
  <c r="D61" i="18"/>
  <c r="T312" i="7"/>
  <c r="D74" i="18"/>
  <c r="T264" i="7"/>
  <c r="D63" i="18"/>
  <c r="T248" i="7"/>
  <c r="D58" i="18"/>
  <c r="T203" i="7"/>
  <c r="D50" i="18"/>
  <c r="T202" i="7"/>
  <c r="D49" i="18"/>
  <c r="T138" i="7"/>
  <c r="D34" i="18"/>
  <c r="T34" i="7"/>
  <c r="D17" i="18"/>
  <c r="T16" i="7"/>
  <c r="D11" i="18"/>
  <c r="T11" i="7"/>
  <c r="D9" i="18"/>
  <c r="G75" i="18"/>
  <c r="G302" i="19"/>
  <c r="M302" i="19" s="1"/>
  <c r="H291" i="19"/>
  <c r="G68" i="18"/>
  <c r="G281" i="19"/>
  <c r="G64" i="18"/>
  <c r="G276" i="19"/>
  <c r="G61" i="18"/>
  <c r="G272" i="19"/>
  <c r="G39" i="18"/>
  <c r="G30" i="19"/>
  <c r="H30" i="19" s="1"/>
  <c r="G36" i="18"/>
  <c r="M36" i="18" s="1"/>
  <c r="G216" i="19"/>
  <c r="M216" i="19" s="1"/>
  <c r="G28" i="18"/>
  <c r="G311" i="19"/>
  <c r="B62" i="18"/>
  <c r="B274" i="19"/>
  <c r="B52" i="18"/>
  <c r="B242" i="19"/>
  <c r="B49" i="18"/>
  <c r="B238" i="19"/>
  <c r="B43" i="18"/>
  <c r="B220" i="19"/>
  <c r="B24" i="18"/>
  <c r="B164" i="19"/>
  <c r="B17" i="18"/>
  <c r="B155" i="19"/>
  <c r="B11" i="18"/>
  <c r="B144" i="19"/>
  <c r="B9" i="18"/>
  <c r="B140" i="19"/>
  <c r="G74" i="18"/>
  <c r="G301" i="19"/>
  <c r="G63" i="18"/>
  <c r="G275" i="19"/>
  <c r="G58" i="18"/>
  <c r="G264" i="19"/>
  <c r="G50" i="18"/>
  <c r="G239" i="19"/>
  <c r="G30" i="18"/>
  <c r="G314" i="19"/>
  <c r="G27" i="18"/>
  <c r="G175" i="19"/>
  <c r="G12" i="18"/>
  <c r="G145" i="19"/>
  <c r="B76" i="18"/>
  <c r="B303" i="19"/>
  <c r="B73" i="18"/>
  <c r="B296" i="19"/>
  <c r="B51" i="18"/>
  <c r="B241" i="19"/>
  <c r="B37" i="18"/>
  <c r="B217" i="19"/>
  <c r="B29" i="18"/>
  <c r="B186" i="19"/>
  <c r="B21" i="18"/>
  <c r="B161" i="19"/>
  <c r="G62" i="18"/>
  <c r="G274" i="19"/>
  <c r="G52" i="18"/>
  <c r="G242" i="19"/>
  <c r="G49" i="18"/>
  <c r="G238" i="19"/>
  <c r="G43" i="18"/>
  <c r="G220" i="19"/>
  <c r="H309" i="19"/>
  <c r="G24" i="18"/>
  <c r="G164" i="19"/>
  <c r="G17" i="18"/>
  <c r="G155" i="19"/>
  <c r="G11" i="18"/>
  <c r="G144" i="19"/>
  <c r="G9" i="18"/>
  <c r="G140" i="19"/>
  <c r="B75" i="18"/>
  <c r="B302" i="19"/>
  <c r="B68" i="18"/>
  <c r="B281" i="19"/>
  <c r="B64" i="18"/>
  <c r="B276" i="19"/>
  <c r="B61" i="18"/>
  <c r="B272" i="19"/>
  <c r="B39" i="18"/>
  <c r="B30" i="19"/>
  <c r="B36" i="18"/>
  <c r="B216" i="19"/>
  <c r="B28" i="18"/>
  <c r="B311" i="19"/>
  <c r="G76" i="18"/>
  <c r="M76" i="18" s="1"/>
  <c r="G303" i="19"/>
  <c r="M303" i="19" s="1"/>
  <c r="G73" i="18"/>
  <c r="G296" i="19"/>
  <c r="M296" i="19" s="1"/>
  <c r="G51" i="18"/>
  <c r="M51" i="18" s="1"/>
  <c r="G241" i="19"/>
  <c r="M241" i="19" s="1"/>
  <c r="G37" i="18"/>
  <c r="G217" i="19"/>
  <c r="G29" i="18"/>
  <c r="G186" i="19"/>
  <c r="G21" i="18"/>
  <c r="G161" i="19"/>
  <c r="B74" i="18"/>
  <c r="B301" i="19"/>
  <c r="B63" i="18"/>
  <c r="B275" i="19"/>
  <c r="B58" i="18"/>
  <c r="B264" i="19"/>
  <c r="B50" i="18"/>
  <c r="B239" i="19"/>
  <c r="B314" i="19"/>
  <c r="B30" i="18"/>
  <c r="B27" i="18"/>
  <c r="B175" i="19"/>
  <c r="B12" i="18"/>
  <c r="B145" i="19"/>
  <c r="G34" i="18"/>
  <c r="M34" i="18" s="1"/>
  <c r="I104" i="17"/>
  <c r="B34" i="18"/>
  <c r="B104" i="17"/>
  <c r="F7" i="14"/>
  <c r="F11" i="14"/>
  <c r="F17" i="14"/>
  <c r="F21" i="14"/>
  <c r="F26" i="14"/>
  <c r="F36" i="14"/>
  <c r="F42" i="14"/>
  <c r="F51" i="14"/>
  <c r="F57" i="14"/>
  <c r="F64" i="14"/>
  <c r="F69" i="14"/>
  <c r="F75" i="14"/>
  <c r="F80" i="14"/>
  <c r="F87" i="14"/>
  <c r="F97" i="14"/>
  <c r="F102" i="14"/>
  <c r="F107" i="14"/>
  <c r="F115" i="14"/>
  <c r="F120" i="14"/>
  <c r="F125" i="14"/>
  <c r="F129" i="14"/>
  <c r="F140" i="14"/>
  <c r="F148" i="14"/>
  <c r="F161" i="14"/>
  <c r="F168" i="14"/>
  <c r="F180" i="14"/>
  <c r="F185" i="14"/>
  <c r="F189" i="14"/>
  <c r="F195" i="14"/>
  <c r="F201" i="14"/>
  <c r="F208" i="14"/>
  <c r="F214" i="14"/>
  <c r="F219" i="14"/>
  <c r="F223" i="14"/>
  <c r="F227" i="14"/>
  <c r="F231" i="14"/>
  <c r="F237" i="14"/>
  <c r="F245" i="14"/>
  <c r="F251" i="14"/>
  <c r="F255" i="14"/>
  <c r="F266" i="14"/>
  <c r="F274" i="14"/>
  <c r="F280" i="14"/>
  <c r="F286" i="14"/>
  <c r="F293" i="14"/>
  <c r="F298" i="14"/>
  <c r="F305" i="14"/>
  <c r="F311" i="14"/>
  <c r="F316" i="14"/>
  <c r="F323" i="14"/>
  <c r="B5" i="14"/>
  <c r="B323" i="13"/>
  <c r="B9" i="14"/>
  <c r="B319" i="13"/>
  <c r="B14" i="14"/>
  <c r="B314" i="13"/>
  <c r="B19" i="14"/>
  <c r="B309" i="13"/>
  <c r="B24" i="14"/>
  <c r="B304" i="13"/>
  <c r="B29" i="14"/>
  <c r="B299" i="13"/>
  <c r="B40" i="14"/>
  <c r="B288" i="13"/>
  <c r="B49" i="14"/>
  <c r="B279" i="13"/>
  <c r="B54" i="14"/>
  <c r="B274" i="13"/>
  <c r="B62" i="14"/>
  <c r="B266" i="13"/>
  <c r="B67" i="14"/>
  <c r="B261" i="13"/>
  <c r="B72" i="14"/>
  <c r="B256" i="13"/>
  <c r="B78" i="14"/>
  <c r="B250" i="13"/>
  <c r="B82" i="14"/>
  <c r="B246" i="13"/>
  <c r="B95" i="14"/>
  <c r="B233" i="13"/>
  <c r="B100" i="14"/>
  <c r="B228" i="13"/>
  <c r="B104" i="14"/>
  <c r="B224" i="13"/>
  <c r="B112" i="14"/>
  <c r="B216" i="13"/>
  <c r="B117" i="14"/>
  <c r="B212" i="13"/>
  <c r="B123" i="14"/>
  <c r="B206" i="13"/>
  <c r="B127" i="14"/>
  <c r="B202" i="13"/>
  <c r="B138" i="14"/>
  <c r="B191" i="13"/>
  <c r="B146" i="14"/>
  <c r="B183" i="13"/>
  <c r="B159" i="14"/>
  <c r="B170" i="13"/>
  <c r="B165" i="14"/>
  <c r="B164" i="13"/>
  <c r="B173" i="14"/>
  <c r="B156" i="13"/>
  <c r="B182" i="14"/>
  <c r="B147" i="13"/>
  <c r="B187" i="14"/>
  <c r="B142" i="13"/>
  <c r="B191" i="14"/>
  <c r="B138" i="13"/>
  <c r="B199" i="14"/>
  <c r="B130" i="13"/>
  <c r="B205" i="14"/>
  <c r="B124" i="13"/>
  <c r="B210" i="14"/>
  <c r="B119" i="13"/>
  <c r="B217" i="14"/>
  <c r="B112" i="13"/>
  <c r="B221" i="14"/>
  <c r="B108" i="13"/>
  <c r="B225" i="14"/>
  <c r="B104" i="13"/>
  <c r="B229" i="14"/>
  <c r="B100" i="13"/>
  <c r="B235" i="14"/>
  <c r="B94" i="13"/>
  <c r="B239" i="14"/>
  <c r="B90" i="13"/>
  <c r="B248" i="14"/>
  <c r="B82" i="13"/>
  <c r="B253" i="14"/>
  <c r="B77" i="13"/>
  <c r="B264" i="14"/>
  <c r="B66" i="13"/>
  <c r="B269" i="14"/>
  <c r="B61" i="13"/>
  <c r="B278" i="14"/>
  <c r="B52" i="13"/>
  <c r="B283" i="14"/>
  <c r="B47" i="13"/>
  <c r="B288" i="14"/>
  <c r="B42" i="13"/>
  <c r="B295" i="14"/>
  <c r="B35" i="13"/>
  <c r="B302" i="14"/>
  <c r="B28" i="13"/>
  <c r="B309" i="14"/>
  <c r="B21" i="13"/>
  <c r="B313" i="14"/>
  <c r="B17" i="13"/>
  <c r="B320" i="14"/>
  <c r="B10" i="13"/>
  <c r="F4" i="14"/>
  <c r="F8" i="14"/>
  <c r="F13" i="14"/>
  <c r="F18" i="14"/>
  <c r="F22" i="14"/>
  <c r="F27" i="14"/>
  <c r="F37" i="14"/>
  <c r="F48" i="14"/>
  <c r="F52" i="14"/>
  <c r="F58" i="14"/>
  <c r="F66" i="14"/>
  <c r="F71" i="14"/>
  <c r="F76" i="14"/>
  <c r="F81" i="14"/>
  <c r="F92" i="14"/>
  <c r="F99" i="14"/>
  <c r="F103" i="14"/>
  <c r="F108" i="14"/>
  <c r="F116" i="14"/>
  <c r="F122" i="14"/>
  <c r="F126" i="14"/>
  <c r="F137" i="14"/>
  <c r="F144" i="14"/>
  <c r="F151" i="14"/>
  <c r="F162" i="14"/>
  <c r="F169" i="14"/>
  <c r="F181" i="14"/>
  <c r="F186" i="14"/>
  <c r="F190" i="14"/>
  <c r="F198" i="14"/>
  <c r="F202" i="14"/>
  <c r="F209" i="14"/>
  <c r="F216" i="14"/>
  <c r="F220" i="14"/>
  <c r="F224" i="14"/>
  <c r="F228" i="14"/>
  <c r="F233" i="14"/>
  <c r="F238" i="14"/>
  <c r="F247" i="14"/>
  <c r="F252" i="14"/>
  <c r="F258" i="14"/>
  <c r="F267" i="14"/>
  <c r="F277" i="14"/>
  <c r="F282" i="14"/>
  <c r="F287" i="14"/>
  <c r="F294" i="14"/>
  <c r="F301" i="14"/>
  <c r="F308" i="14"/>
  <c r="F312" i="14"/>
  <c r="F319" i="14"/>
  <c r="F324" i="14"/>
  <c r="B6" i="14"/>
  <c r="B322" i="13"/>
  <c r="B10" i="14"/>
  <c r="B318" i="13"/>
  <c r="B15" i="14"/>
  <c r="B313" i="13"/>
  <c r="B20" i="14"/>
  <c r="B308" i="13"/>
  <c r="B25" i="14"/>
  <c r="B303" i="13"/>
  <c r="B35" i="14"/>
  <c r="B293" i="13"/>
  <c r="B41" i="14"/>
  <c r="B287" i="13"/>
  <c r="B50" i="14"/>
  <c r="B278" i="13"/>
  <c r="B55" i="14"/>
  <c r="B273" i="13"/>
  <c r="B63" i="14"/>
  <c r="B265" i="13"/>
  <c r="B68" i="14"/>
  <c r="B260" i="13"/>
  <c r="B73" i="14"/>
  <c r="B255" i="13"/>
  <c r="B79" i="14"/>
  <c r="B249" i="13"/>
  <c r="B86" i="14"/>
  <c r="B242" i="13"/>
  <c r="B96" i="14"/>
  <c r="B232" i="13"/>
  <c r="B101" i="14"/>
  <c r="B227" i="13"/>
  <c r="B106" i="14"/>
  <c r="B222" i="13"/>
  <c r="B113" i="14"/>
  <c r="B5" i="13"/>
  <c r="B119" i="14"/>
  <c r="B210" i="13"/>
  <c r="B124" i="14"/>
  <c r="B205" i="13"/>
  <c r="B128" i="14"/>
  <c r="B201" i="13"/>
  <c r="B139" i="14"/>
  <c r="B190" i="13"/>
  <c r="B147" i="14"/>
  <c r="B182" i="13"/>
  <c r="B160" i="14"/>
  <c r="B169" i="13"/>
  <c r="B167" i="14"/>
  <c r="B162" i="13"/>
  <c r="B179" i="14"/>
  <c r="B150" i="13"/>
  <c r="B184" i="14"/>
  <c r="B145" i="13"/>
  <c r="B188" i="14"/>
  <c r="B141" i="13"/>
  <c r="B194" i="14"/>
  <c r="B135" i="13"/>
  <c r="B200" i="14"/>
  <c r="B129" i="13"/>
  <c r="B207" i="14"/>
  <c r="B122" i="13"/>
  <c r="B213" i="14"/>
  <c r="B116" i="13"/>
  <c r="B218" i="14"/>
  <c r="B111" i="13"/>
  <c r="B222" i="14"/>
  <c r="B107" i="13"/>
  <c r="B226" i="14"/>
  <c r="B103" i="13"/>
  <c r="B230" i="14"/>
  <c r="B99" i="13"/>
  <c r="B236" i="14"/>
  <c r="B93" i="13"/>
  <c r="B244" i="14"/>
  <c r="B86" i="13"/>
  <c r="B250" i="14"/>
  <c r="B80" i="13"/>
  <c r="B254" i="14"/>
  <c r="B76" i="13"/>
  <c r="B265" i="14"/>
  <c r="B65" i="13"/>
  <c r="B270" i="14"/>
  <c r="B60" i="13"/>
  <c r="B279" i="14"/>
  <c r="B51" i="13"/>
  <c r="B285" i="14"/>
  <c r="B45" i="13"/>
  <c r="B291" i="14"/>
  <c r="B39" i="13"/>
  <c r="B297" i="14"/>
  <c r="B33" i="13"/>
  <c r="B304" i="14"/>
  <c r="B26" i="13"/>
  <c r="B310" i="14"/>
  <c r="B20" i="13"/>
  <c r="B314" i="14"/>
  <c r="B16" i="13"/>
  <c r="B322" i="14"/>
  <c r="B8" i="13"/>
  <c r="F5" i="14"/>
  <c r="F9" i="14"/>
  <c r="F14" i="14"/>
  <c r="F19" i="14"/>
  <c r="F24" i="14"/>
  <c r="F29" i="14"/>
  <c r="F40" i="14"/>
  <c r="F49" i="14"/>
  <c r="F54" i="14"/>
  <c r="F62" i="14"/>
  <c r="F67" i="14"/>
  <c r="F72" i="14"/>
  <c r="F78" i="14"/>
  <c r="F82" i="14"/>
  <c r="F95" i="14"/>
  <c r="F100" i="14"/>
  <c r="F104" i="14"/>
  <c r="F112" i="14"/>
  <c r="F117" i="14"/>
  <c r="F123" i="14"/>
  <c r="F127" i="14"/>
  <c r="F138" i="14"/>
  <c r="F146" i="14"/>
  <c r="F159" i="14"/>
  <c r="F165" i="14"/>
  <c r="F173" i="14"/>
  <c r="F182" i="14"/>
  <c r="F187" i="14"/>
  <c r="F191" i="14"/>
  <c r="F199" i="14"/>
  <c r="F205" i="14"/>
  <c r="F210" i="14"/>
  <c r="F217" i="14"/>
  <c r="F221" i="14"/>
  <c r="F225" i="14"/>
  <c r="F229" i="14"/>
  <c r="F235" i="14"/>
  <c r="F239" i="14"/>
  <c r="F248" i="14"/>
  <c r="F253" i="14"/>
  <c r="F264" i="14"/>
  <c r="F269" i="14"/>
  <c r="F278" i="14"/>
  <c r="F283" i="14"/>
  <c r="F288" i="14"/>
  <c r="F295" i="14"/>
  <c r="F302" i="14"/>
  <c r="F309" i="14"/>
  <c r="F313" i="14"/>
  <c r="F320" i="14"/>
  <c r="B7" i="14"/>
  <c r="B321" i="13"/>
  <c r="B11" i="14"/>
  <c r="B317" i="13"/>
  <c r="B17" i="14"/>
  <c r="B311" i="13"/>
  <c r="B21" i="14"/>
  <c r="B307" i="13"/>
  <c r="B26" i="14"/>
  <c r="B302" i="13"/>
  <c r="B36" i="14"/>
  <c r="B292" i="13"/>
  <c r="B42" i="14"/>
  <c r="B286" i="13"/>
  <c r="B51" i="14"/>
  <c r="B277" i="13"/>
  <c r="B57" i="14"/>
  <c r="B271" i="13"/>
  <c r="B64" i="14"/>
  <c r="B264" i="13"/>
  <c r="B69" i="14"/>
  <c r="B259" i="13"/>
  <c r="B75" i="14"/>
  <c r="B253" i="13"/>
  <c r="B80" i="14"/>
  <c r="B248" i="13"/>
  <c r="B87" i="14"/>
  <c r="B241" i="13"/>
  <c r="B97" i="14"/>
  <c r="B231" i="13"/>
  <c r="B102" i="14"/>
  <c r="B226" i="13"/>
  <c r="B107" i="14"/>
  <c r="B221" i="13"/>
  <c r="B115" i="14"/>
  <c r="B214" i="13"/>
  <c r="B120" i="14"/>
  <c r="B209" i="13"/>
  <c r="B125" i="14"/>
  <c r="B204" i="13"/>
  <c r="B129" i="14"/>
  <c r="B200" i="13"/>
  <c r="B140" i="14"/>
  <c r="B189" i="13"/>
  <c r="B148" i="14"/>
  <c r="B181" i="13"/>
  <c r="B161" i="14"/>
  <c r="B168" i="13"/>
  <c r="B168" i="14"/>
  <c r="B161" i="13"/>
  <c r="B180" i="14"/>
  <c r="B149" i="13"/>
  <c r="B185" i="14"/>
  <c r="B144" i="13"/>
  <c r="B195" i="14"/>
  <c r="B134" i="13"/>
  <c r="B201" i="14"/>
  <c r="B128" i="13"/>
  <c r="B208" i="14"/>
  <c r="B121" i="13"/>
  <c r="B214" i="14"/>
  <c r="B115" i="13"/>
  <c r="B219" i="14"/>
  <c r="B110" i="13"/>
  <c r="B223" i="14"/>
  <c r="B106" i="13"/>
  <c r="B227" i="14"/>
  <c r="B102" i="13"/>
  <c r="B231" i="14"/>
  <c r="B98" i="13"/>
  <c r="B237" i="14"/>
  <c r="B92" i="13"/>
  <c r="B245" i="14"/>
  <c r="B85" i="13"/>
  <c r="B79" i="13"/>
  <c r="B251" i="14"/>
  <c r="B255" i="14"/>
  <c r="B75" i="13"/>
  <c r="B266" i="14"/>
  <c r="B64" i="13"/>
  <c r="B274" i="14"/>
  <c r="B56" i="13"/>
  <c r="B280" i="14"/>
  <c r="B50" i="13"/>
  <c r="B286" i="14"/>
  <c r="B44" i="13"/>
  <c r="B293" i="14"/>
  <c r="B37" i="13"/>
  <c r="B298" i="14"/>
  <c r="B32" i="13"/>
  <c r="B305" i="14"/>
  <c r="B25" i="13"/>
  <c r="B311" i="14"/>
  <c r="B19" i="13"/>
  <c r="B316" i="14"/>
  <c r="B14" i="13"/>
  <c r="B323" i="14"/>
  <c r="B7" i="13"/>
  <c r="F6" i="14"/>
  <c r="F10" i="14"/>
  <c r="F15" i="14"/>
  <c r="F20" i="14"/>
  <c r="F25" i="14"/>
  <c r="F35" i="14"/>
  <c r="F41" i="14"/>
  <c r="F50" i="14"/>
  <c r="F55" i="14"/>
  <c r="F63" i="14"/>
  <c r="F68" i="14"/>
  <c r="F73" i="14"/>
  <c r="F79" i="14"/>
  <c r="F86" i="14"/>
  <c r="F96" i="14"/>
  <c r="F101" i="14"/>
  <c r="F106" i="14"/>
  <c r="F113" i="14"/>
  <c r="F119" i="14"/>
  <c r="F124" i="14"/>
  <c r="F128" i="14"/>
  <c r="F139" i="14"/>
  <c r="F147" i="14"/>
  <c r="F160" i="14"/>
  <c r="F167" i="14"/>
  <c r="F179" i="14"/>
  <c r="F184" i="14"/>
  <c r="F188" i="14"/>
  <c r="F194" i="14"/>
  <c r="F200" i="14"/>
  <c r="F207" i="14"/>
  <c r="F213" i="14"/>
  <c r="F218" i="14"/>
  <c r="F222" i="14"/>
  <c r="F226" i="14"/>
  <c r="F230" i="14"/>
  <c r="F236" i="14"/>
  <c r="F244" i="14"/>
  <c r="F250" i="14"/>
  <c r="F254" i="14"/>
  <c r="F265" i="14"/>
  <c r="F270" i="14"/>
  <c r="F279" i="14"/>
  <c r="F285" i="14"/>
  <c r="F291" i="14"/>
  <c r="F297" i="14"/>
  <c r="F304" i="14"/>
  <c r="F310" i="14"/>
  <c r="F314" i="14"/>
  <c r="F322" i="14"/>
  <c r="B4" i="14"/>
  <c r="B324" i="13"/>
  <c r="B8" i="14"/>
  <c r="B320" i="13"/>
  <c r="B13" i="14"/>
  <c r="B315" i="13"/>
  <c r="B18" i="14"/>
  <c r="B310" i="13"/>
  <c r="B22" i="14"/>
  <c r="B306" i="13"/>
  <c r="B27" i="14"/>
  <c r="B301" i="13"/>
  <c r="B37" i="14"/>
  <c r="B291" i="13"/>
  <c r="B48" i="14"/>
  <c r="B280" i="13"/>
  <c r="B52" i="14"/>
  <c r="B276" i="13"/>
  <c r="B58" i="14"/>
  <c r="B270" i="13"/>
  <c r="B66" i="14"/>
  <c r="B262" i="13"/>
  <c r="B71" i="14"/>
  <c r="B257" i="13"/>
  <c r="B76" i="14"/>
  <c r="B252" i="13"/>
  <c r="B81" i="14"/>
  <c r="B247" i="13"/>
  <c r="B92" i="14"/>
  <c r="B236" i="13"/>
  <c r="B99" i="14"/>
  <c r="B229" i="13"/>
  <c r="B103" i="14"/>
  <c r="B225" i="13"/>
  <c r="B108" i="14"/>
  <c r="B220" i="13"/>
  <c r="B116" i="14"/>
  <c r="B213" i="13"/>
  <c r="B122" i="14"/>
  <c r="B207" i="13"/>
  <c r="B126" i="14"/>
  <c r="B203" i="13"/>
  <c r="B137" i="14"/>
  <c r="B192" i="13"/>
  <c r="B144" i="14"/>
  <c r="B185" i="13"/>
  <c r="B151" i="14"/>
  <c r="B178" i="13"/>
  <c r="B162" i="14"/>
  <c r="B167" i="13"/>
  <c r="B169" i="14"/>
  <c r="B160" i="13"/>
  <c r="B181" i="14"/>
  <c r="B148" i="13"/>
  <c r="B186" i="14"/>
  <c r="B143" i="13"/>
  <c r="B190" i="14"/>
  <c r="B139" i="13"/>
  <c r="B198" i="14"/>
  <c r="B131" i="13"/>
  <c r="B202" i="14"/>
  <c r="B127" i="13"/>
  <c r="B209" i="14"/>
  <c r="B120" i="13"/>
  <c r="B216" i="14"/>
  <c r="B113" i="13"/>
  <c r="B220" i="14"/>
  <c r="B109" i="13"/>
  <c r="B224" i="14"/>
  <c r="B105" i="13"/>
  <c r="B228" i="14"/>
  <c r="B101" i="13"/>
  <c r="B233" i="14"/>
  <c r="B96" i="13"/>
  <c r="B238" i="14"/>
  <c r="B91" i="13"/>
  <c r="B247" i="14"/>
  <c r="B83" i="13"/>
  <c r="B252" i="14"/>
  <c r="B78" i="13"/>
  <c r="B258" i="14"/>
  <c r="B72" i="13"/>
  <c r="B267" i="14"/>
  <c r="B63" i="13"/>
  <c r="B277" i="14"/>
  <c r="B53" i="13"/>
  <c r="B282" i="14"/>
  <c r="B48" i="13"/>
  <c r="B287" i="14"/>
  <c r="B43" i="13"/>
  <c r="B294" i="14"/>
  <c r="B36" i="13"/>
  <c r="B301" i="14"/>
  <c r="B29" i="13"/>
  <c r="B308" i="14"/>
  <c r="B22" i="13"/>
  <c r="B312" i="14"/>
  <c r="B18" i="13"/>
  <c r="B319" i="14"/>
  <c r="B11" i="13"/>
  <c r="B324" i="14"/>
  <c r="B6" i="13"/>
  <c r="B189" i="14"/>
  <c r="B140" i="13"/>
  <c r="T3" i="7"/>
  <c r="T8" i="7"/>
  <c r="T303" i="7"/>
  <c r="T287" i="7"/>
  <c r="T275" i="7"/>
  <c r="T259" i="7"/>
  <c r="T247" i="7"/>
  <c r="T235" i="7"/>
  <c r="T137" i="7"/>
  <c r="T125" i="7"/>
  <c r="T113" i="7"/>
  <c r="T97" i="7"/>
  <c r="T73" i="7"/>
  <c r="T61" i="7"/>
  <c r="T49" i="7"/>
  <c r="T323" i="7"/>
  <c r="T291" i="7"/>
  <c r="T255" i="7"/>
  <c r="T231" i="7"/>
  <c r="T221" i="7"/>
  <c r="T201" i="7"/>
  <c r="T189" i="7"/>
  <c r="T165" i="7"/>
  <c r="T141" i="7"/>
  <c r="T129" i="7"/>
  <c r="T117" i="7"/>
  <c r="T105" i="7"/>
  <c r="T69" i="7"/>
  <c r="T57" i="7"/>
  <c r="T45" i="7"/>
  <c r="T33" i="7"/>
  <c r="T25" i="7"/>
  <c r="T13" i="7"/>
  <c r="T319" i="7"/>
  <c r="T307" i="7"/>
  <c r="T279" i="7"/>
  <c r="T263" i="7"/>
  <c r="T251" i="7"/>
  <c r="T227" i="7"/>
  <c r="T205" i="7"/>
  <c r="T181" i="7"/>
  <c r="T145" i="7"/>
  <c r="T133" i="7"/>
  <c r="T109" i="7"/>
  <c r="T101" i="7"/>
  <c r="T89" i="7"/>
  <c r="T77" i="7"/>
  <c r="T53" i="7"/>
  <c r="T41" i="7"/>
  <c r="T29" i="7"/>
  <c r="T17" i="7"/>
  <c r="I1" i="6"/>
  <c r="J4" i="6"/>
  <c r="J1" i="6" s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183" i="6"/>
  <c r="J184" i="6"/>
  <c r="J185" i="6"/>
  <c r="J186" i="6"/>
  <c r="J187" i="6"/>
  <c r="J188" i="6"/>
  <c r="J189" i="6"/>
  <c r="J190" i="6"/>
  <c r="J191" i="6"/>
  <c r="J192" i="6"/>
  <c r="J193" i="6"/>
  <c r="Q6" i="7"/>
  <c r="Q9" i="7"/>
  <c r="Q10" i="7"/>
  <c r="Q12" i="7"/>
  <c r="Q20" i="7"/>
  <c r="Q21" i="7"/>
  <c r="Q24" i="7"/>
  <c r="Q27" i="7"/>
  <c r="Q28" i="7"/>
  <c r="Q31" i="7"/>
  <c r="Q35" i="7"/>
  <c r="Q37" i="7"/>
  <c r="Q38" i="7"/>
  <c r="Q43" i="7"/>
  <c r="Q46" i="7"/>
  <c r="Q51" i="7"/>
  <c r="Q52" i="7"/>
  <c r="Q54" i="7"/>
  <c r="Q55" i="7"/>
  <c r="Q56" i="7"/>
  <c r="Q59" i="7"/>
  <c r="Q64" i="7"/>
  <c r="Q65" i="7"/>
  <c r="Q66" i="7"/>
  <c r="Q67" i="7"/>
  <c r="Q68" i="7"/>
  <c r="Q70" i="7"/>
  <c r="Q71" i="7"/>
  <c r="Q78" i="7"/>
  <c r="Q81" i="7"/>
  <c r="Q84" i="7"/>
  <c r="Q85" i="7"/>
  <c r="Q86" i="7"/>
  <c r="Q87" i="7"/>
  <c r="Q93" i="7"/>
  <c r="Q95" i="7"/>
  <c r="Q112" i="7"/>
  <c r="Q115" i="7"/>
  <c r="Q116" i="7"/>
  <c r="Q121" i="7"/>
  <c r="Q123" i="7"/>
  <c r="Q124" i="7"/>
  <c r="Q130" i="7"/>
  <c r="Q131" i="7"/>
  <c r="Q134" i="7"/>
  <c r="Q135" i="7"/>
  <c r="Q144" i="7"/>
  <c r="Q149" i="7"/>
  <c r="Q150" i="7"/>
  <c r="Q151" i="7"/>
  <c r="Q152" i="7"/>
  <c r="Q153" i="7"/>
  <c r="Q155" i="7"/>
  <c r="Q156" i="7"/>
  <c r="Q157" i="7"/>
  <c r="Q161" i="7"/>
  <c r="Q163" i="7"/>
  <c r="Q164" i="7"/>
  <c r="Q169" i="7"/>
  <c r="Q170" i="7"/>
  <c r="Q171" i="7"/>
  <c r="Q172" i="7"/>
  <c r="Q173" i="7"/>
  <c r="Q174" i="7"/>
  <c r="Q175" i="7"/>
  <c r="Q177" i="7"/>
  <c r="Q178" i="7"/>
  <c r="Q182" i="7"/>
  <c r="Q184" i="7"/>
  <c r="Q185" i="7"/>
  <c r="Q186" i="7"/>
  <c r="Q191" i="7"/>
  <c r="Q192" i="7"/>
  <c r="Q193" i="7"/>
  <c r="Q194" i="7"/>
  <c r="Q195" i="7"/>
  <c r="Q196" i="7"/>
  <c r="Q197" i="7"/>
  <c r="Q206" i="7"/>
  <c r="Q209" i="7"/>
  <c r="Q213" i="7"/>
  <c r="Q216" i="7"/>
  <c r="Q217" i="7"/>
  <c r="Q218" i="7"/>
  <c r="Q222" i="7"/>
  <c r="Q233" i="7"/>
  <c r="Q234" i="7"/>
  <c r="Q236" i="7"/>
  <c r="Q237" i="7"/>
  <c r="Q238" i="7"/>
  <c r="Q239" i="7"/>
  <c r="Q242" i="7"/>
  <c r="Q243" i="7"/>
  <c r="Q244" i="7"/>
  <c r="Q250" i="7"/>
  <c r="Q253" i="7"/>
  <c r="Q257" i="7"/>
  <c r="Q262" i="7"/>
  <c r="Q266" i="7"/>
  <c r="Q267" i="7"/>
  <c r="Q268" i="7"/>
  <c r="Q271" i="7"/>
  <c r="Q274" i="7"/>
  <c r="Q280" i="7"/>
  <c r="Q281" i="7"/>
  <c r="Q282" i="7"/>
  <c r="Q283" i="7"/>
  <c r="Q284" i="7"/>
  <c r="Q288" i="7"/>
  <c r="Q289" i="7"/>
  <c r="Q293" i="7"/>
  <c r="Q294" i="7"/>
  <c r="Q295" i="7"/>
  <c r="Q296" i="7"/>
  <c r="Q297" i="7"/>
  <c r="Q299" i="7"/>
  <c r="Q304" i="7"/>
  <c r="Q311" i="7"/>
  <c r="Q315" i="7"/>
  <c r="Q229" i="7"/>
  <c r="O9" i="7"/>
  <c r="P9" i="7"/>
  <c r="O10" i="7"/>
  <c r="P10" i="7"/>
  <c r="O12" i="7"/>
  <c r="P12" i="7"/>
  <c r="O20" i="7"/>
  <c r="P20" i="7"/>
  <c r="O21" i="7"/>
  <c r="P21" i="7"/>
  <c r="O24" i="7"/>
  <c r="P24" i="7"/>
  <c r="O27" i="7"/>
  <c r="P27" i="7"/>
  <c r="O28" i="7"/>
  <c r="P28" i="7"/>
  <c r="O31" i="7"/>
  <c r="P31" i="7"/>
  <c r="O35" i="7"/>
  <c r="P35" i="7"/>
  <c r="O37" i="7"/>
  <c r="P37" i="7"/>
  <c r="O38" i="7"/>
  <c r="P38" i="7"/>
  <c r="O43" i="7"/>
  <c r="P43" i="7"/>
  <c r="O46" i="7"/>
  <c r="P46" i="7"/>
  <c r="O51" i="7"/>
  <c r="P51" i="7"/>
  <c r="O52" i="7"/>
  <c r="P52" i="7"/>
  <c r="O54" i="7"/>
  <c r="P54" i="7"/>
  <c r="O55" i="7"/>
  <c r="P55" i="7"/>
  <c r="O56" i="7"/>
  <c r="P56" i="7"/>
  <c r="O59" i="7"/>
  <c r="P59" i="7"/>
  <c r="O64" i="7"/>
  <c r="P64" i="7"/>
  <c r="O65" i="7"/>
  <c r="P65" i="7"/>
  <c r="O66" i="7"/>
  <c r="P66" i="7"/>
  <c r="O67" i="7"/>
  <c r="P67" i="7"/>
  <c r="O68" i="7"/>
  <c r="P68" i="7"/>
  <c r="O70" i="7"/>
  <c r="P70" i="7"/>
  <c r="O71" i="7"/>
  <c r="P71" i="7"/>
  <c r="O78" i="7"/>
  <c r="P78" i="7"/>
  <c r="O81" i="7"/>
  <c r="P81" i="7"/>
  <c r="O84" i="7"/>
  <c r="P84" i="7"/>
  <c r="O85" i="7"/>
  <c r="P85" i="7"/>
  <c r="O86" i="7"/>
  <c r="P86" i="7"/>
  <c r="O87" i="7"/>
  <c r="P87" i="7"/>
  <c r="O93" i="7"/>
  <c r="P93" i="7"/>
  <c r="O95" i="7"/>
  <c r="P95" i="7"/>
  <c r="O112" i="7"/>
  <c r="P112" i="7"/>
  <c r="O115" i="7"/>
  <c r="P115" i="7"/>
  <c r="O116" i="7"/>
  <c r="P116" i="7"/>
  <c r="O121" i="7"/>
  <c r="P121" i="7"/>
  <c r="O123" i="7"/>
  <c r="P123" i="7"/>
  <c r="O124" i="7"/>
  <c r="P124" i="7"/>
  <c r="O130" i="7"/>
  <c r="P130" i="7"/>
  <c r="O131" i="7"/>
  <c r="P131" i="7"/>
  <c r="O134" i="7"/>
  <c r="P134" i="7"/>
  <c r="O135" i="7"/>
  <c r="P135" i="7"/>
  <c r="O144" i="7"/>
  <c r="P144" i="7"/>
  <c r="O149" i="7"/>
  <c r="P149" i="7"/>
  <c r="O150" i="7"/>
  <c r="P150" i="7"/>
  <c r="O151" i="7"/>
  <c r="P151" i="7"/>
  <c r="O152" i="7"/>
  <c r="P152" i="7"/>
  <c r="O153" i="7"/>
  <c r="P153" i="7"/>
  <c r="O155" i="7"/>
  <c r="P155" i="7"/>
  <c r="O156" i="7"/>
  <c r="P156" i="7"/>
  <c r="O157" i="7"/>
  <c r="P157" i="7"/>
  <c r="O161" i="7"/>
  <c r="P161" i="7"/>
  <c r="O163" i="7"/>
  <c r="P163" i="7"/>
  <c r="O164" i="7"/>
  <c r="P164" i="7"/>
  <c r="O169" i="7"/>
  <c r="P169" i="7"/>
  <c r="O170" i="7"/>
  <c r="P170" i="7"/>
  <c r="O171" i="7"/>
  <c r="P171" i="7"/>
  <c r="O172" i="7"/>
  <c r="P172" i="7"/>
  <c r="O173" i="7"/>
  <c r="P173" i="7"/>
  <c r="O174" i="7"/>
  <c r="P174" i="7"/>
  <c r="O175" i="7"/>
  <c r="P175" i="7"/>
  <c r="O177" i="7"/>
  <c r="P177" i="7"/>
  <c r="O178" i="7"/>
  <c r="P178" i="7"/>
  <c r="O182" i="7"/>
  <c r="P182" i="7"/>
  <c r="O184" i="7"/>
  <c r="P184" i="7"/>
  <c r="O185" i="7"/>
  <c r="P185" i="7"/>
  <c r="O186" i="7"/>
  <c r="P186" i="7"/>
  <c r="O191" i="7"/>
  <c r="P191" i="7"/>
  <c r="O192" i="7"/>
  <c r="P192" i="7"/>
  <c r="O193" i="7"/>
  <c r="P193" i="7"/>
  <c r="O194" i="7"/>
  <c r="P194" i="7"/>
  <c r="O195" i="7"/>
  <c r="P195" i="7"/>
  <c r="O196" i="7"/>
  <c r="P196" i="7"/>
  <c r="O197" i="7"/>
  <c r="P197" i="7"/>
  <c r="O206" i="7"/>
  <c r="P206" i="7"/>
  <c r="O209" i="7"/>
  <c r="P209" i="7"/>
  <c r="O213" i="7"/>
  <c r="P213" i="7"/>
  <c r="O216" i="7"/>
  <c r="P216" i="7"/>
  <c r="O217" i="7"/>
  <c r="P217" i="7"/>
  <c r="O218" i="7"/>
  <c r="P218" i="7"/>
  <c r="O222" i="7"/>
  <c r="P222" i="7"/>
  <c r="O233" i="7"/>
  <c r="P233" i="7"/>
  <c r="O234" i="7"/>
  <c r="P234" i="7"/>
  <c r="O236" i="7"/>
  <c r="P236" i="7"/>
  <c r="O237" i="7"/>
  <c r="P237" i="7"/>
  <c r="O238" i="7"/>
  <c r="P238" i="7"/>
  <c r="O239" i="7"/>
  <c r="P239" i="7"/>
  <c r="O242" i="7"/>
  <c r="P242" i="7"/>
  <c r="O243" i="7"/>
  <c r="P243" i="7"/>
  <c r="O244" i="7"/>
  <c r="P244" i="7"/>
  <c r="O250" i="7"/>
  <c r="P250" i="7"/>
  <c r="O253" i="7"/>
  <c r="P253" i="7"/>
  <c r="O257" i="7"/>
  <c r="P257" i="7"/>
  <c r="O262" i="7"/>
  <c r="P262" i="7"/>
  <c r="O266" i="7"/>
  <c r="P266" i="7"/>
  <c r="O267" i="7"/>
  <c r="P267" i="7"/>
  <c r="O268" i="7"/>
  <c r="P268" i="7"/>
  <c r="O271" i="7"/>
  <c r="P271" i="7"/>
  <c r="O274" i="7"/>
  <c r="P274" i="7"/>
  <c r="O280" i="7"/>
  <c r="P280" i="7"/>
  <c r="O281" i="7"/>
  <c r="P281" i="7"/>
  <c r="O282" i="7"/>
  <c r="P282" i="7"/>
  <c r="O283" i="7"/>
  <c r="P283" i="7"/>
  <c r="O284" i="7"/>
  <c r="P284" i="7"/>
  <c r="O288" i="7"/>
  <c r="P288" i="7"/>
  <c r="O289" i="7"/>
  <c r="P289" i="7"/>
  <c r="O293" i="7"/>
  <c r="P293" i="7"/>
  <c r="O294" i="7"/>
  <c r="P294" i="7"/>
  <c r="O295" i="7"/>
  <c r="P295" i="7"/>
  <c r="O296" i="7"/>
  <c r="P296" i="7"/>
  <c r="O297" i="7"/>
  <c r="P297" i="7"/>
  <c r="O299" i="7"/>
  <c r="P299" i="7"/>
  <c r="O304" i="7"/>
  <c r="P304" i="7"/>
  <c r="O311" i="7"/>
  <c r="P311" i="7"/>
  <c r="O315" i="7"/>
  <c r="P315" i="7"/>
  <c r="O229" i="7"/>
  <c r="P229" i="7"/>
  <c r="P6" i="7"/>
  <c r="O6" i="7"/>
  <c r="U256" i="21" l="1"/>
  <c r="U304" i="21"/>
  <c r="U198" i="21"/>
  <c r="U18" i="21"/>
  <c r="H186" i="19"/>
  <c r="M186" i="19"/>
  <c r="H140" i="19"/>
  <c r="M140" i="19"/>
  <c r="H155" i="19"/>
  <c r="M155" i="19"/>
  <c r="H49" i="18"/>
  <c r="M49" i="18"/>
  <c r="H62" i="18"/>
  <c r="M62" i="18"/>
  <c r="H27" i="18"/>
  <c r="M27" i="18"/>
  <c r="H50" i="18"/>
  <c r="M50" i="18"/>
  <c r="H63" i="18"/>
  <c r="M63" i="18"/>
  <c r="H28" i="18"/>
  <c r="M28" i="18"/>
  <c r="H39" i="18"/>
  <c r="M39" i="18"/>
  <c r="H64" i="18"/>
  <c r="M64" i="18"/>
  <c r="H29" i="18"/>
  <c r="M29" i="18"/>
  <c r="H9" i="18"/>
  <c r="M9" i="18"/>
  <c r="H17" i="18"/>
  <c r="M17" i="18"/>
  <c r="H220" i="19"/>
  <c r="M220" i="19"/>
  <c r="H242" i="19"/>
  <c r="M242" i="19"/>
  <c r="H145" i="19"/>
  <c r="M145" i="19"/>
  <c r="H314" i="19"/>
  <c r="M314" i="19"/>
  <c r="H264" i="19"/>
  <c r="M264" i="19"/>
  <c r="H301" i="19"/>
  <c r="M301" i="19"/>
  <c r="H272" i="19"/>
  <c r="M272" i="19"/>
  <c r="H281" i="19"/>
  <c r="M281" i="19"/>
  <c r="H75" i="18"/>
  <c r="M75" i="18"/>
  <c r="H142" i="19"/>
  <c r="M142" i="19"/>
  <c r="H149" i="19"/>
  <c r="M149" i="19"/>
  <c r="H162" i="19"/>
  <c r="M162" i="19"/>
  <c r="H169" i="19"/>
  <c r="M169" i="19"/>
  <c r="H179" i="19"/>
  <c r="M179" i="19"/>
  <c r="H185" i="19"/>
  <c r="M185" i="19"/>
  <c r="H192" i="19"/>
  <c r="M192" i="19"/>
  <c r="H199" i="19"/>
  <c r="M199" i="19"/>
  <c r="H206" i="19"/>
  <c r="M206" i="19"/>
  <c r="H213" i="19"/>
  <c r="M213" i="19"/>
  <c r="H227" i="19"/>
  <c r="M227" i="19"/>
  <c r="H233" i="19"/>
  <c r="M233" i="19"/>
  <c r="H240" i="19"/>
  <c r="M240" i="19"/>
  <c r="H248" i="19"/>
  <c r="M248" i="19"/>
  <c r="H255" i="19"/>
  <c r="M255" i="19"/>
  <c r="H261" i="19"/>
  <c r="M261" i="19"/>
  <c r="H268" i="19"/>
  <c r="M268" i="19"/>
  <c r="H288" i="19"/>
  <c r="M288" i="19"/>
  <c r="H295" i="19"/>
  <c r="M295" i="19"/>
  <c r="H139" i="19"/>
  <c r="M139" i="19"/>
  <c r="H146" i="19"/>
  <c r="M146" i="19"/>
  <c r="H154" i="19"/>
  <c r="M154" i="19"/>
  <c r="H163" i="19"/>
  <c r="M163" i="19"/>
  <c r="H170" i="19"/>
  <c r="M170" i="19"/>
  <c r="H176" i="19"/>
  <c r="M176" i="19"/>
  <c r="H182" i="19"/>
  <c r="M182" i="19"/>
  <c r="H193" i="19"/>
  <c r="M193" i="19"/>
  <c r="H200" i="19"/>
  <c r="M200" i="19"/>
  <c r="H207" i="19"/>
  <c r="M207" i="19"/>
  <c r="H316" i="19"/>
  <c r="M316" i="19"/>
  <c r="H224" i="19"/>
  <c r="M224" i="19"/>
  <c r="H317" i="19"/>
  <c r="M317" i="19"/>
  <c r="H237" i="19"/>
  <c r="M237" i="19"/>
  <c r="H249" i="19"/>
  <c r="M249" i="19"/>
  <c r="H256" i="19"/>
  <c r="M256" i="19"/>
  <c r="H262" i="19"/>
  <c r="M262" i="19"/>
  <c r="H269" i="19"/>
  <c r="M269" i="19"/>
  <c r="H278" i="19"/>
  <c r="M278" i="19"/>
  <c r="H285" i="19"/>
  <c r="M285" i="19"/>
  <c r="H292" i="19"/>
  <c r="M292" i="19"/>
  <c r="H322" i="19"/>
  <c r="M322" i="19"/>
  <c r="H147" i="19"/>
  <c r="M147" i="19"/>
  <c r="H158" i="19"/>
  <c r="M158" i="19"/>
  <c r="H167" i="19"/>
  <c r="M167" i="19"/>
  <c r="H181" i="19"/>
  <c r="M181" i="19"/>
  <c r="H187" i="19"/>
  <c r="M187" i="19"/>
  <c r="H194" i="19"/>
  <c r="M194" i="19"/>
  <c r="H201" i="19"/>
  <c r="M201" i="19"/>
  <c r="H208" i="19"/>
  <c r="M208" i="19"/>
  <c r="H229" i="19"/>
  <c r="M229" i="19"/>
  <c r="H235" i="19"/>
  <c r="M235" i="19"/>
  <c r="H318" i="19"/>
  <c r="M318" i="19"/>
  <c r="H263" i="19"/>
  <c r="M263" i="19"/>
  <c r="H270" i="19"/>
  <c r="M270" i="19"/>
  <c r="H282" i="19"/>
  <c r="M282" i="19"/>
  <c r="H290" i="19"/>
  <c r="M290" i="19"/>
  <c r="H297" i="19"/>
  <c r="M297" i="19"/>
  <c r="H321" i="19"/>
  <c r="M321" i="19"/>
  <c r="H141" i="19"/>
  <c r="M141" i="19"/>
  <c r="H152" i="19"/>
  <c r="M152" i="19"/>
  <c r="H159" i="19"/>
  <c r="M159" i="19"/>
  <c r="H165" i="19"/>
  <c r="M165" i="19"/>
  <c r="H172" i="19"/>
  <c r="M172" i="19"/>
  <c r="H312" i="19"/>
  <c r="M312" i="19"/>
  <c r="H188" i="19"/>
  <c r="M188" i="19"/>
  <c r="H198" i="19"/>
  <c r="M198" i="19"/>
  <c r="H212" i="19"/>
  <c r="M212" i="19"/>
  <c r="H218" i="19"/>
  <c r="M218" i="19"/>
  <c r="H226" i="19"/>
  <c r="M226" i="19"/>
  <c r="H232" i="19"/>
  <c r="M232" i="19"/>
  <c r="H243" i="19"/>
  <c r="M243" i="19"/>
  <c r="H250" i="19"/>
  <c r="M250" i="19"/>
  <c r="H267" i="19"/>
  <c r="M267" i="19"/>
  <c r="H280" i="19"/>
  <c r="M280" i="19"/>
  <c r="H287" i="19"/>
  <c r="M287" i="19"/>
  <c r="H294" i="19"/>
  <c r="M294" i="19"/>
  <c r="H304" i="19"/>
  <c r="M304" i="19"/>
  <c r="H161" i="19"/>
  <c r="M161" i="19"/>
  <c r="H217" i="19"/>
  <c r="M217" i="19"/>
  <c r="H144" i="19"/>
  <c r="M144" i="19"/>
  <c r="H164" i="19"/>
  <c r="M164" i="19"/>
  <c r="H43" i="18"/>
  <c r="M43" i="18"/>
  <c r="H52" i="18"/>
  <c r="M52" i="18"/>
  <c r="H12" i="18"/>
  <c r="M12" i="18"/>
  <c r="H30" i="18"/>
  <c r="M30" i="18"/>
  <c r="H58" i="18"/>
  <c r="M58" i="18"/>
  <c r="H74" i="18"/>
  <c r="M74" i="18"/>
  <c r="H61" i="18"/>
  <c r="M61" i="18"/>
  <c r="H68" i="18"/>
  <c r="M68" i="18"/>
  <c r="H21" i="18"/>
  <c r="M21" i="18"/>
  <c r="H37" i="18"/>
  <c r="M37" i="18"/>
  <c r="H73" i="18"/>
  <c r="M73" i="18"/>
  <c r="H11" i="18"/>
  <c r="M11" i="18"/>
  <c r="H24" i="18"/>
  <c r="M24" i="18"/>
  <c r="H238" i="19"/>
  <c r="M238" i="19"/>
  <c r="H274" i="19"/>
  <c r="M274" i="19"/>
  <c r="H175" i="19"/>
  <c r="M175" i="19"/>
  <c r="H239" i="19"/>
  <c r="M239" i="19"/>
  <c r="H275" i="19"/>
  <c r="M275" i="19"/>
  <c r="H311" i="19"/>
  <c r="M311" i="19"/>
  <c r="H276" i="19"/>
  <c r="M276" i="19"/>
  <c r="H138" i="19"/>
  <c r="M138" i="19"/>
  <c r="H310" i="19"/>
  <c r="M310" i="19"/>
  <c r="H153" i="19"/>
  <c r="M153" i="19"/>
  <c r="H160" i="19"/>
  <c r="M160" i="19"/>
  <c r="H166" i="19"/>
  <c r="M166" i="19"/>
  <c r="H173" i="19"/>
  <c r="M173" i="19"/>
  <c r="H313" i="19"/>
  <c r="M313" i="19"/>
  <c r="H189" i="19"/>
  <c r="M189" i="19"/>
  <c r="H196" i="19"/>
  <c r="M196" i="19"/>
  <c r="H203" i="19"/>
  <c r="M203" i="19"/>
  <c r="H210" i="19"/>
  <c r="M210" i="19"/>
  <c r="H223" i="19"/>
  <c r="M223" i="19"/>
  <c r="H231" i="19"/>
  <c r="M231" i="19"/>
  <c r="H236" i="19"/>
  <c r="M236" i="19"/>
  <c r="H244" i="19"/>
  <c r="M244" i="19"/>
  <c r="H251" i="19"/>
  <c r="M251" i="19"/>
  <c r="H258" i="19"/>
  <c r="M258" i="19"/>
  <c r="H265" i="19"/>
  <c r="M265" i="19"/>
  <c r="H284" i="19"/>
  <c r="M284" i="19"/>
  <c r="H299" i="19"/>
  <c r="M299" i="19"/>
  <c r="H305" i="19"/>
  <c r="M305" i="19"/>
  <c r="H135" i="19"/>
  <c r="M135" i="19"/>
  <c r="H143" i="19"/>
  <c r="M143" i="19"/>
  <c r="H150" i="19"/>
  <c r="M150" i="19"/>
  <c r="H157" i="19"/>
  <c r="M157" i="19"/>
  <c r="H174" i="19"/>
  <c r="M174" i="19"/>
  <c r="H180" i="19"/>
  <c r="M180" i="19"/>
  <c r="H190" i="19"/>
  <c r="M190" i="19"/>
  <c r="H197" i="19"/>
  <c r="M197" i="19"/>
  <c r="H204" i="19"/>
  <c r="M204" i="19"/>
  <c r="H211" i="19"/>
  <c r="M211" i="19"/>
  <c r="H219" i="19"/>
  <c r="M219" i="19"/>
  <c r="H228" i="19"/>
  <c r="M228" i="19"/>
  <c r="H234" i="19"/>
  <c r="M234" i="19"/>
  <c r="H245" i="19"/>
  <c r="M245" i="19"/>
  <c r="H252" i="19"/>
  <c r="M252" i="19"/>
  <c r="H266" i="19"/>
  <c r="M266" i="19"/>
  <c r="H273" i="19"/>
  <c r="M273" i="19"/>
  <c r="H319" i="19"/>
  <c r="M319" i="19"/>
  <c r="H289" i="19"/>
  <c r="M289" i="19"/>
  <c r="H300" i="19"/>
  <c r="M300" i="19"/>
  <c r="H306" i="19"/>
  <c r="M306" i="19"/>
  <c r="H136" i="19"/>
  <c r="M136" i="19"/>
  <c r="H151" i="19"/>
  <c r="M151" i="19"/>
  <c r="H171" i="19"/>
  <c r="M171" i="19"/>
  <c r="H177" i="19"/>
  <c r="M177" i="19"/>
  <c r="H183" i="19"/>
  <c r="M183" i="19"/>
  <c r="H191" i="19"/>
  <c r="M191" i="19"/>
  <c r="H315" i="19"/>
  <c r="M315" i="19"/>
  <c r="H205" i="19"/>
  <c r="M205" i="19"/>
  <c r="H214" i="19"/>
  <c r="M214" i="19"/>
  <c r="H225" i="19"/>
  <c r="M225" i="19"/>
  <c r="H246" i="19"/>
  <c r="M246" i="19"/>
  <c r="H253" i="19"/>
  <c r="M253" i="19"/>
  <c r="H259" i="19"/>
  <c r="M259" i="19"/>
  <c r="H279" i="19"/>
  <c r="M279" i="19"/>
  <c r="H286" i="19"/>
  <c r="M286" i="19"/>
  <c r="H293" i="19"/>
  <c r="M293" i="19"/>
  <c r="H320" i="19"/>
  <c r="M320" i="19"/>
  <c r="H323" i="19"/>
  <c r="M323" i="19"/>
  <c r="H137" i="19"/>
  <c r="M137" i="19"/>
  <c r="H148" i="19"/>
  <c r="M148" i="19"/>
  <c r="H156" i="19"/>
  <c r="M156" i="19"/>
  <c r="H168" i="19"/>
  <c r="M168" i="19"/>
  <c r="H178" i="19"/>
  <c r="M178" i="19"/>
  <c r="H184" i="19"/>
  <c r="M184" i="19"/>
  <c r="H195" i="19"/>
  <c r="M195" i="19"/>
  <c r="H202" i="19"/>
  <c r="M202" i="19"/>
  <c r="H209" i="19"/>
  <c r="M209" i="19"/>
  <c r="H215" i="19"/>
  <c r="M215" i="19"/>
  <c r="H221" i="19"/>
  <c r="M221" i="19"/>
  <c r="H230" i="19"/>
  <c r="M230" i="19"/>
  <c r="H247" i="19"/>
  <c r="M247" i="19"/>
  <c r="H254" i="19"/>
  <c r="M254" i="19"/>
  <c r="H260" i="19"/>
  <c r="M260" i="19"/>
  <c r="H271" i="19"/>
  <c r="M271" i="19"/>
  <c r="H283" i="19"/>
  <c r="M283" i="19"/>
  <c r="H298" i="19"/>
  <c r="M298" i="19"/>
  <c r="H324" i="19"/>
  <c r="M324" i="19"/>
  <c r="U61" i="21"/>
  <c r="U114" i="21"/>
  <c r="U247" i="21"/>
  <c r="U294" i="21"/>
  <c r="U9" i="21"/>
  <c r="U78" i="21"/>
  <c r="U115" i="21"/>
  <c r="U220" i="21"/>
  <c r="U291" i="21"/>
  <c r="U42" i="21"/>
  <c r="U87" i="21"/>
  <c r="U116" i="21"/>
  <c r="U174" i="21"/>
  <c r="U213" i="21"/>
  <c r="U222" i="21"/>
  <c r="U239" i="21"/>
  <c r="U283" i="21"/>
  <c r="U307" i="21"/>
  <c r="U14" i="21"/>
  <c r="U43" i="21"/>
  <c r="U71" i="21"/>
  <c r="U88" i="21"/>
  <c r="U98" i="21"/>
  <c r="U124" i="21"/>
  <c r="U162" i="21"/>
  <c r="U223" i="21"/>
  <c r="U264" i="21"/>
  <c r="U278" i="21"/>
  <c r="U293" i="21"/>
  <c r="U40" i="21"/>
  <c r="U103" i="21"/>
  <c r="U184" i="21"/>
  <c r="U219" i="21"/>
  <c r="U279" i="21"/>
  <c r="U51" i="21"/>
  <c r="U91" i="21"/>
  <c r="U137" i="21"/>
  <c r="U212" i="21"/>
  <c r="U310" i="21"/>
  <c r="U105" i="21"/>
  <c r="U143" i="21"/>
  <c r="U250" i="21"/>
  <c r="U45" i="21"/>
  <c r="U72" i="21"/>
  <c r="U99" i="21"/>
  <c r="U157" i="21"/>
  <c r="U290" i="21"/>
  <c r="U313" i="21"/>
  <c r="U4" i="21"/>
  <c r="U108" i="21"/>
  <c r="U122" i="21"/>
  <c r="U205" i="21"/>
  <c r="U216" i="21"/>
  <c r="U267" i="21"/>
  <c r="U300" i="21"/>
  <c r="U48" i="21"/>
  <c r="U80" i="21"/>
  <c r="U101" i="21"/>
  <c r="U161" i="21"/>
  <c r="U182" i="21"/>
  <c r="U217" i="21"/>
  <c r="U232" i="21"/>
  <c r="U244" i="21"/>
  <c r="U262" i="21"/>
  <c r="U277" i="21"/>
  <c r="U292" i="21"/>
  <c r="U301" i="21"/>
  <c r="U311" i="21"/>
  <c r="U6" i="21"/>
  <c r="U37" i="21"/>
  <c r="U49" i="21"/>
  <c r="U94" i="21"/>
  <c r="U106" i="21"/>
  <c r="U130" i="21"/>
  <c r="U139" i="21"/>
  <c r="U155" i="21"/>
  <c r="U194" i="21"/>
  <c r="U218" i="21"/>
  <c r="U233" i="21"/>
  <c r="U251" i="21"/>
  <c r="U269" i="21"/>
  <c r="U284" i="21"/>
  <c r="U298" i="21"/>
  <c r="U312" i="21"/>
  <c r="U15" i="21"/>
  <c r="U95" i="21"/>
  <c r="U136" i="21"/>
  <c r="U199" i="21"/>
  <c r="U237" i="21"/>
  <c r="U20" i="21"/>
  <c r="U67" i="21"/>
  <c r="U104" i="21"/>
  <c r="U160" i="21"/>
  <c r="U196" i="21"/>
  <c r="U238" i="21"/>
  <c r="U271" i="21"/>
  <c r="U23" i="21"/>
  <c r="U97" i="21"/>
  <c r="U129" i="21"/>
  <c r="U268" i="21"/>
  <c r="U8" i="21"/>
  <c r="U33" i="21"/>
  <c r="U89" i="21"/>
  <c r="U107" i="21"/>
  <c r="U133" i="21"/>
  <c r="U204" i="21"/>
  <c r="U299" i="21"/>
  <c r="U86" i="21"/>
  <c r="U100" i="21"/>
  <c r="U134" i="21"/>
  <c r="U227" i="21"/>
  <c r="U282" i="21"/>
  <c r="U5" i="21"/>
  <c r="U70" i="21"/>
  <c r="K1" i="6"/>
  <c r="S35" i="21"/>
  <c r="S141" i="21"/>
  <c r="S136" i="21"/>
  <c r="S290" i="21"/>
  <c r="S296" i="21"/>
  <c r="S43" i="21"/>
  <c r="S26" i="21"/>
  <c r="S305" i="21"/>
  <c r="S238" i="21"/>
  <c r="S304" i="21"/>
  <c r="S115" i="21"/>
  <c r="S237" i="21"/>
  <c r="R96" i="21"/>
  <c r="R141" i="21"/>
  <c r="R46" i="21"/>
  <c r="R305" i="21"/>
  <c r="L241" i="17"/>
  <c r="L272" i="17"/>
  <c r="L153" i="17"/>
  <c r="L221" i="17"/>
  <c r="L187" i="17"/>
  <c r="L237" i="17"/>
  <c r="L258" i="17"/>
  <c r="L323" i="17"/>
  <c r="L248" i="17"/>
  <c r="L228" i="17"/>
  <c r="L172" i="17"/>
  <c r="L264" i="17"/>
  <c r="H36" i="18"/>
  <c r="H51" i="18"/>
  <c r="H76" i="18"/>
  <c r="H241" i="19"/>
  <c r="H303" i="19"/>
  <c r="H216" i="19"/>
  <c r="H296" i="19"/>
  <c r="H302" i="19"/>
  <c r="J104" i="17"/>
  <c r="L104" i="17" s="1"/>
  <c r="I20" i="13"/>
  <c r="I33" i="13"/>
  <c r="I86" i="13"/>
  <c r="I116" i="13"/>
  <c r="I169" i="13"/>
  <c r="I205" i="13"/>
  <c r="I255" i="13"/>
  <c r="I318" i="13"/>
  <c r="I66" i="13"/>
  <c r="I104" i="13"/>
  <c r="I138" i="13"/>
  <c r="I202" i="13"/>
  <c r="I250" i="13"/>
  <c r="I274" i="13"/>
  <c r="I304" i="13"/>
  <c r="I11" i="13"/>
  <c r="I48" i="13"/>
  <c r="I91" i="13"/>
  <c r="I120" i="13"/>
  <c r="I143" i="13"/>
  <c r="I192" i="13"/>
  <c r="I247" i="13"/>
  <c r="I280" i="13"/>
  <c r="I301" i="13"/>
  <c r="I19" i="13"/>
  <c r="I44" i="13"/>
  <c r="I85" i="13"/>
  <c r="I128" i="13"/>
  <c r="I168" i="13"/>
  <c r="I204" i="13"/>
  <c r="I241" i="13"/>
  <c r="I277" i="13"/>
  <c r="I307" i="13"/>
  <c r="I222" i="13"/>
  <c r="I303" i="13"/>
  <c r="I256" i="13"/>
  <c r="I309" i="13"/>
  <c r="I319" i="13"/>
  <c r="I29" i="13"/>
  <c r="I262" i="13"/>
  <c r="I181" i="13"/>
  <c r="I231" i="13"/>
  <c r="I45" i="13"/>
  <c r="I99" i="13"/>
  <c r="I141" i="13"/>
  <c r="I190" i="13"/>
  <c r="I227" i="13"/>
  <c r="I265" i="13"/>
  <c r="I278" i="13"/>
  <c r="I28" i="13"/>
  <c r="I52" i="13"/>
  <c r="I94" i="13"/>
  <c r="I112" i="13"/>
  <c r="I164" i="13"/>
  <c r="I212" i="13"/>
  <c r="I261" i="13"/>
  <c r="I314" i="13"/>
  <c r="I63" i="13"/>
  <c r="I101" i="13"/>
  <c r="I131" i="13"/>
  <c r="I178" i="13"/>
  <c r="I220" i="13"/>
  <c r="I257" i="13"/>
  <c r="I320" i="13"/>
  <c r="I56" i="13"/>
  <c r="I98" i="13"/>
  <c r="I106" i="13"/>
  <c r="I149" i="13"/>
  <c r="I214" i="13"/>
  <c r="I253" i="13"/>
  <c r="I264" i="13"/>
  <c r="I16" i="13"/>
  <c r="I26" i="13"/>
  <c r="I39" i="13"/>
  <c r="I51" i="13"/>
  <c r="I65" i="13"/>
  <c r="I80" i="13"/>
  <c r="I93" i="13"/>
  <c r="I103" i="13"/>
  <c r="I111" i="13"/>
  <c r="I122" i="13"/>
  <c r="I135" i="13"/>
  <c r="I145" i="13"/>
  <c r="I162" i="13"/>
  <c r="I182" i="13"/>
  <c r="I201" i="13"/>
  <c r="I210" i="13"/>
  <c r="I232" i="13"/>
  <c r="I249" i="13"/>
  <c r="I260" i="13"/>
  <c r="I273" i="13"/>
  <c r="I287" i="13"/>
  <c r="I313" i="13"/>
  <c r="I322" i="13"/>
  <c r="I10" i="13"/>
  <c r="I21" i="13"/>
  <c r="I35" i="13"/>
  <c r="I47" i="13"/>
  <c r="I61" i="13"/>
  <c r="I77" i="13"/>
  <c r="I90" i="13"/>
  <c r="I100" i="13"/>
  <c r="I108" i="13"/>
  <c r="I119" i="13"/>
  <c r="I130" i="13"/>
  <c r="I142" i="13"/>
  <c r="I156" i="13"/>
  <c r="I170" i="13"/>
  <c r="I191" i="13"/>
  <c r="I206" i="13"/>
  <c r="I216" i="13"/>
  <c r="I228" i="13"/>
  <c r="I246" i="13"/>
  <c r="I266" i="13"/>
  <c r="I279" i="13"/>
  <c r="I299" i="13"/>
  <c r="I6" i="13"/>
  <c r="I18" i="13"/>
  <c r="I43" i="13"/>
  <c r="I53" i="13"/>
  <c r="I72" i="13"/>
  <c r="I83" i="13"/>
  <c r="I96" i="13"/>
  <c r="I105" i="13"/>
  <c r="I113" i="13"/>
  <c r="I127" i="13"/>
  <c r="I139" i="13"/>
  <c r="I148" i="13"/>
  <c r="I167" i="13"/>
  <c r="I185" i="13"/>
  <c r="I203" i="13"/>
  <c r="I213" i="13"/>
  <c r="I225" i="13"/>
  <c r="I236" i="13"/>
  <c r="I252" i="13"/>
  <c r="I276" i="13"/>
  <c r="I291" i="13"/>
  <c r="I306" i="13"/>
  <c r="I315" i="13"/>
  <c r="I324" i="13"/>
  <c r="I14" i="13"/>
  <c r="I25" i="13"/>
  <c r="I37" i="13"/>
  <c r="I50" i="13"/>
  <c r="I64" i="13"/>
  <c r="I79" i="13"/>
  <c r="I92" i="13"/>
  <c r="I102" i="13"/>
  <c r="I110" i="13"/>
  <c r="I121" i="13"/>
  <c r="I134" i="13"/>
  <c r="I144" i="13"/>
  <c r="I161" i="13"/>
  <c r="I200" i="13"/>
  <c r="I209" i="13"/>
  <c r="I221" i="13"/>
  <c r="I248" i="13"/>
  <c r="I259" i="13"/>
  <c r="I271" i="13"/>
  <c r="I286" i="13"/>
  <c r="I302" i="13"/>
  <c r="I311" i="13"/>
  <c r="I321" i="13"/>
  <c r="I8" i="13"/>
  <c r="I60" i="13"/>
  <c r="I76" i="13"/>
  <c r="I107" i="13"/>
  <c r="I150" i="13"/>
  <c r="I5" i="13"/>
  <c r="I242" i="13"/>
  <c r="I293" i="13"/>
  <c r="I17" i="13"/>
  <c r="I42" i="13"/>
  <c r="I82" i="13"/>
  <c r="I124" i="13"/>
  <c r="I183" i="13"/>
  <c r="I224" i="13"/>
  <c r="I288" i="13"/>
  <c r="I323" i="13"/>
  <c r="I22" i="13"/>
  <c r="I78" i="13"/>
  <c r="I109" i="13"/>
  <c r="I160" i="13"/>
  <c r="I207" i="13"/>
  <c r="I229" i="13"/>
  <c r="I270" i="13"/>
  <c r="I310" i="13"/>
  <c r="I7" i="13"/>
  <c r="I32" i="13"/>
  <c r="I75" i="13"/>
  <c r="I115" i="13"/>
  <c r="I140" i="13"/>
  <c r="I189" i="13"/>
  <c r="I226" i="13"/>
  <c r="I292" i="13"/>
  <c r="I317" i="13"/>
  <c r="I129" i="13"/>
  <c r="I308" i="13"/>
  <c r="I147" i="13"/>
  <c r="I233" i="13"/>
  <c r="I36" i="13"/>
  <c r="G200" i="14"/>
  <c r="G20" i="14"/>
  <c r="G182" i="14"/>
  <c r="I182" i="14" s="1"/>
  <c r="G95" i="14"/>
  <c r="G294" i="14"/>
  <c r="G314" i="14"/>
  <c r="G304" i="14"/>
  <c r="G291" i="14"/>
  <c r="G279" i="14"/>
  <c r="G265" i="14"/>
  <c r="G250" i="14"/>
  <c r="G236" i="14"/>
  <c r="G226" i="14"/>
  <c r="G218" i="14"/>
  <c r="G207" i="14"/>
  <c r="G194" i="14"/>
  <c r="G184" i="14"/>
  <c r="G167" i="14"/>
  <c r="G147" i="14"/>
  <c r="G128" i="14"/>
  <c r="G119" i="14"/>
  <c r="G96" i="14"/>
  <c r="I96" i="14" s="1"/>
  <c r="G79" i="14"/>
  <c r="G68" i="14"/>
  <c r="I68" i="14" s="1"/>
  <c r="G55" i="14"/>
  <c r="I55" i="14" s="1"/>
  <c r="G41" i="14"/>
  <c r="G15" i="14"/>
  <c r="G6" i="14"/>
  <c r="G320" i="14"/>
  <c r="I320" i="14" s="1"/>
  <c r="G309" i="14"/>
  <c r="G295" i="14"/>
  <c r="G283" i="14"/>
  <c r="I283" i="14" s="1"/>
  <c r="G269" i="14"/>
  <c r="G253" i="14"/>
  <c r="G239" i="14"/>
  <c r="G229" i="14"/>
  <c r="G221" i="14"/>
  <c r="G210" i="14"/>
  <c r="G199" i="14"/>
  <c r="G187" i="14"/>
  <c r="I187" i="14" s="1"/>
  <c r="G173" i="14"/>
  <c r="G159" i="14"/>
  <c r="G138" i="14"/>
  <c r="G123" i="14"/>
  <c r="G112" i="14"/>
  <c r="G100" i="14"/>
  <c r="G82" i="14"/>
  <c r="I82" i="14" s="1"/>
  <c r="G62" i="14"/>
  <c r="G49" i="14"/>
  <c r="G29" i="14"/>
  <c r="I29" i="14" s="1"/>
  <c r="G324" i="14"/>
  <c r="G312" i="14"/>
  <c r="G287" i="14"/>
  <c r="G277" i="14"/>
  <c r="G258" i="14"/>
  <c r="I258" i="14" s="1"/>
  <c r="G247" i="14"/>
  <c r="I247" i="14" s="1"/>
  <c r="G233" i="14"/>
  <c r="I233" i="14" s="1"/>
  <c r="G224" i="14"/>
  <c r="G216" i="14"/>
  <c r="G202" i="14"/>
  <c r="G190" i="14"/>
  <c r="G181" i="14"/>
  <c r="G162" i="14"/>
  <c r="I162" i="14" s="1"/>
  <c r="G144" i="14"/>
  <c r="G126" i="14"/>
  <c r="G116" i="14"/>
  <c r="G103" i="14"/>
  <c r="I103" i="14" s="1"/>
  <c r="G92" i="14"/>
  <c r="G76" i="14"/>
  <c r="G52" i="14"/>
  <c r="G37" i="14"/>
  <c r="I37" i="14" s="1"/>
  <c r="G22" i="14"/>
  <c r="I22" i="14" s="1"/>
  <c r="G13" i="14"/>
  <c r="I13" i="14" s="1"/>
  <c r="G4" i="14"/>
  <c r="G316" i="14"/>
  <c r="G305" i="14"/>
  <c r="I305" i="14" s="1"/>
  <c r="G293" i="14"/>
  <c r="G280" i="14"/>
  <c r="G266" i="14"/>
  <c r="G251" i="14"/>
  <c r="G237" i="14"/>
  <c r="I237" i="14" s="1"/>
  <c r="G227" i="14"/>
  <c r="I227" i="14" s="1"/>
  <c r="G219" i="14"/>
  <c r="G208" i="14"/>
  <c r="G195" i="14"/>
  <c r="G185" i="14"/>
  <c r="G168" i="14"/>
  <c r="G129" i="14"/>
  <c r="G120" i="14"/>
  <c r="I120" i="14" s="1"/>
  <c r="G107" i="14"/>
  <c r="I107" i="14" s="1"/>
  <c r="G80" i="14"/>
  <c r="I80" i="14" s="1"/>
  <c r="G69" i="14"/>
  <c r="I69" i="14" s="1"/>
  <c r="G57" i="14"/>
  <c r="I57" i="14" s="1"/>
  <c r="G42" i="14"/>
  <c r="G26" i="14"/>
  <c r="G17" i="14"/>
  <c r="G7" i="14"/>
  <c r="G106" i="14"/>
  <c r="G25" i="14"/>
  <c r="I25" i="14" s="1"/>
  <c r="G72" i="14"/>
  <c r="I72" i="14" s="1"/>
  <c r="G19" i="14"/>
  <c r="G9" i="14"/>
  <c r="G301" i="14"/>
  <c r="G66" i="14"/>
  <c r="G148" i="14"/>
  <c r="I148" i="14" s="1"/>
  <c r="G97" i="14"/>
  <c r="G322" i="14"/>
  <c r="I322" i="14" s="1"/>
  <c r="G310" i="14"/>
  <c r="I310" i="14" s="1"/>
  <c r="G297" i="14"/>
  <c r="G285" i="14"/>
  <c r="G270" i="14"/>
  <c r="G254" i="14"/>
  <c r="G244" i="14"/>
  <c r="G230" i="14"/>
  <c r="I230" i="14" s="1"/>
  <c r="G222" i="14"/>
  <c r="G213" i="14"/>
  <c r="G188" i="14"/>
  <c r="G179" i="14"/>
  <c r="G160" i="14"/>
  <c r="G139" i="14"/>
  <c r="G124" i="14"/>
  <c r="I124" i="14" s="1"/>
  <c r="G113" i="14"/>
  <c r="G101" i="14"/>
  <c r="I101" i="14" s="1"/>
  <c r="G86" i="14"/>
  <c r="I86" i="14" s="1"/>
  <c r="G73" i="14"/>
  <c r="G63" i="14"/>
  <c r="I63" i="14" s="1"/>
  <c r="G50" i="14"/>
  <c r="I50" i="14" s="1"/>
  <c r="G35" i="14"/>
  <c r="G10" i="14"/>
  <c r="G313" i="14"/>
  <c r="G302" i="14"/>
  <c r="G288" i="14"/>
  <c r="I288" i="14" s="1"/>
  <c r="G278" i="14"/>
  <c r="G264" i="14"/>
  <c r="G248" i="14"/>
  <c r="I248" i="14" s="1"/>
  <c r="G235" i="14"/>
  <c r="G225" i="14"/>
  <c r="G217" i="14"/>
  <c r="G205" i="14"/>
  <c r="G191" i="14"/>
  <c r="G165" i="14"/>
  <c r="I165" i="14" s="1"/>
  <c r="G146" i="14"/>
  <c r="G127" i="14"/>
  <c r="G117" i="14"/>
  <c r="I117" i="14" s="1"/>
  <c r="G104" i="14"/>
  <c r="G78" i="14"/>
  <c r="G67" i="14"/>
  <c r="G54" i="14"/>
  <c r="G40" i="14"/>
  <c r="G24" i="14"/>
  <c r="I24" i="14" s="1"/>
  <c r="G14" i="14"/>
  <c r="I14" i="14" s="1"/>
  <c r="G5" i="14"/>
  <c r="G319" i="14"/>
  <c r="G308" i="14"/>
  <c r="G282" i="14"/>
  <c r="G267" i="14"/>
  <c r="G252" i="14"/>
  <c r="G238" i="14"/>
  <c r="G228" i="14"/>
  <c r="G220" i="14"/>
  <c r="G209" i="14"/>
  <c r="I209" i="14" s="1"/>
  <c r="G198" i="14"/>
  <c r="G186" i="14"/>
  <c r="I186" i="14" s="1"/>
  <c r="G169" i="14"/>
  <c r="G151" i="14"/>
  <c r="G137" i="14"/>
  <c r="G122" i="14"/>
  <c r="I122" i="14" s="1"/>
  <c r="G108" i="14"/>
  <c r="I108" i="14" s="1"/>
  <c r="G99" i="14"/>
  <c r="G81" i="14"/>
  <c r="I81" i="14" s="1"/>
  <c r="G71" i="14"/>
  <c r="G58" i="14"/>
  <c r="G48" i="14"/>
  <c r="G27" i="14"/>
  <c r="G18" i="14"/>
  <c r="G8" i="14"/>
  <c r="G323" i="14"/>
  <c r="I323" i="14" s="1"/>
  <c r="G311" i="14"/>
  <c r="I311" i="14" s="1"/>
  <c r="G298" i="14"/>
  <c r="G286" i="14"/>
  <c r="I286" i="14" s="1"/>
  <c r="G274" i="14"/>
  <c r="G255" i="14"/>
  <c r="G245" i="14"/>
  <c r="G231" i="14"/>
  <c r="G223" i="14"/>
  <c r="G214" i="14"/>
  <c r="G201" i="14"/>
  <c r="G189" i="14"/>
  <c r="I189" i="14" s="1"/>
  <c r="G180" i="14"/>
  <c r="G161" i="14"/>
  <c r="G140" i="14"/>
  <c r="G125" i="14"/>
  <c r="G115" i="14"/>
  <c r="G102" i="14"/>
  <c r="I102" i="14" s="1"/>
  <c r="G87" i="14"/>
  <c r="I87" i="14" s="1"/>
  <c r="G75" i="14"/>
  <c r="G64" i="14"/>
  <c r="I64" i="14" s="1"/>
  <c r="G51" i="14"/>
  <c r="I51" i="14" s="1"/>
  <c r="G36" i="14"/>
  <c r="G21" i="14"/>
  <c r="G11" i="14"/>
  <c r="I11" i="14" s="1"/>
  <c r="H34" i="18"/>
  <c r="J164" i="6"/>
  <c r="J156" i="6"/>
  <c r="J162" i="6"/>
  <c r="J160" i="6"/>
  <c r="J166" i="6"/>
  <c r="J158" i="6"/>
  <c r="J163" i="6"/>
  <c r="J159" i="6"/>
  <c r="J155" i="6"/>
  <c r="J165" i="6"/>
  <c r="J161" i="6"/>
  <c r="J157" i="6"/>
  <c r="J67" i="6"/>
  <c r="J177" i="6"/>
  <c r="J79" i="6"/>
  <c r="J181" i="6"/>
  <c r="J173" i="6"/>
  <c r="J75" i="6"/>
  <c r="J141" i="6"/>
  <c r="J153" i="6"/>
  <c r="J71" i="6"/>
  <c r="J169" i="6"/>
  <c r="J145" i="6"/>
  <c r="J180" i="6"/>
  <c r="J176" i="6"/>
  <c r="J172" i="6"/>
  <c r="J168" i="6"/>
  <c r="J152" i="6"/>
  <c r="J148" i="6"/>
  <c r="J144" i="6"/>
  <c r="J140" i="6"/>
  <c r="J78" i="6"/>
  <c r="J74" i="6"/>
  <c r="J70" i="6"/>
  <c r="J66" i="6"/>
  <c r="J149" i="6"/>
  <c r="J179" i="6"/>
  <c r="J175" i="6"/>
  <c r="J171" i="6"/>
  <c r="J167" i="6"/>
  <c r="J151" i="6"/>
  <c r="J147" i="6"/>
  <c r="J143" i="6"/>
  <c r="J139" i="6"/>
  <c r="J77" i="6"/>
  <c r="J73" i="6"/>
  <c r="J69" i="6"/>
  <c r="J65" i="6"/>
  <c r="J182" i="6"/>
  <c r="J178" i="6"/>
  <c r="J174" i="6"/>
  <c r="J170" i="6"/>
  <c r="J154" i="6"/>
  <c r="J150" i="6"/>
  <c r="J146" i="6"/>
  <c r="J142" i="6"/>
  <c r="J80" i="6"/>
  <c r="J76" i="6"/>
  <c r="J72" i="6"/>
  <c r="J68" i="6"/>
  <c r="S174" i="21" l="1"/>
  <c r="S291" i="21"/>
  <c r="S59" i="21"/>
  <c r="S78" i="21"/>
  <c r="S219" i="21"/>
  <c r="S303" i="21"/>
  <c r="S199" i="21"/>
  <c r="S15" i="21"/>
  <c r="S220" i="21"/>
  <c r="S265" i="21"/>
  <c r="S50" i="21"/>
  <c r="S125" i="21"/>
  <c r="S12" i="21"/>
  <c r="R35" i="21"/>
  <c r="R256" i="21"/>
  <c r="S126" i="21"/>
  <c r="S196" i="21"/>
  <c r="S42" i="21"/>
  <c r="S163" i="21"/>
  <c r="S294" i="21"/>
  <c r="S20" i="21"/>
  <c r="S247" i="21"/>
  <c r="R240" i="21"/>
  <c r="S67" i="21"/>
  <c r="S96" i="21"/>
  <c r="S184" i="21"/>
  <c r="S111" i="21"/>
  <c r="S250" i="21"/>
  <c r="S283" i="21"/>
  <c r="S183" i="21"/>
  <c r="R12" i="21"/>
  <c r="R257" i="21"/>
  <c r="S255" i="21"/>
  <c r="S56" i="21"/>
  <c r="R77" i="21"/>
  <c r="S293" i="21"/>
  <c r="S264" i="21"/>
  <c r="S252" i="21"/>
  <c r="S18" i="21"/>
  <c r="S88" i="21"/>
  <c r="S240" i="21"/>
  <c r="S23" i="21"/>
  <c r="S95" i="21"/>
  <c r="S34" i="21"/>
  <c r="S212" i="21"/>
  <c r="R18" i="21"/>
  <c r="S307" i="21"/>
  <c r="S17" i="21"/>
  <c r="S55" i="21"/>
  <c r="R304" i="21"/>
  <c r="R255" i="21"/>
  <c r="R198" i="21"/>
  <c r="S261" i="21"/>
  <c r="S178" i="21"/>
  <c r="S46" i="21"/>
  <c r="S114" i="21"/>
  <c r="S222" i="21"/>
  <c r="S116" i="21"/>
  <c r="S9" i="21"/>
  <c r="S279" i="21"/>
  <c r="S137" i="21"/>
  <c r="S61" i="21"/>
  <c r="S91" i="21"/>
  <c r="S97" i="21"/>
  <c r="R296" i="21"/>
  <c r="R252" i="21"/>
  <c r="S144" i="21"/>
  <c r="S31" i="21"/>
  <c r="R17" i="21"/>
  <c r="S89" i="21"/>
  <c r="S19" i="21"/>
  <c r="S198" i="21"/>
  <c r="S241" i="21"/>
  <c r="S185" i="21"/>
  <c r="R201" i="21"/>
  <c r="R150" i="21"/>
  <c r="R197" i="21"/>
  <c r="R75" i="21"/>
  <c r="S85" i="21"/>
  <c r="S102" i="21"/>
  <c r="S51" i="21"/>
  <c r="S278" i="21"/>
  <c r="S248" i="21"/>
  <c r="S77" i="21"/>
  <c r="S142" i="21"/>
  <c r="S14" i="21"/>
  <c r="S202" i="21"/>
  <c r="S105" i="21"/>
  <c r="S87" i="21"/>
  <c r="S104" i="21"/>
  <c r="S129" i="21"/>
  <c r="S256" i="21"/>
  <c r="S271" i="21"/>
  <c r="S310" i="21"/>
  <c r="S268" i="21"/>
  <c r="R265" i="21"/>
  <c r="S239" i="21"/>
  <c r="S162" i="21"/>
  <c r="R142" i="21"/>
  <c r="R303" i="21"/>
  <c r="R102" i="21"/>
  <c r="S72" i="21"/>
  <c r="S201" i="21"/>
  <c r="S71" i="21"/>
  <c r="S135" i="21"/>
  <c r="S45" i="21"/>
  <c r="S98" i="21"/>
  <c r="S103" i="21"/>
  <c r="S33" i="21"/>
  <c r="S297" i="21"/>
  <c r="S246" i="21"/>
  <c r="S160" i="21"/>
  <c r="S193" i="21"/>
  <c r="S134" i="21"/>
  <c r="S243" i="21"/>
  <c r="S24" i="21"/>
  <c r="S122" i="21"/>
  <c r="S269" i="21"/>
  <c r="S108" i="21"/>
  <c r="S5" i="21"/>
  <c r="S313" i="21"/>
  <c r="S107" i="21"/>
  <c r="S133" i="21"/>
  <c r="S8" i="21"/>
  <c r="S41" i="21"/>
  <c r="S216" i="21"/>
  <c r="S155" i="21"/>
  <c r="S197" i="21"/>
  <c r="S171" i="21"/>
  <c r="S110" i="21"/>
  <c r="S4" i="21"/>
  <c r="S93" i="21"/>
  <c r="S138" i="21"/>
  <c r="S232" i="21"/>
  <c r="S292" i="21"/>
  <c r="S257" i="21"/>
  <c r="S176" i="21"/>
  <c r="S30" i="21"/>
  <c r="S16" i="21"/>
  <c r="S251" i="21"/>
  <c r="S139" i="21"/>
  <c r="S117" i="21"/>
  <c r="S314" i="21"/>
  <c r="S270" i="21"/>
  <c r="S262" i="21"/>
  <c r="S6" i="21"/>
  <c r="S208" i="21"/>
  <c r="S100" i="21"/>
  <c r="S282" i="21"/>
  <c r="S224" i="21"/>
  <c r="S157" i="21"/>
  <c r="S312" i="21"/>
  <c r="S130" i="21"/>
  <c r="S60" i="21"/>
  <c r="S300" i="21"/>
  <c r="S94" i="21"/>
  <c r="S70" i="21"/>
  <c r="S233" i="21"/>
  <c r="S99" i="21"/>
  <c r="S204" i="21"/>
  <c r="S154" i="21"/>
  <c r="S123" i="21"/>
  <c r="S161" i="21"/>
  <c r="S119" i="21"/>
  <c r="S37" i="21"/>
  <c r="S218" i="21"/>
  <c r="S101" i="21"/>
  <c r="S175" i="21"/>
  <c r="S75" i="21"/>
  <c r="S277" i="21"/>
  <c r="S308" i="21"/>
  <c r="S195" i="21"/>
  <c r="S106" i="21"/>
  <c r="S205" i="21"/>
  <c r="S298" i="21"/>
  <c r="S217" i="21"/>
  <c r="S206" i="21"/>
  <c r="S215" i="21"/>
  <c r="S299" i="21"/>
  <c r="S73" i="21"/>
  <c r="S80" i="21"/>
  <c r="S311" i="21"/>
  <c r="S301" i="21"/>
  <c r="S267" i="21"/>
  <c r="S27" i="21"/>
  <c r="S86" i="21"/>
  <c r="S253" i="21"/>
  <c r="U176" i="21"/>
  <c r="U215" i="21"/>
  <c r="U309" i="21"/>
  <c r="U135" i="21"/>
  <c r="U195" i="21"/>
  <c r="U56" i="21"/>
  <c r="U206" i="21"/>
  <c r="U27" i="21"/>
  <c r="U85" i="21"/>
  <c r="U144" i="21"/>
  <c r="U163" i="21"/>
  <c r="U224" i="21"/>
  <c r="K260" i="13"/>
  <c r="K304" i="13"/>
  <c r="K205" i="13"/>
  <c r="K317" i="13"/>
  <c r="K7" i="13"/>
  <c r="K242" i="13"/>
  <c r="K248" i="13"/>
  <c r="K92" i="13"/>
  <c r="K291" i="13"/>
  <c r="K83" i="13"/>
  <c r="K142" i="13"/>
  <c r="K10" i="13"/>
  <c r="K212" i="13"/>
  <c r="K227" i="13"/>
  <c r="K303" i="13"/>
  <c r="K247" i="13"/>
  <c r="K120" i="13"/>
  <c r="K20" i="13"/>
  <c r="K42" i="13"/>
  <c r="K259" i="13"/>
  <c r="K102" i="13"/>
  <c r="K143" i="13"/>
  <c r="K140" i="13"/>
  <c r="K221" i="13"/>
  <c r="K25" i="13"/>
  <c r="K167" i="13"/>
  <c r="K72" i="13"/>
  <c r="K264" i="13"/>
  <c r="K220" i="13"/>
  <c r="K314" i="13"/>
  <c r="K164" i="13"/>
  <c r="K99" i="13"/>
  <c r="K277" i="13"/>
  <c r="K147" i="13"/>
  <c r="K226" i="13"/>
  <c r="K207" i="13"/>
  <c r="K306" i="13"/>
  <c r="K96" i="13"/>
  <c r="K246" i="13"/>
  <c r="K47" i="13"/>
  <c r="K265" i="13"/>
  <c r="K256" i="13"/>
  <c r="K19" i="13"/>
  <c r="K82" i="13"/>
  <c r="K8" i="13"/>
  <c r="K271" i="13"/>
  <c r="K209" i="13"/>
  <c r="K315" i="13"/>
  <c r="K225" i="13"/>
  <c r="K299" i="13"/>
  <c r="K273" i="13"/>
  <c r="K232" i="13"/>
  <c r="K278" i="13"/>
  <c r="K181" i="13"/>
  <c r="K241" i="13"/>
  <c r="K44" i="13"/>
  <c r="B229" i="7"/>
  <c r="C229" i="7"/>
  <c r="D229" i="7"/>
  <c r="E229" i="7"/>
  <c r="F229" i="7"/>
  <c r="G229" i="7"/>
  <c r="D161" i="7"/>
  <c r="C161" i="7"/>
  <c r="B161" i="7"/>
  <c r="E161" i="7"/>
  <c r="F161" i="7"/>
  <c r="G161" i="7"/>
  <c r="C156" i="21" l="1"/>
  <c r="T229" i="7"/>
  <c r="C221" i="21"/>
  <c r="T161" i="7"/>
  <c r="I232" i="17"/>
  <c r="J232" i="17" s="1"/>
  <c r="H163" i="13"/>
  <c r="G156" i="21"/>
  <c r="H156" i="21" s="1"/>
  <c r="H230" i="13"/>
  <c r="G221" i="21"/>
  <c r="H221" i="21" s="1"/>
  <c r="T264" i="21"/>
  <c r="V264" i="21" s="1"/>
  <c r="T6" i="21"/>
  <c r="V6" i="21" s="1"/>
  <c r="T237" i="21"/>
  <c r="V237" i="21" s="1"/>
  <c r="T174" i="21"/>
  <c r="V174" i="21" s="1"/>
  <c r="T290" i="21"/>
  <c r="V290" i="21" s="1"/>
  <c r="T262" i="21"/>
  <c r="V262" i="21" s="1"/>
  <c r="T247" i="21"/>
  <c r="V247" i="21" s="1"/>
  <c r="T45" i="21"/>
  <c r="V45" i="21" s="1"/>
  <c r="T141" i="21"/>
  <c r="V141" i="21" s="1"/>
  <c r="T94" i="21"/>
  <c r="V94" i="21" s="1"/>
  <c r="T160" i="21"/>
  <c r="V160" i="21" s="1"/>
  <c r="T137" i="21"/>
  <c r="V137" i="21" s="1"/>
  <c r="T18" i="21"/>
  <c r="V18" i="21" s="1"/>
  <c r="T218" i="21"/>
  <c r="V218" i="21" s="1"/>
  <c r="T78" i="21"/>
  <c r="V78" i="21" s="1"/>
  <c r="T87" i="21"/>
  <c r="V87" i="21" s="1"/>
  <c r="T307" i="21"/>
  <c r="V307" i="21" s="1"/>
  <c r="T294" i="21"/>
  <c r="V294" i="21" s="1"/>
  <c r="T269" i="21"/>
  <c r="V269" i="21" s="1"/>
  <c r="T201" i="21"/>
  <c r="V201" i="21" s="1"/>
  <c r="T256" i="21"/>
  <c r="V256" i="21" s="1"/>
  <c r="T42" i="21"/>
  <c r="V42" i="21" s="1"/>
  <c r="T223" i="21"/>
  <c r="V223" i="21" s="1"/>
  <c r="T305" i="21"/>
  <c r="V305" i="21" s="1"/>
  <c r="T77" i="21"/>
  <c r="V77" i="21" s="1"/>
  <c r="T91" i="21"/>
  <c r="V91" i="21" s="1"/>
  <c r="T304" i="21"/>
  <c r="V304" i="21" s="1"/>
  <c r="T255" i="21"/>
  <c r="V255" i="21" s="1"/>
  <c r="T213" i="21"/>
  <c r="V213" i="21" s="1"/>
  <c r="T250" i="21"/>
  <c r="V250" i="21" s="1"/>
  <c r="T238" i="21"/>
  <c r="V238" i="21" s="1"/>
  <c r="T8" i="21"/>
  <c r="V8" i="21" s="1"/>
  <c r="T233" i="21"/>
  <c r="V233" i="21" s="1"/>
  <c r="T232" i="21"/>
  <c r="V232" i="21" s="1"/>
  <c r="T216" i="21"/>
  <c r="V216" i="21" s="1"/>
  <c r="T17" i="21"/>
  <c r="V17" i="21" s="1"/>
  <c r="T296" i="21"/>
  <c r="V296" i="21" s="1"/>
  <c r="T217" i="21"/>
  <c r="V217" i="21" s="1"/>
  <c r="T268" i="21"/>
  <c r="V268" i="21" s="1"/>
  <c r="T157" i="21"/>
  <c r="V157" i="21" s="1"/>
  <c r="T212" i="21"/>
  <c r="V212" i="21" s="1"/>
  <c r="T67" i="21"/>
  <c r="V67" i="21" s="1"/>
  <c r="T23" i="21"/>
  <c r="V23" i="21" s="1"/>
  <c r="T97" i="21"/>
  <c r="V97" i="21" s="1"/>
  <c r="T40" i="21"/>
  <c r="V40" i="21" s="1"/>
  <c r="T115" i="21"/>
  <c r="V115" i="21" s="1"/>
  <c r="T293" i="21"/>
  <c r="V293" i="21" s="1"/>
  <c r="T204" i="21"/>
  <c r="V204" i="21" s="1"/>
  <c r="T136" i="21"/>
  <c r="V136" i="21" s="1"/>
  <c r="T282" i="21"/>
  <c r="V282" i="21" s="1"/>
  <c r="T239" i="21"/>
  <c r="V239" i="21" s="1"/>
  <c r="T198" i="21"/>
  <c r="V198" i="21" s="1"/>
  <c r="T251" i="21"/>
  <c r="V251" i="21" s="1"/>
  <c r="T5" i="21"/>
  <c r="V5" i="21" s="1"/>
  <c r="G257" i="19"/>
  <c r="I270" i="17"/>
  <c r="J270" i="17" s="1"/>
  <c r="L270" i="17" s="1"/>
  <c r="B222" i="19"/>
  <c r="B232" i="17"/>
  <c r="B257" i="19"/>
  <c r="B270" i="17"/>
  <c r="F253" i="5"/>
  <c r="G222" i="19"/>
  <c r="M222" i="19" s="1"/>
  <c r="F166" i="14"/>
  <c r="F98" i="14"/>
  <c r="B166" i="14"/>
  <c r="B163" i="13"/>
  <c r="A138" i="6"/>
  <c r="B98" i="14"/>
  <c r="B230" i="13"/>
  <c r="A81" i="6"/>
  <c r="A253" i="5"/>
  <c r="A109" i="6"/>
  <c r="A37" i="6"/>
  <c r="A110" i="6"/>
  <c r="S156" i="21" l="1"/>
  <c r="H257" i="19"/>
  <c r="M257" i="19"/>
  <c r="U221" i="21"/>
  <c r="H222" i="19"/>
  <c r="I230" i="13"/>
  <c r="I163" i="13"/>
  <c r="G98" i="14"/>
  <c r="G166" i="14"/>
  <c r="J81" i="6"/>
  <c r="J109" i="6"/>
  <c r="S221" i="21" l="1"/>
  <c r="J138" i="6"/>
  <c r="J110" i="6"/>
  <c r="D6" i="7" l="1"/>
  <c r="D9" i="7"/>
  <c r="D10" i="7"/>
  <c r="D12" i="7"/>
  <c r="D20" i="7"/>
  <c r="D21" i="7"/>
  <c r="D24" i="7"/>
  <c r="D27" i="7"/>
  <c r="D28" i="7"/>
  <c r="D31" i="7"/>
  <c r="D35" i="7"/>
  <c r="D37" i="7"/>
  <c r="D38" i="7"/>
  <c r="D43" i="7"/>
  <c r="D46" i="7"/>
  <c r="D51" i="7"/>
  <c r="D52" i="7"/>
  <c r="D54" i="7"/>
  <c r="D55" i="7"/>
  <c r="D56" i="7"/>
  <c r="D59" i="7"/>
  <c r="D64" i="7"/>
  <c r="D65" i="7"/>
  <c r="D66" i="7"/>
  <c r="D67" i="7"/>
  <c r="D68" i="7"/>
  <c r="D70" i="7"/>
  <c r="D71" i="7"/>
  <c r="D78" i="7"/>
  <c r="D81" i="7"/>
  <c r="D84" i="7"/>
  <c r="D85" i="7"/>
  <c r="D86" i="7"/>
  <c r="D87" i="7"/>
  <c r="D93" i="7"/>
  <c r="D95" i="7"/>
  <c r="D112" i="7"/>
  <c r="D115" i="7"/>
  <c r="D116" i="7"/>
  <c r="D121" i="7"/>
  <c r="D123" i="7"/>
  <c r="D124" i="7"/>
  <c r="D130" i="7"/>
  <c r="D131" i="7"/>
  <c r="D134" i="7"/>
  <c r="D135" i="7"/>
  <c r="D144" i="7"/>
  <c r="D149" i="7"/>
  <c r="D150" i="7"/>
  <c r="D151" i="7"/>
  <c r="D152" i="7"/>
  <c r="D153" i="7"/>
  <c r="D155" i="7"/>
  <c r="D156" i="7"/>
  <c r="D157" i="7"/>
  <c r="D163" i="7"/>
  <c r="D164" i="7"/>
  <c r="D169" i="7"/>
  <c r="D170" i="7"/>
  <c r="D171" i="7"/>
  <c r="D172" i="7"/>
  <c r="D173" i="7"/>
  <c r="D174" i="7"/>
  <c r="D175" i="7"/>
  <c r="D177" i="7"/>
  <c r="D178" i="7"/>
  <c r="D182" i="7"/>
  <c r="D184" i="7"/>
  <c r="D185" i="7"/>
  <c r="D186" i="7"/>
  <c r="D191" i="7"/>
  <c r="D192" i="7"/>
  <c r="D193" i="7"/>
  <c r="D194" i="7"/>
  <c r="D195" i="7"/>
  <c r="D196" i="7"/>
  <c r="D197" i="7"/>
  <c r="D206" i="7"/>
  <c r="D209" i="7"/>
  <c r="D213" i="7"/>
  <c r="D216" i="7"/>
  <c r="D217" i="7"/>
  <c r="D218" i="7"/>
  <c r="D222" i="7"/>
  <c r="D233" i="7"/>
  <c r="D234" i="7"/>
  <c r="D236" i="7"/>
  <c r="D237" i="7"/>
  <c r="D238" i="7"/>
  <c r="D239" i="7"/>
  <c r="D242" i="7"/>
  <c r="D243" i="7"/>
  <c r="D244" i="7"/>
  <c r="D250" i="7"/>
  <c r="D253" i="7"/>
  <c r="D257" i="7"/>
  <c r="D262" i="7"/>
  <c r="D266" i="7"/>
  <c r="D267" i="7"/>
  <c r="D268" i="7"/>
  <c r="D271" i="7"/>
  <c r="D274" i="7"/>
  <c r="D280" i="7"/>
  <c r="D281" i="7"/>
  <c r="D282" i="7"/>
  <c r="D283" i="7"/>
  <c r="D284" i="7"/>
  <c r="D288" i="7"/>
  <c r="D289" i="7"/>
  <c r="D293" i="7"/>
  <c r="D294" i="7"/>
  <c r="D295" i="7"/>
  <c r="D296" i="7"/>
  <c r="D297" i="7"/>
  <c r="D299" i="7"/>
  <c r="H300" i="13" s="1"/>
  <c r="D304" i="7"/>
  <c r="D311" i="7"/>
  <c r="D315" i="7"/>
  <c r="F1" i="11"/>
  <c r="G9" i="19" l="1"/>
  <c r="H9" i="19" s="1"/>
  <c r="H282" i="13"/>
  <c r="G273" i="21"/>
  <c r="H273" i="21" s="1"/>
  <c r="G45" i="19"/>
  <c r="H45" i="19" s="1"/>
  <c r="H269" i="13"/>
  <c r="G260" i="21"/>
  <c r="H260" i="21" s="1"/>
  <c r="H258" i="13"/>
  <c r="G249" i="21"/>
  <c r="H249" i="21" s="1"/>
  <c r="H244" i="13"/>
  <c r="G235" i="21"/>
  <c r="H235" i="21" s="1"/>
  <c r="G42" i="19"/>
  <c r="H42" i="19" s="1"/>
  <c r="H238" i="13"/>
  <c r="G229" i="21"/>
  <c r="H229" i="21" s="1"/>
  <c r="G214" i="21"/>
  <c r="H214" i="21" s="1"/>
  <c r="H223" i="13"/>
  <c r="H215" i="13"/>
  <c r="G207" i="21"/>
  <c r="H207" i="21" s="1"/>
  <c r="H198" i="13"/>
  <c r="G191" i="21"/>
  <c r="H191" i="21" s="1"/>
  <c r="H194" i="13"/>
  <c r="G187" i="21"/>
  <c r="H187" i="21" s="1"/>
  <c r="H186" i="13"/>
  <c r="G179" i="21"/>
  <c r="H179" i="21" s="1"/>
  <c r="G170" i="21"/>
  <c r="H170" i="21" s="1"/>
  <c r="H177" i="13"/>
  <c r="G95" i="19"/>
  <c r="M95" i="19" s="1"/>
  <c r="H173" i="13"/>
  <c r="G166" i="21"/>
  <c r="H166" i="21" s="1"/>
  <c r="G158" i="21"/>
  <c r="H158" i="21" s="1"/>
  <c r="H165" i="13"/>
  <c r="G125" i="19"/>
  <c r="M125" i="19" s="1"/>
  <c r="H155" i="13"/>
  <c r="G149" i="21"/>
  <c r="H149" i="21" s="1"/>
  <c r="G39" i="19"/>
  <c r="H39" i="19" s="1"/>
  <c r="H151" i="13"/>
  <c r="G145" i="21"/>
  <c r="H145" i="21" s="1"/>
  <c r="H133" i="13"/>
  <c r="G128" i="21"/>
  <c r="H128" i="21" s="1"/>
  <c r="G91" i="19"/>
  <c r="M91" i="19" s="1"/>
  <c r="G118" i="21"/>
  <c r="H118" i="21" s="1"/>
  <c r="H123" i="13"/>
  <c r="H97" i="13"/>
  <c r="G92" i="21"/>
  <c r="H92" i="21" s="1"/>
  <c r="G82" i="21"/>
  <c r="H82" i="21" s="1"/>
  <c r="H87" i="13"/>
  <c r="G89" i="19"/>
  <c r="M89" i="19" s="1"/>
  <c r="H74" i="13"/>
  <c r="G69" i="21"/>
  <c r="H69" i="21" s="1"/>
  <c r="G37" i="19"/>
  <c r="H37" i="19" s="1"/>
  <c r="H69" i="13"/>
  <c r="G64" i="21"/>
  <c r="H64" i="21" s="1"/>
  <c r="G65" i="19"/>
  <c r="M65" i="19" s="1"/>
  <c r="S54" i="21" s="1"/>
  <c r="G54" i="21"/>
  <c r="H54" i="21" s="1"/>
  <c r="H59" i="13"/>
  <c r="G32" i="19"/>
  <c r="H32" i="19" s="1"/>
  <c r="G52" i="21"/>
  <c r="H52" i="21" s="1"/>
  <c r="H54" i="13"/>
  <c r="G54" i="19"/>
  <c r="M54" i="19" s="1"/>
  <c r="G38" i="21"/>
  <c r="H38" i="21" s="1"/>
  <c r="H40" i="13"/>
  <c r="G84" i="19"/>
  <c r="M84" i="19" s="1"/>
  <c r="S28" i="21" s="1"/>
  <c r="G28" i="21"/>
  <c r="H28" i="21" s="1"/>
  <c r="H30" i="13"/>
  <c r="G64" i="19"/>
  <c r="M64" i="19" s="1"/>
  <c r="H15" i="13"/>
  <c r="G13" i="21"/>
  <c r="H13" i="21" s="1"/>
  <c r="H305" i="13"/>
  <c r="G295" i="21"/>
  <c r="H295" i="21" s="1"/>
  <c r="H285" i="13"/>
  <c r="G276" i="21"/>
  <c r="H276" i="21" s="1"/>
  <c r="G46" i="19"/>
  <c r="H46" i="19" s="1"/>
  <c r="G272" i="21"/>
  <c r="H272" i="21" s="1"/>
  <c r="H281" i="13"/>
  <c r="I294" i="17"/>
  <c r="J294" i="17" s="1"/>
  <c r="L294" i="17" s="1"/>
  <c r="H268" i="13"/>
  <c r="G259" i="21"/>
  <c r="H259" i="21" s="1"/>
  <c r="G44" i="19"/>
  <c r="H44" i="19" s="1"/>
  <c r="H254" i="13"/>
  <c r="G245" i="21"/>
  <c r="H245" i="21" s="1"/>
  <c r="G234" i="21"/>
  <c r="H234" i="21" s="1"/>
  <c r="H243" i="13"/>
  <c r="G228" i="21"/>
  <c r="H228" i="21" s="1"/>
  <c r="H237" i="13"/>
  <c r="H219" i="13"/>
  <c r="G211" i="21"/>
  <c r="H211" i="21" s="1"/>
  <c r="G203" i="21"/>
  <c r="H203" i="21" s="1"/>
  <c r="H211" i="13"/>
  <c r="G190" i="21"/>
  <c r="H190" i="21" s="1"/>
  <c r="H197" i="13"/>
  <c r="G186" i="21"/>
  <c r="H186" i="21" s="1"/>
  <c r="H193" i="13"/>
  <c r="H184" i="13"/>
  <c r="G177" i="21"/>
  <c r="H177" i="21" s="1"/>
  <c r="H176" i="13"/>
  <c r="G169" i="21"/>
  <c r="H169" i="21" s="1"/>
  <c r="G94" i="19"/>
  <c r="M94" i="19" s="1"/>
  <c r="H172" i="13"/>
  <c r="G165" i="21"/>
  <c r="H165" i="21" s="1"/>
  <c r="G31" i="19"/>
  <c r="H31" i="19" s="1"/>
  <c r="H159" i="13"/>
  <c r="G153" i="21"/>
  <c r="H153" i="21" s="1"/>
  <c r="H154" i="13"/>
  <c r="G148" i="21"/>
  <c r="H148" i="21" s="1"/>
  <c r="G93" i="19"/>
  <c r="M93" i="19" s="1"/>
  <c r="H146" i="13"/>
  <c r="G140" i="21"/>
  <c r="H140" i="21" s="1"/>
  <c r="G127" i="21"/>
  <c r="H127" i="21" s="1"/>
  <c r="H132" i="13"/>
  <c r="H118" i="13"/>
  <c r="G113" i="21"/>
  <c r="H113" i="21" s="1"/>
  <c r="G90" i="21"/>
  <c r="H90" i="21" s="1"/>
  <c r="H95" i="13"/>
  <c r="H4" i="13"/>
  <c r="G81" i="21"/>
  <c r="H81" i="21" s="1"/>
  <c r="G68" i="21"/>
  <c r="H68" i="21" s="1"/>
  <c r="H73" i="13"/>
  <c r="G87" i="19"/>
  <c r="M87" i="19" s="1"/>
  <c r="S63" i="21" s="1"/>
  <c r="H68" i="13"/>
  <c r="G63" i="21"/>
  <c r="H63" i="21" s="1"/>
  <c r="H58" i="13"/>
  <c r="G53" i="21"/>
  <c r="H53" i="21" s="1"/>
  <c r="G47" i="21"/>
  <c r="H47" i="21" s="1"/>
  <c r="H49" i="13"/>
  <c r="H38" i="13"/>
  <c r="G36" i="21"/>
  <c r="H36" i="21" s="1"/>
  <c r="H27" i="13"/>
  <c r="G25" i="21"/>
  <c r="H25" i="21" s="1"/>
  <c r="H13" i="13"/>
  <c r="G11" i="21"/>
  <c r="H11" i="21" s="1"/>
  <c r="H296" i="13"/>
  <c r="G287" i="21"/>
  <c r="H287" i="21" s="1"/>
  <c r="H289" i="13"/>
  <c r="G280" i="21"/>
  <c r="H280" i="21" s="1"/>
  <c r="G102" i="19"/>
  <c r="M102" i="19" s="1"/>
  <c r="G286" i="21"/>
  <c r="H286" i="21" s="1"/>
  <c r="H295" i="13"/>
  <c r="G306" i="21"/>
  <c r="H306" i="21" s="1"/>
  <c r="H316" i="13"/>
  <c r="H298" i="13"/>
  <c r="G289" i="21"/>
  <c r="H289" i="21" s="1"/>
  <c r="G71" i="19"/>
  <c r="M71" i="19" s="1"/>
  <c r="H294" i="13"/>
  <c r="G285" i="21"/>
  <c r="H285" i="21" s="1"/>
  <c r="G275" i="21"/>
  <c r="H275" i="21" s="1"/>
  <c r="H284" i="13"/>
  <c r="G100" i="19"/>
  <c r="M100" i="19" s="1"/>
  <c r="H275" i="13"/>
  <c r="G266" i="21"/>
  <c r="H266" i="21" s="1"/>
  <c r="I293" i="17"/>
  <c r="J293" i="17" s="1"/>
  <c r="L293" i="17" s="1"/>
  <c r="G258" i="21"/>
  <c r="H258" i="21" s="1"/>
  <c r="H267" i="13"/>
  <c r="G99" i="19"/>
  <c r="M99" i="19" s="1"/>
  <c r="G242" i="21"/>
  <c r="H242" i="21" s="1"/>
  <c r="H251" i="13"/>
  <c r="G43" i="19"/>
  <c r="H43" i="19" s="1"/>
  <c r="H240" i="13"/>
  <c r="G231" i="21"/>
  <c r="H231" i="21" s="1"/>
  <c r="G70" i="19"/>
  <c r="M70" i="19" s="1"/>
  <c r="G226" i="21"/>
  <c r="H226" i="21" s="1"/>
  <c r="H235" i="13"/>
  <c r="G210" i="21"/>
  <c r="H210" i="21" s="1"/>
  <c r="H218" i="13"/>
  <c r="H208" i="13"/>
  <c r="G200" i="21"/>
  <c r="H200" i="21" s="1"/>
  <c r="H196" i="13"/>
  <c r="G189" i="21"/>
  <c r="H189" i="21" s="1"/>
  <c r="H188" i="13"/>
  <c r="G181" i="21"/>
  <c r="H181" i="21" s="1"/>
  <c r="H180" i="13"/>
  <c r="G173" i="21"/>
  <c r="H173" i="21" s="1"/>
  <c r="H175" i="13"/>
  <c r="G168" i="21"/>
  <c r="H168" i="21" s="1"/>
  <c r="G68" i="19"/>
  <c r="M68" i="19" s="1"/>
  <c r="S164" i="21" s="1"/>
  <c r="G164" i="21"/>
  <c r="H164" i="21" s="1"/>
  <c r="H171" i="13"/>
  <c r="G7" i="19"/>
  <c r="H7" i="19" s="1"/>
  <c r="H158" i="13"/>
  <c r="G152" i="21"/>
  <c r="H152" i="21" s="1"/>
  <c r="G147" i="21"/>
  <c r="H147" i="21" s="1"/>
  <c r="H153" i="13"/>
  <c r="H137" i="13"/>
  <c r="G132" i="21"/>
  <c r="H132" i="21" s="1"/>
  <c r="H126" i="13"/>
  <c r="G121" i="21"/>
  <c r="H121" i="21" s="1"/>
  <c r="H117" i="13"/>
  <c r="G112" i="21"/>
  <c r="H112" i="21" s="1"/>
  <c r="H89" i="13"/>
  <c r="G84" i="21"/>
  <c r="H84" i="21" s="1"/>
  <c r="H84" i="13"/>
  <c r="G79" i="21"/>
  <c r="H79" i="21" s="1"/>
  <c r="G88" i="19"/>
  <c r="M88" i="19" s="1"/>
  <c r="G66" i="21"/>
  <c r="H66" i="21" s="1"/>
  <c r="H71" i="13"/>
  <c r="G62" i="21"/>
  <c r="H62" i="21" s="1"/>
  <c r="H67" i="13"/>
  <c r="G308" i="19"/>
  <c r="M308" i="19" s="1"/>
  <c r="H57" i="13"/>
  <c r="G86" i="19"/>
  <c r="M86" i="19" s="1"/>
  <c r="H46" i="13"/>
  <c r="G44" i="21"/>
  <c r="H44" i="21" s="1"/>
  <c r="G85" i="19"/>
  <c r="M85" i="19" s="1"/>
  <c r="H34" i="13"/>
  <c r="G32" i="21"/>
  <c r="H32" i="21" s="1"/>
  <c r="G83" i="19"/>
  <c r="M83" i="19" s="1"/>
  <c r="G22" i="21"/>
  <c r="H22" i="21" s="1"/>
  <c r="H24" i="13"/>
  <c r="G81" i="19"/>
  <c r="M81" i="19" s="1"/>
  <c r="H12" i="13"/>
  <c r="G10" i="21"/>
  <c r="H10" i="21" s="1"/>
  <c r="G302" i="21"/>
  <c r="H302" i="21" s="1"/>
  <c r="H312" i="13"/>
  <c r="G103" i="19"/>
  <c r="M103" i="19" s="1"/>
  <c r="H297" i="13"/>
  <c r="G288" i="21"/>
  <c r="H288" i="21" s="1"/>
  <c r="H290" i="13"/>
  <c r="G281" i="21"/>
  <c r="H281" i="21" s="1"/>
  <c r="G101" i="19"/>
  <c r="M101" i="19" s="1"/>
  <c r="G274" i="21"/>
  <c r="H274" i="21" s="1"/>
  <c r="H283" i="13"/>
  <c r="H272" i="13"/>
  <c r="G263" i="21"/>
  <c r="H263" i="21" s="1"/>
  <c r="G254" i="21"/>
  <c r="H254" i="21" s="1"/>
  <c r="H263" i="13"/>
  <c r="H245" i="13"/>
  <c r="G236" i="21"/>
  <c r="H236" i="21" s="1"/>
  <c r="G98" i="19"/>
  <c r="M98" i="19" s="1"/>
  <c r="G230" i="21"/>
  <c r="H230" i="21" s="1"/>
  <c r="H239" i="13"/>
  <c r="G97" i="19"/>
  <c r="M97" i="19" s="1"/>
  <c r="S225" i="21" s="1"/>
  <c r="H234" i="13"/>
  <c r="G225" i="21"/>
  <c r="H225" i="21" s="1"/>
  <c r="H217" i="13"/>
  <c r="G209" i="21"/>
  <c r="H209" i="21" s="1"/>
  <c r="H199" i="13"/>
  <c r="G192" i="21"/>
  <c r="H192" i="21" s="1"/>
  <c r="H195" i="13"/>
  <c r="G188" i="21"/>
  <c r="H188" i="21" s="1"/>
  <c r="G8" i="19"/>
  <c r="H8" i="19" s="1"/>
  <c r="H187" i="13"/>
  <c r="G180" i="21"/>
  <c r="H180" i="21" s="1"/>
  <c r="G35" i="19"/>
  <c r="H35" i="19" s="1"/>
  <c r="H179" i="13"/>
  <c r="G172" i="21"/>
  <c r="H172" i="21" s="1"/>
  <c r="G69" i="19"/>
  <c r="M69" i="19" s="1"/>
  <c r="G167" i="21"/>
  <c r="H167" i="21" s="1"/>
  <c r="H174" i="13"/>
  <c r="G159" i="21"/>
  <c r="H159" i="21" s="1"/>
  <c r="H166" i="13"/>
  <c r="G34" i="19"/>
  <c r="H34" i="19" s="1"/>
  <c r="H157" i="13"/>
  <c r="G151" i="21"/>
  <c r="H151" i="21" s="1"/>
  <c r="G146" i="21"/>
  <c r="H146" i="21" s="1"/>
  <c r="H152" i="13"/>
  <c r="G67" i="19"/>
  <c r="M67" i="19" s="1"/>
  <c r="G131" i="21"/>
  <c r="H131" i="21" s="1"/>
  <c r="H136" i="13"/>
  <c r="H125" i="13"/>
  <c r="G120" i="21"/>
  <c r="H120" i="21" s="1"/>
  <c r="G90" i="19"/>
  <c r="M90" i="19" s="1"/>
  <c r="S109" i="21" s="1"/>
  <c r="H114" i="13"/>
  <c r="G109" i="21"/>
  <c r="H109" i="21" s="1"/>
  <c r="H88" i="13"/>
  <c r="G83" i="21"/>
  <c r="H83" i="21" s="1"/>
  <c r="H81" i="13"/>
  <c r="G76" i="21"/>
  <c r="H76" i="21" s="1"/>
  <c r="G38" i="19"/>
  <c r="H38" i="19" s="1"/>
  <c r="H70" i="13"/>
  <c r="G65" i="21"/>
  <c r="H65" i="21" s="1"/>
  <c r="H62" i="13"/>
  <c r="G57" i="21"/>
  <c r="H57" i="21" s="1"/>
  <c r="G307" i="19"/>
  <c r="M307" i="19" s="1"/>
  <c r="H55" i="13"/>
  <c r="G60" i="19"/>
  <c r="M60" i="19" s="1"/>
  <c r="H41" i="13"/>
  <c r="G39" i="21"/>
  <c r="H39" i="21" s="1"/>
  <c r="G6" i="19"/>
  <c r="H6" i="19" s="1"/>
  <c r="H31" i="13"/>
  <c r="G29" i="21"/>
  <c r="H29" i="21" s="1"/>
  <c r="G82" i="19"/>
  <c r="M82" i="19" s="1"/>
  <c r="H23" i="13"/>
  <c r="G21" i="21"/>
  <c r="H21" i="21" s="1"/>
  <c r="H9" i="13"/>
  <c r="G7" i="21"/>
  <c r="H7" i="21" s="1"/>
  <c r="S118" i="21"/>
  <c r="S286" i="21"/>
  <c r="S165" i="21"/>
  <c r="S140" i="21"/>
  <c r="S266" i="21"/>
  <c r="S242" i="21"/>
  <c r="S226" i="21"/>
  <c r="S66" i="21"/>
  <c r="S274" i="21"/>
  <c r="S230" i="21"/>
  <c r="S131" i="21"/>
  <c r="U259" i="21"/>
  <c r="I119" i="17"/>
  <c r="J119" i="17" s="1"/>
  <c r="G55" i="19"/>
  <c r="M55" i="19" s="1"/>
  <c r="I66" i="17"/>
  <c r="J66" i="17" s="1"/>
  <c r="G108" i="19"/>
  <c r="M108" i="19" s="1"/>
  <c r="I32" i="17"/>
  <c r="J32" i="17" s="1"/>
  <c r="L32" i="17" s="1"/>
  <c r="G121" i="19"/>
  <c r="M121" i="19" s="1"/>
  <c r="I28" i="17"/>
  <c r="J28" i="17" s="1"/>
  <c r="G119" i="19"/>
  <c r="M119" i="19" s="1"/>
  <c r="H308" i="19"/>
  <c r="I79" i="17"/>
  <c r="J79" i="17" s="1"/>
  <c r="L79" i="17" s="1"/>
  <c r="G12" i="19"/>
  <c r="H12" i="19" s="1"/>
  <c r="I76" i="17"/>
  <c r="J76" i="17" s="1"/>
  <c r="L76" i="17" s="1"/>
  <c r="G113" i="19"/>
  <c r="M113" i="19" s="1"/>
  <c r="I74" i="17"/>
  <c r="J74" i="17" s="1"/>
  <c r="G58" i="19"/>
  <c r="M58" i="19" s="1"/>
  <c r="I73" i="17"/>
  <c r="J73" i="17" s="1"/>
  <c r="L73" i="17" s="1"/>
  <c r="G75" i="19"/>
  <c r="M75" i="19" s="1"/>
  <c r="H98" i="19"/>
  <c r="H97" i="19"/>
  <c r="I45" i="17"/>
  <c r="J45" i="17" s="1"/>
  <c r="L45" i="17" s="1"/>
  <c r="G129" i="19"/>
  <c r="M129" i="19" s="1"/>
  <c r="I121" i="17"/>
  <c r="J121" i="17" s="1"/>
  <c r="G41" i="19"/>
  <c r="H41" i="19" s="1"/>
  <c r="I118" i="17"/>
  <c r="J118" i="17" s="1"/>
  <c r="G36" i="19"/>
  <c r="H36" i="19" s="1"/>
  <c r="I65" i="17"/>
  <c r="J65" i="17" s="1"/>
  <c r="G51" i="19"/>
  <c r="M51" i="19" s="1"/>
  <c r="I61" i="17"/>
  <c r="J61" i="17" s="1"/>
  <c r="G73" i="19"/>
  <c r="M73" i="19" s="1"/>
  <c r="H67" i="19"/>
  <c r="I34" i="17"/>
  <c r="J34" i="17" s="1"/>
  <c r="L34" i="17" s="1"/>
  <c r="G123" i="19"/>
  <c r="M123" i="19" s="1"/>
  <c r="H90" i="19"/>
  <c r="I31" i="17"/>
  <c r="J31" i="17" s="1"/>
  <c r="L31" i="17" s="1"/>
  <c r="G62" i="19"/>
  <c r="M62" i="19" s="1"/>
  <c r="I57" i="17"/>
  <c r="J57" i="17" s="1"/>
  <c r="L57" i="17" s="1"/>
  <c r="G10" i="19"/>
  <c r="H10" i="19" s="1"/>
  <c r="I55" i="17"/>
  <c r="J55" i="17" s="1"/>
  <c r="G72" i="19"/>
  <c r="M72" i="19" s="1"/>
  <c r="H307" i="19"/>
  <c r="I54" i="17"/>
  <c r="J54" i="17" s="1"/>
  <c r="L54" i="17" s="1"/>
  <c r="G104" i="19"/>
  <c r="M104" i="19" s="1"/>
  <c r="I78" i="17"/>
  <c r="G59" i="19"/>
  <c r="M59" i="19" s="1"/>
  <c r="I51" i="17"/>
  <c r="J51" i="17" s="1"/>
  <c r="L51" i="17" s="1"/>
  <c r="G13" i="19"/>
  <c r="H13" i="19" s="1"/>
  <c r="G65" i="18"/>
  <c r="G277" i="19"/>
  <c r="M277" i="19" s="1"/>
  <c r="H70" i="19"/>
  <c r="I43" i="17"/>
  <c r="J43" i="17" s="1"/>
  <c r="L43" i="17" s="1"/>
  <c r="G78" i="19"/>
  <c r="M78" i="19" s="1"/>
  <c r="I115" i="17"/>
  <c r="G96" i="19"/>
  <c r="M96" i="19" s="1"/>
  <c r="I62" i="17"/>
  <c r="J62" i="17" s="1"/>
  <c r="G56" i="19"/>
  <c r="M56" i="19" s="1"/>
  <c r="I58" i="17"/>
  <c r="J58" i="17" s="1"/>
  <c r="G105" i="19"/>
  <c r="M105" i="19" s="1"/>
  <c r="I27" i="17"/>
  <c r="J27" i="17" s="1"/>
  <c r="G118" i="19"/>
  <c r="M118" i="19" s="1"/>
  <c r="H103" i="19"/>
  <c r="H101" i="19"/>
  <c r="I50" i="17"/>
  <c r="J50" i="17" s="1"/>
  <c r="L50" i="17" s="1"/>
  <c r="G63" i="19"/>
  <c r="M63" i="19" s="1"/>
  <c r="I137" i="17"/>
  <c r="J137" i="17" s="1"/>
  <c r="G47" i="19"/>
  <c r="H47" i="19" s="1"/>
  <c r="I77" i="17"/>
  <c r="J77" i="17" s="1"/>
  <c r="G114" i="19"/>
  <c r="M114" i="19" s="1"/>
  <c r="I75" i="17"/>
  <c r="J75" i="17" s="1"/>
  <c r="G11" i="19"/>
  <c r="H11" i="19" s="1"/>
  <c r="I49" i="17"/>
  <c r="J49" i="17" s="1"/>
  <c r="L49" i="17" s="1"/>
  <c r="G80" i="19"/>
  <c r="M80" i="19" s="1"/>
  <c r="I72" i="17"/>
  <c r="J72" i="17" s="1"/>
  <c r="G112" i="19"/>
  <c r="M112" i="19" s="1"/>
  <c r="I70" i="17"/>
  <c r="J70" i="17" s="1"/>
  <c r="G111" i="19"/>
  <c r="M111" i="19" s="1"/>
  <c r="I69" i="17"/>
  <c r="J69" i="17" s="1"/>
  <c r="G110" i="19"/>
  <c r="M110" i="19" s="1"/>
  <c r="I120" i="17"/>
  <c r="J120" i="17" s="1"/>
  <c r="L120" i="17" s="1"/>
  <c r="G48" i="19"/>
  <c r="M48" i="19" s="1"/>
  <c r="I42" i="17"/>
  <c r="J42" i="17" s="1"/>
  <c r="G77" i="19"/>
  <c r="M77" i="19" s="1"/>
  <c r="I116" i="17"/>
  <c r="J116" i="17" s="1"/>
  <c r="L116" i="17" s="1"/>
  <c r="G40" i="19"/>
  <c r="H40" i="19" s="1"/>
  <c r="I39" i="17"/>
  <c r="J39" i="17" s="1"/>
  <c r="L39" i="17" s="1"/>
  <c r="G127" i="19"/>
  <c r="M127" i="19" s="1"/>
  <c r="H95" i="19"/>
  <c r="I64" i="17"/>
  <c r="J64" i="17" s="1"/>
  <c r="L64" i="17" s="1"/>
  <c r="G107" i="19"/>
  <c r="M107" i="19" s="1"/>
  <c r="I36" i="17"/>
  <c r="J36" i="17" s="1"/>
  <c r="L36" i="17" s="1"/>
  <c r="G76" i="19"/>
  <c r="M76" i="19" s="1"/>
  <c r="H91" i="19"/>
  <c r="I59" i="17"/>
  <c r="J59" i="17" s="1"/>
  <c r="L59" i="17" s="1"/>
  <c r="G106" i="19"/>
  <c r="M106" i="19" s="1"/>
  <c r="I30" i="17"/>
  <c r="J30" i="17" s="1"/>
  <c r="G61" i="19"/>
  <c r="M61" i="19" s="1"/>
  <c r="H89" i="19"/>
  <c r="H65" i="19"/>
  <c r="H54" i="19"/>
  <c r="H84" i="19"/>
  <c r="H64" i="19"/>
  <c r="I80" i="17"/>
  <c r="J80" i="17" s="1"/>
  <c r="G115" i="19"/>
  <c r="M115" i="19" s="1"/>
  <c r="H100" i="19"/>
  <c r="H99" i="19"/>
  <c r="I46" i="17"/>
  <c r="J46" i="17" s="1"/>
  <c r="G130" i="19"/>
  <c r="M130" i="19" s="1"/>
  <c r="I67" i="17"/>
  <c r="J67" i="17" s="1"/>
  <c r="L67" i="17" s="1"/>
  <c r="G109" i="19"/>
  <c r="M109" i="19" s="1"/>
  <c r="H68" i="19"/>
  <c r="I103" i="17"/>
  <c r="J103" i="17" s="1"/>
  <c r="G92" i="19"/>
  <c r="M92" i="19" s="1"/>
  <c r="I60" i="17"/>
  <c r="J60" i="17" s="1"/>
  <c r="G50" i="19"/>
  <c r="M50" i="19" s="1"/>
  <c r="H88" i="19"/>
  <c r="I53" i="17"/>
  <c r="J53" i="17" s="1"/>
  <c r="L53" i="17" s="1"/>
  <c r="G134" i="19"/>
  <c r="M134" i="19" s="1"/>
  <c r="H102" i="19"/>
  <c r="I52" i="17"/>
  <c r="J52" i="17" s="1"/>
  <c r="G133" i="19"/>
  <c r="M133" i="19" s="1"/>
  <c r="G66" i="18"/>
  <c r="G27" i="19"/>
  <c r="H27" i="19" s="1"/>
  <c r="I48" i="17"/>
  <c r="J48" i="17" s="1"/>
  <c r="G132" i="19"/>
  <c r="M132" i="19" s="1"/>
  <c r="I71" i="17"/>
  <c r="J71" i="17" s="1"/>
  <c r="G74" i="19"/>
  <c r="M74" i="19" s="1"/>
  <c r="I47" i="17"/>
  <c r="J47" i="17" s="1"/>
  <c r="G131" i="19"/>
  <c r="M131" i="19" s="1"/>
  <c r="I44" i="17"/>
  <c r="J44" i="17" s="1"/>
  <c r="G79" i="19"/>
  <c r="M79" i="19" s="1"/>
  <c r="I68" i="17"/>
  <c r="J68" i="17" s="1"/>
  <c r="L68" i="17" s="1"/>
  <c r="G52" i="19"/>
  <c r="M52" i="19" s="1"/>
  <c r="I41" i="17"/>
  <c r="J41" i="17" s="1"/>
  <c r="G128" i="19"/>
  <c r="M128" i="19" s="1"/>
  <c r="I40" i="17"/>
  <c r="J40" i="17" s="1"/>
  <c r="L40" i="17" s="1"/>
  <c r="G5" i="19"/>
  <c r="H5" i="19" s="1"/>
  <c r="I38" i="17"/>
  <c r="J38" i="17" s="1"/>
  <c r="L38" i="17" s="1"/>
  <c r="G126" i="19"/>
  <c r="M126" i="19" s="1"/>
  <c r="H94" i="19"/>
  <c r="I63" i="17"/>
  <c r="J63" i="17" s="1"/>
  <c r="G57" i="19"/>
  <c r="M57" i="19" s="1"/>
  <c r="H93" i="19"/>
  <c r="I35" i="17"/>
  <c r="J35" i="17" s="1"/>
  <c r="L35" i="17" s="1"/>
  <c r="G124" i="19"/>
  <c r="M124" i="19" s="1"/>
  <c r="I33" i="17"/>
  <c r="J33" i="17" s="1"/>
  <c r="G122" i="19"/>
  <c r="M122" i="19" s="1"/>
  <c r="I99" i="17"/>
  <c r="J99" i="17" s="1"/>
  <c r="G66" i="19"/>
  <c r="M66" i="19" s="1"/>
  <c r="I29" i="17"/>
  <c r="J29" i="17" s="1"/>
  <c r="L29" i="17" s="1"/>
  <c r="G120" i="19"/>
  <c r="M120" i="19" s="1"/>
  <c r="I56" i="17"/>
  <c r="J56" i="17" s="1"/>
  <c r="G49" i="19"/>
  <c r="M49" i="19" s="1"/>
  <c r="H87" i="19"/>
  <c r="I92" i="17"/>
  <c r="J92" i="17" s="1"/>
  <c r="G33" i="19"/>
  <c r="H33" i="19" s="1"/>
  <c r="I26" i="17"/>
  <c r="J26" i="17" s="1"/>
  <c r="G117" i="19"/>
  <c r="M117" i="19" s="1"/>
  <c r="I23" i="17"/>
  <c r="J23" i="17" s="1"/>
  <c r="L23" i="17" s="1"/>
  <c r="G4" i="19"/>
  <c r="H4" i="19" s="1"/>
  <c r="I22" i="17"/>
  <c r="J22" i="17" s="1"/>
  <c r="L22" i="17" s="1"/>
  <c r="G53" i="19"/>
  <c r="M53" i="19" s="1"/>
  <c r="I21" i="17"/>
  <c r="J21" i="17" s="1"/>
  <c r="L21" i="17" s="1"/>
  <c r="G116" i="19"/>
  <c r="M116" i="19" s="1"/>
  <c r="J78" i="17"/>
  <c r="L78" i="17" s="1"/>
  <c r="J115" i="17"/>
  <c r="L115" i="17" s="1"/>
  <c r="F89" i="5"/>
  <c r="G71" i="18"/>
  <c r="I135" i="17"/>
  <c r="G70" i="18"/>
  <c r="I134" i="17"/>
  <c r="F268" i="5"/>
  <c r="I130" i="17"/>
  <c r="G59" i="18"/>
  <c r="I127" i="17"/>
  <c r="F17" i="5"/>
  <c r="G57" i="18"/>
  <c r="I126" i="17"/>
  <c r="J126" i="17" s="1"/>
  <c r="F78" i="5"/>
  <c r="G54" i="18"/>
  <c r="I123" i="17"/>
  <c r="G44" i="18"/>
  <c r="I110" i="17"/>
  <c r="F76" i="5"/>
  <c r="G41" i="18"/>
  <c r="I108" i="17"/>
  <c r="F241" i="5"/>
  <c r="I97" i="17"/>
  <c r="G25" i="18"/>
  <c r="M25" i="18" s="1"/>
  <c r="I91" i="17"/>
  <c r="F30" i="5"/>
  <c r="G20" i="18"/>
  <c r="I88" i="17"/>
  <c r="F238" i="5"/>
  <c r="G16" i="18"/>
  <c r="I87" i="17"/>
  <c r="G14" i="18"/>
  <c r="I84" i="17"/>
  <c r="G8" i="18"/>
  <c r="I81" i="17"/>
  <c r="J81" i="17" s="1"/>
  <c r="F39" i="5"/>
  <c r="G72" i="18"/>
  <c r="I136" i="17"/>
  <c r="J136" i="17" s="1"/>
  <c r="G6" i="18"/>
  <c r="I133" i="17"/>
  <c r="F264" i="5"/>
  <c r="G56" i="18"/>
  <c r="I125" i="17"/>
  <c r="I122" i="17"/>
  <c r="J122" i="17" s="1"/>
  <c r="G53" i="18"/>
  <c r="F23" i="5"/>
  <c r="G5" i="18"/>
  <c r="I117" i="17"/>
  <c r="I114" i="17"/>
  <c r="J114" i="17" s="1"/>
  <c r="G48" i="18"/>
  <c r="F35" i="5"/>
  <c r="G47" i="18"/>
  <c r="I113" i="17"/>
  <c r="I107" i="17"/>
  <c r="J107" i="17" s="1"/>
  <c r="G40" i="18"/>
  <c r="G33" i="18"/>
  <c r="I102" i="17"/>
  <c r="G31" i="18"/>
  <c r="I100" i="17"/>
  <c r="F8" i="5"/>
  <c r="I96" i="17"/>
  <c r="G23" i="18"/>
  <c r="I90" i="17"/>
  <c r="G19" i="18"/>
  <c r="I25" i="17"/>
  <c r="F22" i="5"/>
  <c r="G4" i="18"/>
  <c r="N4" i="18" s="1"/>
  <c r="I86" i="17"/>
  <c r="G13" i="18"/>
  <c r="I83" i="17"/>
  <c r="F163" i="5"/>
  <c r="I132" i="17"/>
  <c r="G67" i="18"/>
  <c r="I129" i="17"/>
  <c r="J129" i="17" s="1"/>
  <c r="G55" i="18"/>
  <c r="I124" i="17"/>
  <c r="J124" i="17" s="1"/>
  <c r="G46" i="18"/>
  <c r="I112" i="17"/>
  <c r="G38" i="18"/>
  <c r="I37" i="17"/>
  <c r="F9" i="5"/>
  <c r="I106" i="17"/>
  <c r="J106" i="17" s="1"/>
  <c r="F32" i="5"/>
  <c r="G32" i="18"/>
  <c r="I101" i="17"/>
  <c r="J101" i="17" s="1"/>
  <c r="F243" i="5"/>
  <c r="I98" i="17"/>
  <c r="F7" i="5"/>
  <c r="I95" i="17"/>
  <c r="F31" i="5"/>
  <c r="G26" i="18"/>
  <c r="I93" i="17"/>
  <c r="G22" i="18"/>
  <c r="I89" i="17"/>
  <c r="J89" i="17" s="1"/>
  <c r="G18" i="18"/>
  <c r="I24" i="17"/>
  <c r="J24" i="17" s="1"/>
  <c r="F29" i="5"/>
  <c r="G15" i="18"/>
  <c r="I85" i="17"/>
  <c r="J85" i="17" s="1"/>
  <c r="F28" i="5"/>
  <c r="G10" i="18"/>
  <c r="I82" i="17"/>
  <c r="F20" i="5"/>
  <c r="G69" i="18"/>
  <c r="I131" i="17"/>
  <c r="J131" i="17" s="1"/>
  <c r="F18" i="5"/>
  <c r="G60" i="18"/>
  <c r="I128" i="17"/>
  <c r="J128" i="17" s="1"/>
  <c r="F34" i="5"/>
  <c r="G45" i="18"/>
  <c r="I111" i="17"/>
  <c r="G42" i="18"/>
  <c r="I109" i="17"/>
  <c r="J109" i="17" s="1"/>
  <c r="G35" i="18"/>
  <c r="I105" i="17"/>
  <c r="F240" i="5"/>
  <c r="I94" i="17"/>
  <c r="J94" i="17" s="1"/>
  <c r="F260" i="5"/>
  <c r="G7" i="18"/>
  <c r="F84" i="5"/>
  <c r="F37" i="5"/>
  <c r="F195" i="5"/>
  <c r="R195" i="5" s="1"/>
  <c r="F258" i="5"/>
  <c r="F33" i="5"/>
  <c r="F80" i="5"/>
  <c r="F189" i="5"/>
  <c r="R189" i="5" s="1"/>
  <c r="F55" i="5"/>
  <c r="F125" i="5"/>
  <c r="F251" i="5"/>
  <c r="F208" i="5"/>
  <c r="R208" i="5" s="1"/>
  <c r="F281" i="5"/>
  <c r="R281" i="5" s="1"/>
  <c r="F229" i="5"/>
  <c r="R229" i="5" s="1"/>
  <c r="F295" i="5"/>
  <c r="R295" i="5" s="1"/>
  <c r="F248" i="5"/>
  <c r="F293" i="5"/>
  <c r="R293" i="5" s="1"/>
  <c r="F206" i="5"/>
  <c r="R206" i="5" s="1"/>
  <c r="F177" i="5"/>
  <c r="F53" i="5"/>
  <c r="F279" i="5"/>
  <c r="R279" i="5" s="1"/>
  <c r="F227" i="5"/>
  <c r="R227" i="5" s="1"/>
  <c r="F187" i="5"/>
  <c r="R187" i="5" s="1"/>
  <c r="F171" i="5"/>
  <c r="R171" i="5" s="1"/>
  <c r="F51" i="5"/>
  <c r="R51" i="5" s="1"/>
  <c r="F274" i="5"/>
  <c r="F98" i="5"/>
  <c r="F164" i="5"/>
  <c r="F27" i="5"/>
  <c r="R27" i="5" s="1"/>
  <c r="F88" i="5"/>
  <c r="F81" i="5"/>
  <c r="R81" i="5" s="1"/>
  <c r="F65" i="5"/>
  <c r="R65" i="5" s="1"/>
  <c r="F256" i="5"/>
  <c r="F192" i="5"/>
  <c r="R192" i="5" s="1"/>
  <c r="F284" i="5"/>
  <c r="R284" i="5" s="1"/>
  <c r="F211" i="5"/>
  <c r="R211" i="5" s="1"/>
  <c r="F173" i="5"/>
  <c r="F109" i="5"/>
  <c r="F72" i="5"/>
  <c r="F167" i="5"/>
  <c r="F270" i="5"/>
  <c r="F24" i="5"/>
  <c r="F38" i="5"/>
  <c r="F222" i="5"/>
  <c r="R222" i="5" s="1"/>
  <c r="F126" i="5"/>
  <c r="F135" i="5"/>
  <c r="F234" i="5"/>
  <c r="R234" i="5" s="1"/>
  <c r="F289" i="5"/>
  <c r="R289" i="5" s="1"/>
  <c r="F267" i="5"/>
  <c r="F301" i="5"/>
  <c r="R301" i="5" s="1"/>
  <c r="F199" i="5"/>
  <c r="R199" i="5" s="1"/>
  <c r="F69" i="5"/>
  <c r="F86" i="5"/>
  <c r="F67" i="5"/>
  <c r="F145" i="5"/>
  <c r="F266" i="5"/>
  <c r="F92" i="5"/>
  <c r="R92" i="5" s="1"/>
  <c r="F77" i="5"/>
  <c r="F26" i="5"/>
  <c r="R26" i="5" s="1"/>
  <c r="F36" i="5"/>
  <c r="F66" i="5"/>
  <c r="R66" i="5" s="1"/>
  <c r="F82" i="5"/>
  <c r="R82" i="5" s="1"/>
  <c r="F216" i="5"/>
  <c r="R216" i="5" s="1"/>
  <c r="F15" i="5"/>
  <c r="F215" i="5"/>
  <c r="R215" i="5" s="1"/>
  <c r="F14" i="5"/>
  <c r="F12" i="5"/>
  <c r="F298" i="5"/>
  <c r="R298" i="5" s="1"/>
  <c r="F193" i="5"/>
  <c r="R193" i="5" s="1"/>
  <c r="F212" i="5"/>
  <c r="R212" i="5" s="1"/>
  <c r="F182" i="5"/>
  <c r="F231" i="5"/>
  <c r="R231" i="5" s="1"/>
  <c r="F283" i="5"/>
  <c r="R283" i="5" s="1"/>
  <c r="F210" i="5"/>
  <c r="R210" i="5" s="1"/>
  <c r="F297" i="5"/>
  <c r="R297" i="5" s="1"/>
  <c r="F140" i="5"/>
  <c r="F255" i="5"/>
  <c r="F191" i="5"/>
  <c r="R191" i="5" s="1"/>
  <c r="F95" i="5"/>
  <c r="F75" i="5"/>
  <c r="F57" i="5"/>
  <c r="F25" i="5"/>
  <c r="R25" i="5" s="1"/>
  <c r="F91" i="5"/>
  <c r="R91" i="5" s="1"/>
  <c r="F10" i="5"/>
  <c r="F188" i="5"/>
  <c r="R188" i="5" s="1"/>
  <c r="F94" i="5"/>
  <c r="F228" i="5"/>
  <c r="R228" i="5" s="1"/>
  <c r="F294" i="5"/>
  <c r="R294" i="5" s="1"/>
  <c r="F250" i="5"/>
  <c r="F280" i="5"/>
  <c r="R280" i="5" s="1"/>
  <c r="F143" i="5"/>
  <c r="F207" i="5"/>
  <c r="R207" i="5" s="1"/>
  <c r="F52" i="5"/>
  <c r="R52" i="5" s="1"/>
  <c r="F101" i="5"/>
  <c r="R101" i="5" s="1"/>
  <c r="F48" i="5"/>
  <c r="F150" i="5"/>
  <c r="F100" i="5"/>
  <c r="F244" i="5"/>
  <c r="F46" i="5"/>
  <c r="F239" i="5"/>
  <c r="F291" i="5"/>
  <c r="R291" i="5" s="1"/>
  <c r="F202" i="5"/>
  <c r="R202" i="5" s="1"/>
  <c r="F152" i="5"/>
  <c r="F106" i="5"/>
  <c r="F275" i="5"/>
  <c r="R275" i="5" s="1"/>
  <c r="F183" i="5"/>
  <c r="R183" i="5" s="1"/>
  <c r="F225" i="5"/>
  <c r="R225" i="5" s="1"/>
  <c r="F44" i="5"/>
  <c r="F170" i="5"/>
  <c r="F111" i="5"/>
  <c r="F236" i="5"/>
  <c r="F40" i="5"/>
  <c r="F74" i="5"/>
  <c r="F273" i="5"/>
  <c r="F116" i="5"/>
  <c r="F21" i="5"/>
  <c r="F179" i="5"/>
  <c r="F201" i="5"/>
  <c r="R201" i="5" s="1"/>
  <c r="F224" i="5"/>
  <c r="R224" i="5" s="1"/>
  <c r="F123" i="5"/>
  <c r="F271" i="5"/>
  <c r="F302" i="5"/>
  <c r="R302" i="5" s="1"/>
  <c r="F235" i="5"/>
  <c r="R235" i="5" s="1"/>
  <c r="F200" i="5"/>
  <c r="R200" i="5" s="1"/>
  <c r="F122" i="5"/>
  <c r="F290" i="5"/>
  <c r="R290" i="5" s="1"/>
  <c r="F223" i="5"/>
  <c r="R223" i="5" s="1"/>
  <c r="F138" i="5"/>
  <c r="F269" i="5"/>
  <c r="F121" i="5"/>
  <c r="F166" i="5"/>
  <c r="F19" i="5"/>
  <c r="F221" i="5"/>
  <c r="R221" i="5" s="1"/>
  <c r="F85" i="5"/>
  <c r="F68" i="5"/>
  <c r="F220" i="5"/>
  <c r="R220" i="5" s="1"/>
  <c r="F148" i="5"/>
  <c r="F198" i="5"/>
  <c r="R198" i="5" s="1"/>
  <c r="F233" i="5"/>
  <c r="R233" i="5" s="1"/>
  <c r="F288" i="5"/>
  <c r="R288" i="5" s="1"/>
  <c r="F134" i="5"/>
  <c r="F265" i="5"/>
  <c r="F300" i="5"/>
  <c r="R300" i="5" s="1"/>
  <c r="F16" i="5"/>
  <c r="F219" i="5"/>
  <c r="R219" i="5" s="1"/>
  <c r="F262" i="5"/>
  <c r="F299" i="5"/>
  <c r="R299" i="5" s="1"/>
  <c r="F197" i="5"/>
  <c r="R197" i="5" s="1"/>
  <c r="F97" i="5"/>
  <c r="F232" i="5"/>
  <c r="R232" i="5" s="1"/>
  <c r="F218" i="5"/>
  <c r="R218" i="5" s="1"/>
  <c r="F115" i="5"/>
  <c r="F287" i="5"/>
  <c r="R287" i="5" s="1"/>
  <c r="F131" i="5"/>
  <c r="F196" i="5"/>
  <c r="R196" i="5" s="1"/>
  <c r="F165" i="5"/>
  <c r="F261" i="5"/>
  <c r="F217" i="5"/>
  <c r="R217" i="5" s="1"/>
  <c r="F286" i="5"/>
  <c r="R286" i="5" s="1"/>
  <c r="F156" i="5"/>
  <c r="F63" i="5"/>
  <c r="F13" i="5"/>
  <c r="F61" i="5"/>
  <c r="R61" i="5" s="1"/>
  <c r="F213" i="5"/>
  <c r="R213" i="5" s="1"/>
  <c r="F59" i="5"/>
  <c r="R59" i="5" s="1"/>
  <c r="F162" i="5"/>
  <c r="R162" i="5" s="1"/>
  <c r="F119" i="5"/>
  <c r="R119" i="5" s="1"/>
  <c r="F254" i="5"/>
  <c r="R254" i="5" s="1"/>
  <c r="F172" i="5"/>
  <c r="R172" i="5" s="1"/>
  <c r="F114" i="5"/>
  <c r="F56" i="5"/>
  <c r="F54" i="5"/>
  <c r="R54" i="5" s="1"/>
  <c r="F103" i="5"/>
  <c r="R103" i="5" s="1"/>
  <c r="F226" i="5"/>
  <c r="R226" i="5" s="1"/>
  <c r="F278" i="5"/>
  <c r="R278" i="5" s="1"/>
  <c r="F186" i="5"/>
  <c r="R186" i="5" s="1"/>
  <c r="F50" i="5"/>
  <c r="R50" i="5" s="1"/>
  <c r="F247" i="5"/>
  <c r="R247" i="5" s="1"/>
  <c r="F205" i="5"/>
  <c r="R205" i="5" s="1"/>
  <c r="F176" i="5"/>
  <c r="R176" i="5" s="1"/>
  <c r="F292" i="5"/>
  <c r="R292" i="5" s="1"/>
  <c r="F128" i="5"/>
  <c r="F149" i="5"/>
  <c r="F5" i="5"/>
  <c r="F142" i="5"/>
  <c r="F105" i="5"/>
  <c r="F169" i="5"/>
  <c r="F175" i="5"/>
  <c r="R175" i="5" s="1"/>
  <c r="F303" i="5"/>
  <c r="R303" i="5" s="1"/>
  <c r="F272" i="5"/>
  <c r="R272" i="5" s="1"/>
  <c r="F136" i="5"/>
  <c r="R136" i="5" s="1"/>
  <c r="F157" i="5"/>
  <c r="F70" i="5"/>
  <c r="F160" i="5"/>
  <c r="F132" i="5"/>
  <c r="F62" i="5"/>
  <c r="F257" i="5"/>
  <c r="F194" i="5"/>
  <c r="R194" i="5" s="1"/>
  <c r="F146" i="5"/>
  <c r="F214" i="5"/>
  <c r="R214" i="5" s="1"/>
  <c r="F285" i="5"/>
  <c r="R285" i="5" s="1"/>
  <c r="F49" i="5"/>
  <c r="F204" i="5"/>
  <c r="R204" i="5" s="1"/>
  <c r="F277" i="5"/>
  <c r="R277" i="5" s="1"/>
  <c r="F154" i="5"/>
  <c r="F245" i="5"/>
  <c r="F185" i="5"/>
  <c r="R185" i="5" s="1"/>
  <c r="F107" i="5"/>
  <c r="F79" i="5"/>
  <c r="F117" i="5"/>
  <c r="F112" i="5"/>
  <c r="F104" i="5"/>
  <c r="F237" i="5"/>
  <c r="F73" i="5"/>
  <c r="R73" i="5" s="1"/>
  <c r="F90" i="5"/>
  <c r="R90" i="5" s="1"/>
  <c r="F71" i="5"/>
  <c r="F87" i="5"/>
  <c r="F137" i="5"/>
  <c r="F110" i="5"/>
  <c r="F83" i="5"/>
  <c r="F120" i="5"/>
  <c r="F263" i="5"/>
  <c r="F133" i="5"/>
  <c r="F158" i="5"/>
  <c r="F130" i="5"/>
  <c r="F178" i="5"/>
  <c r="F64" i="5"/>
  <c r="F259" i="5"/>
  <c r="F141" i="5"/>
  <c r="F96" i="5"/>
  <c r="F147" i="5"/>
  <c r="F60" i="5"/>
  <c r="R60" i="5" s="1"/>
  <c r="F174" i="5"/>
  <c r="R174" i="5" s="1"/>
  <c r="F161" i="5"/>
  <c r="R161" i="5" s="1"/>
  <c r="F58" i="5"/>
  <c r="R58" i="5" s="1"/>
  <c r="F11" i="5"/>
  <c r="F181" i="5"/>
  <c r="F190" i="5"/>
  <c r="R190" i="5" s="1"/>
  <c r="F129" i="5"/>
  <c r="F230" i="5"/>
  <c r="R230" i="5" s="1"/>
  <c r="F296" i="5"/>
  <c r="R296" i="5" s="1"/>
  <c r="F252" i="5"/>
  <c r="F282" i="5"/>
  <c r="R282" i="5" s="1"/>
  <c r="F144" i="5"/>
  <c r="F209" i="5"/>
  <c r="R209" i="5" s="1"/>
  <c r="F249" i="5"/>
  <c r="F180" i="5"/>
  <c r="F118" i="5"/>
  <c r="R118" i="5" s="1"/>
  <c r="F102" i="5"/>
  <c r="R102" i="5" s="1"/>
  <c r="F155" i="5"/>
  <c r="F93" i="5"/>
  <c r="F108" i="5"/>
  <c r="F246" i="5"/>
  <c r="F113" i="5"/>
  <c r="F47" i="5"/>
  <c r="F153" i="5"/>
  <c r="F203" i="5"/>
  <c r="R203" i="5" s="1"/>
  <c r="F276" i="5"/>
  <c r="R276" i="5" s="1"/>
  <c r="F127" i="5"/>
  <c r="F139" i="5"/>
  <c r="F184" i="5"/>
  <c r="R184" i="5" s="1"/>
  <c r="F242" i="5"/>
  <c r="F6" i="5"/>
  <c r="F124" i="5"/>
  <c r="F159" i="5"/>
  <c r="F45" i="5"/>
  <c r="F43" i="5"/>
  <c r="R43" i="5" s="1"/>
  <c r="F151" i="5"/>
  <c r="R151" i="5" s="1"/>
  <c r="F168" i="5"/>
  <c r="R168" i="5" s="1"/>
  <c r="F42" i="5"/>
  <c r="R42" i="5" s="1"/>
  <c r="F41" i="5"/>
  <c r="F99" i="5"/>
  <c r="F28" i="14"/>
  <c r="F60" i="14"/>
  <c r="F91" i="14"/>
  <c r="F145" i="14"/>
  <c r="F175" i="14"/>
  <c r="F234" i="14"/>
  <c r="F272" i="14"/>
  <c r="F281" i="14"/>
  <c r="F12" i="14"/>
  <c r="F30" i="14"/>
  <c r="F34" i="14"/>
  <c r="F44" i="14"/>
  <c r="F53" i="14"/>
  <c r="F61" i="14"/>
  <c r="F77" i="14"/>
  <c r="F88" i="14"/>
  <c r="F93" i="14"/>
  <c r="F110" i="14"/>
  <c r="F121" i="14"/>
  <c r="F133" i="14"/>
  <c r="F141" i="14"/>
  <c r="F149" i="14"/>
  <c r="F154" i="14"/>
  <c r="F158" i="14"/>
  <c r="F171" i="14"/>
  <c r="F176" i="14"/>
  <c r="F192" i="14"/>
  <c r="F203" i="14"/>
  <c r="F212" i="14"/>
  <c r="F240" i="14"/>
  <c r="F246" i="14"/>
  <c r="F259" i="14"/>
  <c r="F263" i="14"/>
  <c r="F273" i="14"/>
  <c r="F284" i="14"/>
  <c r="F296" i="14"/>
  <c r="F306" i="14"/>
  <c r="F318" i="14"/>
  <c r="F33" i="14"/>
  <c r="F85" i="14"/>
  <c r="F132" i="14"/>
  <c r="F153" i="14"/>
  <c r="F183" i="14"/>
  <c r="F243" i="14"/>
  <c r="F16" i="14"/>
  <c r="F31" i="14"/>
  <c r="F38" i="14"/>
  <c r="F45" i="14"/>
  <c r="F56" i="14"/>
  <c r="F65" i="14"/>
  <c r="F83" i="14"/>
  <c r="F89" i="14"/>
  <c r="F94" i="14"/>
  <c r="F111" i="14"/>
  <c r="F130" i="14"/>
  <c r="F134" i="14"/>
  <c r="F142" i="14"/>
  <c r="F150" i="14"/>
  <c r="F155" i="14"/>
  <c r="F163" i="14"/>
  <c r="F172" i="14"/>
  <c r="F177" i="14"/>
  <c r="F193" i="14"/>
  <c r="F204" i="14"/>
  <c r="F215" i="14"/>
  <c r="F241" i="14"/>
  <c r="F249" i="14"/>
  <c r="F260" i="14"/>
  <c r="F268" i="14"/>
  <c r="F275" i="14"/>
  <c r="F289" i="14"/>
  <c r="F299" i="14"/>
  <c r="F307" i="14"/>
  <c r="F321" i="14"/>
  <c r="F47" i="14"/>
  <c r="F74" i="14"/>
  <c r="F118" i="14"/>
  <c r="F136" i="14"/>
  <c r="F157" i="14"/>
  <c r="F197" i="14"/>
  <c r="F257" i="14"/>
  <c r="F292" i="14"/>
  <c r="F23" i="14"/>
  <c r="F32" i="14"/>
  <c r="F39" i="14"/>
  <c r="F46" i="14"/>
  <c r="F59" i="14"/>
  <c r="F70" i="14"/>
  <c r="F84" i="14"/>
  <c r="F90" i="14"/>
  <c r="F105" i="14"/>
  <c r="F114" i="14"/>
  <c r="F131" i="14"/>
  <c r="F135" i="14"/>
  <c r="F143" i="14"/>
  <c r="F152" i="14"/>
  <c r="F156" i="14"/>
  <c r="F164" i="14"/>
  <c r="F174" i="14"/>
  <c r="F178" i="14"/>
  <c r="F196" i="14"/>
  <c r="F206" i="14"/>
  <c r="F232" i="14"/>
  <c r="F242" i="14"/>
  <c r="F256" i="14"/>
  <c r="F261" i="14"/>
  <c r="F271" i="14"/>
  <c r="F276" i="14"/>
  <c r="F290" i="14"/>
  <c r="F300" i="14"/>
  <c r="F315" i="14"/>
  <c r="F43" i="14"/>
  <c r="F109" i="14"/>
  <c r="F170" i="14"/>
  <c r="F211" i="14"/>
  <c r="F262" i="14"/>
  <c r="F303" i="14"/>
  <c r="F317" i="14"/>
  <c r="J106" i="6"/>
  <c r="J88" i="6"/>
  <c r="J100" i="6"/>
  <c r="J101" i="6"/>
  <c r="J93" i="6"/>
  <c r="J95" i="6"/>
  <c r="J104" i="6"/>
  <c r="J92" i="6"/>
  <c r="J105" i="6"/>
  <c r="J90" i="6"/>
  <c r="J87" i="6"/>
  <c r="J98" i="6"/>
  <c r="J94" i="6"/>
  <c r="J84" i="6"/>
  <c r="J86" i="6"/>
  <c r="J99" i="6"/>
  <c r="J107" i="6"/>
  <c r="J108" i="6"/>
  <c r="J83" i="6"/>
  <c r="J82" i="6"/>
  <c r="J89" i="6"/>
  <c r="J85" i="6"/>
  <c r="J102" i="6"/>
  <c r="J91" i="6"/>
  <c r="J97" i="6"/>
  <c r="J103" i="6"/>
  <c r="J96" i="6"/>
  <c r="H29" i="10"/>
  <c r="I29" i="10"/>
  <c r="I30" i="10" s="1"/>
  <c r="S288" i="21" l="1"/>
  <c r="S13" i="21"/>
  <c r="S38" i="21"/>
  <c r="S69" i="21"/>
  <c r="S166" i="21"/>
  <c r="H86" i="19"/>
  <c r="H82" i="19"/>
  <c r="H71" i="19"/>
  <c r="S21" i="21"/>
  <c r="S10" i="21"/>
  <c r="H125" i="19"/>
  <c r="S167" i="21"/>
  <c r="S32" i="21"/>
  <c r="H60" i="19"/>
  <c r="H69" i="19"/>
  <c r="H81" i="19"/>
  <c r="H85" i="19"/>
  <c r="S39" i="21"/>
  <c r="S22" i="21"/>
  <c r="S44" i="21"/>
  <c r="S285" i="21"/>
  <c r="S149" i="21"/>
  <c r="H83" i="19"/>
  <c r="S11" i="21"/>
  <c r="S210" i="21"/>
  <c r="S306" i="21"/>
  <c r="S128" i="21"/>
  <c r="S191" i="21"/>
  <c r="S214" i="21"/>
  <c r="S249" i="21"/>
  <c r="S287" i="21"/>
  <c r="S254" i="21"/>
  <c r="S7" i="21"/>
  <c r="S120" i="21"/>
  <c r="S209" i="21"/>
  <c r="S236" i="21"/>
  <c r="S281" i="21"/>
  <c r="S112" i="21"/>
  <c r="S189" i="21"/>
  <c r="S81" i="21"/>
  <c r="S113" i="21"/>
  <c r="S169" i="21"/>
  <c r="S186" i="21"/>
  <c r="S203" i="21"/>
  <c r="S228" i="21"/>
  <c r="S121" i="21"/>
  <c r="S92" i="21"/>
  <c r="S84" i="21"/>
  <c r="S173" i="21"/>
  <c r="S57" i="21"/>
  <c r="S83" i="21"/>
  <c r="S159" i="21"/>
  <c r="S25" i="21"/>
  <c r="S47" i="21"/>
  <c r="S148" i="21"/>
  <c r="H66" i="18"/>
  <c r="S181" i="21"/>
  <c r="S170" i="21"/>
  <c r="S187" i="21"/>
  <c r="S207" i="21"/>
  <c r="S235" i="21"/>
  <c r="S258" i="21"/>
  <c r="S289" i="21"/>
  <c r="S263" i="21"/>
  <c r="S79" i="21"/>
  <c r="S168" i="21"/>
  <c r="S68" i="21"/>
  <c r="S90" i="21"/>
  <c r="S127" i="21"/>
  <c r="S190" i="21"/>
  <c r="S211" i="21"/>
  <c r="S234" i="21"/>
  <c r="S276" i="21"/>
  <c r="S132" i="21"/>
  <c r="S82" i="21"/>
  <c r="S158" i="21"/>
  <c r="S62" i="21"/>
  <c r="S147" i="21"/>
  <c r="S200" i="21"/>
  <c r="H65" i="18"/>
  <c r="S146" i="21"/>
  <c r="U173" i="21"/>
  <c r="U92" i="21"/>
  <c r="U289" i="21"/>
  <c r="U25" i="21"/>
  <c r="U181" i="21"/>
  <c r="U170" i="21"/>
  <c r="U302" i="21"/>
  <c r="U258" i="21"/>
  <c r="U169" i="21"/>
  <c r="U83" i="21"/>
  <c r="U127" i="21"/>
  <c r="U177" i="21"/>
  <c r="U190" i="21"/>
  <c r="U158" i="21"/>
  <c r="U200" i="21"/>
  <c r="U76" i="21"/>
  <c r="U81" i="21"/>
  <c r="U11" i="21"/>
  <c r="U36" i="21"/>
  <c r="U128" i="21"/>
  <c r="U179" i="21"/>
  <c r="U191" i="21"/>
  <c r="U249" i="21"/>
  <c r="U254" i="21"/>
  <c r="U275" i="21"/>
  <c r="U7" i="21"/>
  <c r="U120" i="21"/>
  <c r="U209" i="21"/>
  <c r="U236" i="21"/>
  <c r="U281" i="21"/>
  <c r="U112" i="21"/>
  <c r="H57" i="19"/>
  <c r="H79" i="19"/>
  <c r="H92" i="19"/>
  <c r="H109" i="19"/>
  <c r="H114" i="19"/>
  <c r="H63" i="19"/>
  <c r="H118" i="19"/>
  <c r="H277" i="19"/>
  <c r="H51" i="19"/>
  <c r="H129" i="19"/>
  <c r="H58" i="19"/>
  <c r="H55" i="19"/>
  <c r="H116" i="19"/>
  <c r="H49" i="19"/>
  <c r="H124" i="19"/>
  <c r="H126" i="19"/>
  <c r="H74" i="19"/>
  <c r="H115" i="19"/>
  <c r="H61" i="19"/>
  <c r="H48" i="19"/>
  <c r="H80" i="19"/>
  <c r="H78" i="19"/>
  <c r="H59" i="19"/>
  <c r="H121" i="19"/>
  <c r="H53" i="19"/>
  <c r="H117" i="19"/>
  <c r="H120" i="19"/>
  <c r="H122" i="19"/>
  <c r="H52" i="19"/>
  <c r="H131" i="19"/>
  <c r="H132" i="19"/>
  <c r="H133" i="19"/>
  <c r="H134" i="19"/>
  <c r="H50" i="19"/>
  <c r="H130" i="19"/>
  <c r="H106" i="19"/>
  <c r="H76" i="19"/>
  <c r="H107" i="19"/>
  <c r="H127" i="19"/>
  <c r="H77" i="19"/>
  <c r="H110" i="19"/>
  <c r="H112" i="19"/>
  <c r="H105" i="19"/>
  <c r="H96" i="19"/>
  <c r="H104" i="19"/>
  <c r="H72" i="19"/>
  <c r="H62" i="19"/>
  <c r="H123" i="19"/>
  <c r="H73" i="19"/>
  <c r="H75" i="19"/>
  <c r="H113" i="19"/>
  <c r="H119" i="19"/>
  <c r="H108" i="19"/>
  <c r="H66" i="19"/>
  <c r="H128" i="19"/>
  <c r="H111" i="19"/>
  <c r="H56" i="19"/>
  <c r="J83" i="17"/>
  <c r="L83" i="17" s="1"/>
  <c r="J95" i="17"/>
  <c r="L95" i="17" s="1"/>
  <c r="J25" i="17"/>
  <c r="L25" i="17" s="1"/>
  <c r="J96" i="17"/>
  <c r="L96" i="17" s="1"/>
  <c r="J102" i="17"/>
  <c r="L102" i="17" s="1"/>
  <c r="J113" i="17"/>
  <c r="L113" i="17" s="1"/>
  <c r="J84" i="17"/>
  <c r="L84" i="17" s="1"/>
  <c r="J91" i="17"/>
  <c r="L91" i="17" s="1"/>
  <c r="J108" i="17"/>
  <c r="L108" i="17" s="1"/>
  <c r="J134" i="17"/>
  <c r="L134" i="17" s="1"/>
  <c r="J82" i="17"/>
  <c r="L82" i="17" s="1"/>
  <c r="J110" i="17"/>
  <c r="L110" i="17" s="1"/>
  <c r="J105" i="17"/>
  <c r="L105" i="17" s="1"/>
  <c r="J111" i="17"/>
  <c r="L111" i="17" s="1"/>
  <c r="J93" i="17"/>
  <c r="L93" i="17" s="1"/>
  <c r="J37" i="17"/>
  <c r="L37" i="17" s="1"/>
  <c r="J132" i="17"/>
  <c r="L132" i="17" s="1"/>
  <c r="J86" i="17"/>
  <c r="L86" i="17" s="1"/>
  <c r="J117" i="17"/>
  <c r="L117" i="17" s="1"/>
  <c r="J133" i="17"/>
  <c r="L133" i="17" s="1"/>
  <c r="J88" i="17"/>
  <c r="L88" i="17" s="1"/>
  <c r="J123" i="17"/>
  <c r="J112" i="17"/>
  <c r="L112" i="17" s="1"/>
  <c r="J127" i="17"/>
  <c r="L127" i="17" s="1"/>
  <c r="J98" i="17"/>
  <c r="L98" i="17" s="1"/>
  <c r="J90" i="17"/>
  <c r="L90" i="17" s="1"/>
  <c r="J100" i="17"/>
  <c r="L100" i="17" s="1"/>
  <c r="J125" i="17"/>
  <c r="L125" i="17" s="1"/>
  <c r="J87" i="17"/>
  <c r="L87" i="17" s="1"/>
  <c r="J97" i="17"/>
  <c r="L97" i="17" s="1"/>
  <c r="J130" i="17"/>
  <c r="L130" i="17" s="1"/>
  <c r="J135" i="17"/>
  <c r="L135" i="17" s="1"/>
  <c r="I219" i="13"/>
  <c r="I59" i="13"/>
  <c r="I173" i="13"/>
  <c r="I223" i="13"/>
  <c r="I269" i="13"/>
  <c r="I211" i="13"/>
  <c r="I23" i="13"/>
  <c r="I114" i="13"/>
  <c r="I157" i="13"/>
  <c r="I199" i="13"/>
  <c r="I272" i="13"/>
  <c r="I295" i="13"/>
  <c r="I67" i="13"/>
  <c r="I158" i="13"/>
  <c r="I235" i="13"/>
  <c r="I316" i="13"/>
  <c r="I154" i="13"/>
  <c r="I30" i="13"/>
  <c r="I283" i="13"/>
  <c r="I297" i="13"/>
  <c r="I298" i="13"/>
  <c r="I27" i="13"/>
  <c r="I40" i="13"/>
  <c r="I74" i="13"/>
  <c r="I133" i="13"/>
  <c r="I198" i="13"/>
  <c r="I289" i="13"/>
  <c r="I281" i="13"/>
  <c r="I136" i="13"/>
  <c r="I174" i="13"/>
  <c r="I245" i="13"/>
  <c r="I312" i="13"/>
  <c r="I146" i="13"/>
  <c r="I24" i="13"/>
  <c r="I137" i="13"/>
  <c r="I188" i="13"/>
  <c r="I208" i="13"/>
  <c r="I294" i="13"/>
  <c r="I58" i="13"/>
  <c r="I300" i="13"/>
  <c r="I13" i="13"/>
  <c r="I285" i="13"/>
  <c r="I69" i="13"/>
  <c r="I123" i="13"/>
  <c r="I165" i="13"/>
  <c r="I194" i="13"/>
  <c r="I215" i="13"/>
  <c r="I258" i="13"/>
  <c r="I282" i="13"/>
  <c r="I296" i="13"/>
  <c r="I38" i="13"/>
  <c r="I132" i="13"/>
  <c r="I193" i="13"/>
  <c r="I254" i="13"/>
  <c r="I9" i="13"/>
  <c r="I31" i="13"/>
  <c r="I55" i="13"/>
  <c r="I70" i="13"/>
  <c r="I88" i="13"/>
  <c r="I125" i="13"/>
  <c r="I152" i="13"/>
  <c r="I166" i="13"/>
  <c r="I179" i="13"/>
  <c r="I195" i="13"/>
  <c r="I217" i="13"/>
  <c r="I239" i="13"/>
  <c r="I263" i="13"/>
  <c r="I4" i="13"/>
  <c r="I176" i="13"/>
  <c r="I243" i="13"/>
  <c r="I12" i="13"/>
  <c r="I34" i="13"/>
  <c r="I57" i="13"/>
  <c r="I71" i="13"/>
  <c r="I89" i="13"/>
  <c r="I126" i="13"/>
  <c r="I153" i="13"/>
  <c r="I171" i="13"/>
  <c r="I180" i="13"/>
  <c r="I196" i="13"/>
  <c r="I218" i="13"/>
  <c r="I240" i="13"/>
  <c r="I267" i="13"/>
  <c r="I284" i="13"/>
  <c r="I49" i="13"/>
  <c r="I95" i="13"/>
  <c r="I184" i="13"/>
  <c r="I268" i="13"/>
  <c r="I118" i="13"/>
  <c r="I97" i="13"/>
  <c r="I155" i="13"/>
  <c r="I186" i="13"/>
  <c r="I244" i="13"/>
  <c r="I73" i="13"/>
  <c r="I172" i="13"/>
  <c r="I62" i="13"/>
  <c r="I81" i="13"/>
  <c r="I187" i="13"/>
  <c r="I234" i="13"/>
  <c r="I290" i="13"/>
  <c r="I197" i="13"/>
  <c r="I46" i="13"/>
  <c r="I84" i="13"/>
  <c r="I175" i="13"/>
  <c r="I251" i="13"/>
  <c r="I275" i="13"/>
  <c r="I237" i="13"/>
  <c r="I68" i="13"/>
  <c r="I159" i="13"/>
  <c r="I54" i="13"/>
  <c r="I87" i="13"/>
  <c r="I151" i="13"/>
  <c r="I177" i="13"/>
  <c r="I238" i="13"/>
  <c r="I15" i="13"/>
  <c r="I305" i="13"/>
  <c r="I41" i="13"/>
  <c r="I117" i="13"/>
  <c r="G23" i="14"/>
  <c r="G212" i="14"/>
  <c r="I212" i="14" s="1"/>
  <c r="G317" i="14"/>
  <c r="G262" i="14"/>
  <c r="I262" i="14" s="1"/>
  <c r="G170" i="14"/>
  <c r="G43" i="14"/>
  <c r="G276" i="14"/>
  <c r="G261" i="14"/>
  <c r="I261" i="14" s="1"/>
  <c r="G242" i="14"/>
  <c r="G206" i="14"/>
  <c r="G178" i="14"/>
  <c r="G164" i="14"/>
  <c r="I164" i="14" s="1"/>
  <c r="G152" i="14"/>
  <c r="I152" i="14" s="1"/>
  <c r="G135" i="14"/>
  <c r="G114" i="14"/>
  <c r="G90" i="14"/>
  <c r="G70" i="14"/>
  <c r="G46" i="14"/>
  <c r="G32" i="14"/>
  <c r="G292" i="14"/>
  <c r="I292" i="14" s="1"/>
  <c r="G197" i="14"/>
  <c r="I197" i="14" s="1"/>
  <c r="G136" i="14"/>
  <c r="G74" i="14"/>
  <c r="G321" i="14"/>
  <c r="G299" i="14"/>
  <c r="G275" i="14"/>
  <c r="G260" i="14"/>
  <c r="I260" i="14" s="1"/>
  <c r="G241" i="14"/>
  <c r="G204" i="14"/>
  <c r="I204" i="14" s="1"/>
  <c r="G177" i="14"/>
  <c r="G163" i="14"/>
  <c r="G150" i="14"/>
  <c r="G134" i="14"/>
  <c r="G111" i="14"/>
  <c r="I111" i="14" s="1"/>
  <c r="G89" i="14"/>
  <c r="G65" i="14"/>
  <c r="G243" i="14"/>
  <c r="G153" i="14"/>
  <c r="I153" i="14" s="1"/>
  <c r="G85" i="14"/>
  <c r="G318" i="14"/>
  <c r="G296" i="14"/>
  <c r="G273" i="14"/>
  <c r="I273" i="14" s="1"/>
  <c r="G259" i="14"/>
  <c r="I259" i="14" s="1"/>
  <c r="G240" i="14"/>
  <c r="G203" i="14"/>
  <c r="G176" i="14"/>
  <c r="G158" i="14"/>
  <c r="G149" i="14"/>
  <c r="I149" i="14" s="1"/>
  <c r="G133" i="14"/>
  <c r="G110" i="14"/>
  <c r="G88" i="14"/>
  <c r="G61" i="14"/>
  <c r="G44" i="14"/>
  <c r="G281" i="14"/>
  <c r="G234" i="14"/>
  <c r="G145" i="14"/>
  <c r="I145" i="14" s="1"/>
  <c r="G60" i="14"/>
  <c r="G300" i="14"/>
  <c r="G45" i="14"/>
  <c r="G31" i="14"/>
  <c r="G30" i="14"/>
  <c r="I30" i="14" s="1"/>
  <c r="G315" i="14"/>
  <c r="G289" i="14"/>
  <c r="G303" i="14"/>
  <c r="I303" i="14" s="1"/>
  <c r="G211" i="14"/>
  <c r="G109" i="14"/>
  <c r="G290" i="14"/>
  <c r="G271" i="14"/>
  <c r="G256" i="14"/>
  <c r="I256" i="14" s="1"/>
  <c r="G232" i="14"/>
  <c r="I232" i="14" s="1"/>
  <c r="G196" i="14"/>
  <c r="I196" i="14" s="1"/>
  <c r="G174" i="14"/>
  <c r="G156" i="14"/>
  <c r="G143" i="14"/>
  <c r="I143" i="14" s="1"/>
  <c r="G131" i="14"/>
  <c r="G105" i="14"/>
  <c r="G84" i="14"/>
  <c r="G59" i="14"/>
  <c r="G39" i="14"/>
  <c r="G257" i="14"/>
  <c r="G157" i="14"/>
  <c r="G118" i="14"/>
  <c r="I118" i="14" s="1"/>
  <c r="G47" i="14"/>
  <c r="G307" i="14"/>
  <c r="G268" i="14"/>
  <c r="G249" i="14"/>
  <c r="G215" i="14"/>
  <c r="G193" i="14"/>
  <c r="G172" i="14"/>
  <c r="G155" i="14"/>
  <c r="G142" i="14"/>
  <c r="G130" i="14"/>
  <c r="G94" i="14"/>
  <c r="G83" i="14"/>
  <c r="G56" i="14"/>
  <c r="G38" i="14"/>
  <c r="G16" i="14"/>
  <c r="G183" i="14"/>
  <c r="G132" i="14"/>
  <c r="G33" i="14"/>
  <c r="G306" i="14"/>
  <c r="G284" i="14"/>
  <c r="G263" i="14"/>
  <c r="G246" i="14"/>
  <c r="G192" i="14"/>
  <c r="G171" i="14"/>
  <c r="G154" i="14"/>
  <c r="G141" i="14"/>
  <c r="G121" i="14"/>
  <c r="I121" i="14" s="1"/>
  <c r="G93" i="14"/>
  <c r="G77" i="14"/>
  <c r="G53" i="14"/>
  <c r="I53" i="14" s="1"/>
  <c r="G34" i="14"/>
  <c r="G12" i="14"/>
  <c r="G272" i="14"/>
  <c r="G175" i="14"/>
  <c r="G91" i="14"/>
  <c r="G28" i="14"/>
  <c r="I28" i="14" s="1"/>
  <c r="N5" i="18"/>
  <c r="N6" i="18" s="1"/>
  <c r="L94" i="17"/>
  <c r="H18" i="18"/>
  <c r="H26" i="18"/>
  <c r="H38" i="18"/>
  <c r="H55" i="18"/>
  <c r="H4" i="18"/>
  <c r="H40" i="18"/>
  <c r="H5" i="18"/>
  <c r="H6" i="18"/>
  <c r="H20" i="18"/>
  <c r="H54" i="18"/>
  <c r="H70" i="18"/>
  <c r="H42" i="18"/>
  <c r="H15" i="18"/>
  <c r="H23" i="18"/>
  <c r="H31" i="18"/>
  <c r="H48" i="18"/>
  <c r="H56" i="18"/>
  <c r="H8" i="18"/>
  <c r="H16" i="18"/>
  <c r="H60" i="18"/>
  <c r="H10" i="18"/>
  <c r="H22" i="18"/>
  <c r="H46" i="18"/>
  <c r="H67" i="18"/>
  <c r="H13" i="18"/>
  <c r="H53" i="18"/>
  <c r="H72" i="18"/>
  <c r="H44" i="18"/>
  <c r="H59" i="18"/>
  <c r="H71" i="18"/>
  <c r="H35" i="18"/>
  <c r="H45" i="18"/>
  <c r="H69" i="18"/>
  <c r="H32" i="18"/>
  <c r="H19" i="18"/>
  <c r="H33" i="18"/>
  <c r="H47" i="18"/>
  <c r="H14" i="18"/>
  <c r="H25" i="18"/>
  <c r="H41" i="18"/>
  <c r="H57" i="18"/>
  <c r="H7" i="18"/>
  <c r="G6" i="7"/>
  <c r="G124" i="7"/>
  <c r="G217" i="7"/>
  <c r="G9" i="7"/>
  <c r="G10" i="7"/>
  <c r="G12" i="7"/>
  <c r="G20" i="7"/>
  <c r="G21" i="7"/>
  <c r="G24" i="7"/>
  <c r="G27" i="7"/>
  <c r="G28" i="7"/>
  <c r="G31" i="7"/>
  <c r="G35" i="7"/>
  <c r="G37" i="7"/>
  <c r="G38" i="7"/>
  <c r="G43" i="7"/>
  <c r="G46" i="7"/>
  <c r="G51" i="7"/>
  <c r="G52" i="7"/>
  <c r="G54" i="7"/>
  <c r="G55" i="7"/>
  <c r="G56" i="7"/>
  <c r="G59" i="7"/>
  <c r="G64" i="7"/>
  <c r="G65" i="7"/>
  <c r="G66" i="7"/>
  <c r="G67" i="7"/>
  <c r="G68" i="7"/>
  <c r="G70" i="7"/>
  <c r="G71" i="7"/>
  <c r="G78" i="7"/>
  <c r="G81" i="7"/>
  <c r="G84" i="7"/>
  <c r="G85" i="7"/>
  <c r="G86" i="7"/>
  <c r="G87" i="7"/>
  <c r="G93" i="7"/>
  <c r="G95" i="7"/>
  <c r="G112" i="7"/>
  <c r="G115" i="7"/>
  <c r="G116" i="7"/>
  <c r="G121" i="7"/>
  <c r="G123" i="7"/>
  <c r="G130" i="7"/>
  <c r="G131" i="7"/>
  <c r="G134" i="7"/>
  <c r="G135" i="7"/>
  <c r="G144" i="7"/>
  <c r="G149" i="7"/>
  <c r="G150" i="7"/>
  <c r="G151" i="7"/>
  <c r="G152" i="7"/>
  <c r="G153" i="7"/>
  <c r="G155" i="7"/>
  <c r="G156" i="7"/>
  <c r="G157" i="7"/>
  <c r="G163" i="7"/>
  <c r="G164" i="7"/>
  <c r="G169" i="7"/>
  <c r="G170" i="7"/>
  <c r="G171" i="7"/>
  <c r="G172" i="7"/>
  <c r="G173" i="7"/>
  <c r="G174" i="7"/>
  <c r="G175" i="7"/>
  <c r="G177" i="7"/>
  <c r="G178" i="7"/>
  <c r="G182" i="7"/>
  <c r="G184" i="7"/>
  <c r="G185" i="7"/>
  <c r="G186" i="7"/>
  <c r="G191" i="7"/>
  <c r="G192" i="7"/>
  <c r="G193" i="7"/>
  <c r="G194" i="7"/>
  <c r="G195" i="7"/>
  <c r="G196" i="7"/>
  <c r="G197" i="7"/>
  <c r="G206" i="7"/>
  <c r="G209" i="7"/>
  <c r="G213" i="7"/>
  <c r="G216" i="7"/>
  <c r="G218" i="7"/>
  <c r="G222" i="7"/>
  <c r="G233" i="7"/>
  <c r="G234" i="7"/>
  <c r="G236" i="7"/>
  <c r="G237" i="7"/>
  <c r="G238" i="7"/>
  <c r="G239" i="7"/>
  <c r="G243" i="7"/>
  <c r="G244" i="7"/>
  <c r="G250" i="7"/>
  <c r="G253" i="7"/>
  <c r="G257" i="7"/>
  <c r="G242" i="7"/>
  <c r="G262" i="7"/>
  <c r="G266" i="7"/>
  <c r="G267" i="7"/>
  <c r="G268" i="7"/>
  <c r="G271" i="7"/>
  <c r="G274" i="7"/>
  <c r="G280" i="7"/>
  <c r="G281" i="7"/>
  <c r="G282" i="7"/>
  <c r="G283" i="7"/>
  <c r="G284" i="7"/>
  <c r="G288" i="7"/>
  <c r="G289" i="7"/>
  <c r="G293" i="7"/>
  <c r="G294" i="7"/>
  <c r="G295" i="7"/>
  <c r="G296" i="7"/>
  <c r="G297" i="7"/>
  <c r="G299" i="7"/>
  <c r="T299" i="7" s="1"/>
  <c r="G304" i="7"/>
  <c r="G311" i="7"/>
  <c r="G315" i="7"/>
  <c r="F6" i="7"/>
  <c r="F124" i="7"/>
  <c r="F217" i="7"/>
  <c r="F9" i="7"/>
  <c r="F10" i="7"/>
  <c r="F12" i="7"/>
  <c r="F20" i="7"/>
  <c r="F21" i="7"/>
  <c r="F24" i="7"/>
  <c r="F27" i="7"/>
  <c r="F28" i="7"/>
  <c r="F31" i="7"/>
  <c r="F35" i="7"/>
  <c r="F37" i="7"/>
  <c r="F38" i="7"/>
  <c r="F43" i="7"/>
  <c r="F46" i="7"/>
  <c r="F51" i="7"/>
  <c r="F52" i="7"/>
  <c r="F54" i="7"/>
  <c r="F55" i="7"/>
  <c r="F56" i="7"/>
  <c r="F59" i="7"/>
  <c r="F64" i="7"/>
  <c r="F65" i="7"/>
  <c r="F66" i="7"/>
  <c r="F67" i="7"/>
  <c r="F68" i="7"/>
  <c r="F70" i="7"/>
  <c r="F71" i="7"/>
  <c r="F78" i="7"/>
  <c r="F81" i="7"/>
  <c r="F84" i="7"/>
  <c r="F85" i="7"/>
  <c r="F86" i="7"/>
  <c r="F87" i="7"/>
  <c r="F93" i="7"/>
  <c r="F95" i="7"/>
  <c r="F112" i="7"/>
  <c r="F115" i="7"/>
  <c r="F116" i="7"/>
  <c r="F121" i="7"/>
  <c r="F123" i="7"/>
  <c r="F130" i="7"/>
  <c r="F131" i="7"/>
  <c r="F134" i="7"/>
  <c r="F135" i="7"/>
  <c r="F144" i="7"/>
  <c r="F149" i="7"/>
  <c r="F150" i="7"/>
  <c r="F151" i="7"/>
  <c r="F152" i="7"/>
  <c r="F153" i="7"/>
  <c r="F155" i="7"/>
  <c r="F156" i="7"/>
  <c r="F157" i="7"/>
  <c r="F163" i="7"/>
  <c r="F164" i="7"/>
  <c r="F169" i="7"/>
  <c r="F170" i="7"/>
  <c r="F171" i="7"/>
  <c r="F172" i="7"/>
  <c r="F173" i="7"/>
  <c r="F174" i="7"/>
  <c r="F175" i="7"/>
  <c r="F177" i="7"/>
  <c r="F178" i="7"/>
  <c r="F182" i="7"/>
  <c r="F184" i="7"/>
  <c r="F185" i="7"/>
  <c r="F186" i="7"/>
  <c r="F191" i="7"/>
  <c r="F192" i="7"/>
  <c r="F193" i="7"/>
  <c r="F194" i="7"/>
  <c r="F195" i="7"/>
  <c r="F196" i="7"/>
  <c r="F197" i="7"/>
  <c r="F206" i="7"/>
  <c r="F209" i="7"/>
  <c r="F213" i="7"/>
  <c r="F216" i="7"/>
  <c r="F218" i="7"/>
  <c r="F222" i="7"/>
  <c r="F233" i="7"/>
  <c r="F234" i="7"/>
  <c r="F236" i="7"/>
  <c r="F237" i="7"/>
  <c r="F238" i="7"/>
  <c r="F239" i="7"/>
  <c r="F243" i="7"/>
  <c r="F244" i="7"/>
  <c r="F250" i="7"/>
  <c r="F253" i="7"/>
  <c r="F257" i="7"/>
  <c r="F242" i="7"/>
  <c r="F262" i="7"/>
  <c r="F266" i="7"/>
  <c r="F267" i="7"/>
  <c r="F268" i="7"/>
  <c r="F271" i="7"/>
  <c r="F274" i="7"/>
  <c r="F280" i="7"/>
  <c r="F281" i="7"/>
  <c r="F282" i="7"/>
  <c r="F283" i="7"/>
  <c r="F284" i="7"/>
  <c r="F288" i="7"/>
  <c r="F289" i="7"/>
  <c r="F293" i="7"/>
  <c r="F294" i="7"/>
  <c r="F295" i="7"/>
  <c r="F296" i="7"/>
  <c r="F297" i="7"/>
  <c r="F299" i="7"/>
  <c r="F304" i="7"/>
  <c r="F311" i="7"/>
  <c r="F315" i="7"/>
  <c r="E6" i="7"/>
  <c r="E124" i="7"/>
  <c r="E217" i="7"/>
  <c r="E9" i="7"/>
  <c r="E10" i="7"/>
  <c r="E12" i="7"/>
  <c r="E20" i="7"/>
  <c r="E21" i="7"/>
  <c r="E24" i="7"/>
  <c r="E27" i="7"/>
  <c r="E28" i="7"/>
  <c r="E31" i="7"/>
  <c r="E35" i="7"/>
  <c r="E37" i="7"/>
  <c r="E38" i="7"/>
  <c r="E43" i="7"/>
  <c r="E46" i="7"/>
  <c r="E51" i="7"/>
  <c r="E52" i="7"/>
  <c r="E54" i="7"/>
  <c r="E55" i="7"/>
  <c r="E56" i="7"/>
  <c r="E59" i="7"/>
  <c r="E64" i="7"/>
  <c r="E65" i="7"/>
  <c r="E66" i="7"/>
  <c r="E67" i="7"/>
  <c r="E68" i="7"/>
  <c r="E70" i="7"/>
  <c r="E71" i="7"/>
  <c r="E78" i="7"/>
  <c r="E81" i="7"/>
  <c r="E84" i="7"/>
  <c r="E85" i="7"/>
  <c r="E86" i="7"/>
  <c r="E87" i="7"/>
  <c r="E93" i="7"/>
  <c r="E95" i="7"/>
  <c r="E112" i="7"/>
  <c r="E115" i="7"/>
  <c r="E116" i="7"/>
  <c r="E121" i="7"/>
  <c r="E123" i="7"/>
  <c r="E130" i="7"/>
  <c r="E131" i="7"/>
  <c r="E134" i="7"/>
  <c r="E135" i="7"/>
  <c r="E144" i="7"/>
  <c r="E149" i="7"/>
  <c r="E150" i="7"/>
  <c r="E151" i="7"/>
  <c r="E152" i="7"/>
  <c r="E153" i="7"/>
  <c r="E155" i="7"/>
  <c r="E156" i="7"/>
  <c r="E157" i="7"/>
  <c r="E163" i="7"/>
  <c r="E164" i="7"/>
  <c r="E169" i="7"/>
  <c r="E170" i="7"/>
  <c r="E171" i="7"/>
  <c r="E172" i="7"/>
  <c r="E173" i="7"/>
  <c r="E174" i="7"/>
  <c r="E175" i="7"/>
  <c r="E177" i="7"/>
  <c r="E178" i="7"/>
  <c r="E182" i="7"/>
  <c r="E184" i="7"/>
  <c r="E185" i="7"/>
  <c r="E186" i="7"/>
  <c r="E191" i="7"/>
  <c r="E192" i="7"/>
  <c r="E193" i="7"/>
  <c r="E194" i="7"/>
  <c r="E195" i="7"/>
  <c r="E196" i="7"/>
  <c r="E197" i="7"/>
  <c r="E206" i="7"/>
  <c r="E209" i="7"/>
  <c r="E213" i="7"/>
  <c r="E216" i="7"/>
  <c r="E218" i="7"/>
  <c r="E222" i="7"/>
  <c r="E233" i="7"/>
  <c r="E234" i="7"/>
  <c r="E236" i="7"/>
  <c r="E237" i="7"/>
  <c r="E238" i="7"/>
  <c r="E239" i="7"/>
  <c r="E243" i="7"/>
  <c r="E244" i="7"/>
  <c r="E250" i="7"/>
  <c r="E253" i="7"/>
  <c r="E257" i="7"/>
  <c r="E242" i="7"/>
  <c r="E262" i="7"/>
  <c r="E266" i="7"/>
  <c r="E267" i="7"/>
  <c r="E268" i="7"/>
  <c r="E271" i="7"/>
  <c r="E274" i="7"/>
  <c r="E280" i="7"/>
  <c r="E281" i="7"/>
  <c r="E282" i="7"/>
  <c r="E283" i="7"/>
  <c r="E284" i="7"/>
  <c r="E288" i="7"/>
  <c r="E289" i="7"/>
  <c r="E293" i="7"/>
  <c r="E294" i="7"/>
  <c r="E295" i="7"/>
  <c r="E296" i="7"/>
  <c r="E297" i="7"/>
  <c r="E299" i="7"/>
  <c r="E304" i="7"/>
  <c r="E311" i="7"/>
  <c r="E315" i="7"/>
  <c r="T311" i="7" l="1"/>
  <c r="T289" i="7"/>
  <c r="T271" i="7"/>
  <c r="T262" i="7"/>
  <c r="T213" i="7"/>
  <c r="T192" i="7"/>
  <c r="T184" i="7"/>
  <c r="T175" i="7"/>
  <c r="T163" i="7"/>
  <c r="T149" i="7"/>
  <c r="T131" i="7"/>
  <c r="T116" i="7"/>
  <c r="T93" i="7"/>
  <c r="T84" i="7"/>
  <c r="T70" i="7"/>
  <c r="T65" i="7"/>
  <c r="T55" i="7"/>
  <c r="T46" i="7"/>
  <c r="T35" i="7"/>
  <c r="T24" i="7"/>
  <c r="T10" i="7"/>
  <c r="T6" i="7"/>
  <c r="T304" i="7"/>
  <c r="T295" i="7"/>
  <c r="T288" i="7"/>
  <c r="T281" i="7"/>
  <c r="T242" i="7"/>
  <c r="T244" i="7"/>
  <c r="T222" i="7"/>
  <c r="T209" i="7"/>
  <c r="T195" i="7"/>
  <c r="T191" i="7"/>
  <c r="T182" i="7"/>
  <c r="T174" i="7"/>
  <c r="T152" i="7"/>
  <c r="T130" i="7"/>
  <c r="T115" i="7"/>
  <c r="T87" i="7"/>
  <c r="T81" i="7"/>
  <c r="T68" i="7"/>
  <c r="T64" i="7"/>
  <c r="T284" i="7"/>
  <c r="T257" i="7"/>
  <c r="T243" i="7"/>
  <c r="T236" i="7"/>
  <c r="T218" i="7"/>
  <c r="T206" i="7"/>
  <c r="T194" i="7"/>
  <c r="T186" i="7"/>
  <c r="T178" i="7"/>
  <c r="T173" i="7"/>
  <c r="T151" i="7"/>
  <c r="T135" i="7"/>
  <c r="T123" i="7"/>
  <c r="T86" i="7"/>
  <c r="T78" i="7"/>
  <c r="T67" i="7"/>
  <c r="T59" i="7"/>
  <c r="T217" i="7"/>
  <c r="T315" i="7"/>
  <c r="T297" i="7"/>
  <c r="T283" i="7"/>
  <c r="T274" i="7"/>
  <c r="T216" i="7"/>
  <c r="T197" i="7"/>
  <c r="T193" i="7"/>
  <c r="T164" i="7"/>
  <c r="T150" i="7"/>
  <c r="T95" i="7"/>
  <c r="T85" i="7"/>
  <c r="T71" i="7"/>
  <c r="T66" i="7"/>
  <c r="T124" i="7"/>
  <c r="U32" i="21"/>
  <c r="U273" i="21"/>
  <c r="U21" i="21"/>
  <c r="U286" i="21"/>
  <c r="U230" i="21"/>
  <c r="U242" i="21"/>
  <c r="U274" i="21"/>
  <c r="U149" i="21"/>
  <c r="U164" i="21"/>
  <c r="U65" i="21"/>
  <c r="U69" i="21"/>
  <c r="U140" i="21"/>
  <c r="U131" i="21"/>
  <c r="U266" i="21"/>
  <c r="U109" i="21"/>
  <c r="U166" i="21"/>
  <c r="U180" i="21"/>
  <c r="U54" i="21"/>
  <c r="U13" i="21"/>
  <c r="U22" i="21"/>
  <c r="U39" i="21"/>
  <c r="U44" i="21"/>
  <c r="U152" i="21"/>
  <c r="U63" i="21"/>
  <c r="U66" i="21"/>
  <c r="U29" i="21"/>
  <c r="U165" i="21"/>
  <c r="U285" i="21"/>
  <c r="U167" i="21"/>
  <c r="U64" i="21"/>
  <c r="K180" i="13"/>
  <c r="K176" i="13"/>
  <c r="K74" i="13"/>
  <c r="K298" i="13"/>
  <c r="K68" i="13"/>
  <c r="K97" i="13"/>
  <c r="K57" i="13"/>
  <c r="K125" i="13"/>
  <c r="K69" i="13"/>
  <c r="K300" i="13"/>
  <c r="K71" i="13"/>
  <c r="K186" i="13"/>
  <c r="K184" i="13"/>
  <c r="K217" i="13"/>
  <c r="K165" i="13"/>
  <c r="K208" i="13"/>
  <c r="K177" i="13"/>
  <c r="K275" i="13"/>
  <c r="K70" i="13"/>
  <c r="K38" i="13"/>
  <c r="K117" i="13"/>
  <c r="K132" i="13"/>
  <c r="K133" i="13"/>
  <c r="K27" i="13"/>
  <c r="K211" i="13"/>
  <c r="T294" i="7"/>
  <c r="D71" i="18"/>
  <c r="T280" i="7"/>
  <c r="D69" i="18"/>
  <c r="T267" i="7"/>
  <c r="D66" i="18"/>
  <c r="T169" i="7"/>
  <c r="D44" i="18"/>
  <c r="T156" i="7"/>
  <c r="M41" i="18" s="1"/>
  <c r="D41" i="18"/>
  <c r="T112" i="7"/>
  <c r="D31" i="18"/>
  <c r="T52" i="7"/>
  <c r="M23" i="18" s="1"/>
  <c r="D23" i="18"/>
  <c r="T38" i="7"/>
  <c r="D19" i="18"/>
  <c r="T28" i="7"/>
  <c r="D4" i="18"/>
  <c r="T20" i="7"/>
  <c r="D13" i="18"/>
  <c r="T293" i="7"/>
  <c r="D70" i="18"/>
  <c r="T266" i="7"/>
  <c r="D65" i="18"/>
  <c r="T253" i="7"/>
  <c r="D60" i="18"/>
  <c r="T239" i="7"/>
  <c r="D57" i="18"/>
  <c r="T234" i="7"/>
  <c r="M54" i="18" s="1"/>
  <c r="D54" i="18"/>
  <c r="T185" i="7"/>
  <c r="D5" i="18"/>
  <c r="T177" i="7"/>
  <c r="M48" i="18" s="1"/>
  <c r="D48" i="18"/>
  <c r="T172" i="7"/>
  <c r="D47" i="18"/>
  <c r="T155" i="7"/>
  <c r="M40" i="18" s="1"/>
  <c r="D40" i="18"/>
  <c r="T134" i="7"/>
  <c r="D33" i="18"/>
  <c r="T121" i="7"/>
  <c r="D32" i="18"/>
  <c r="T56" i="7"/>
  <c r="D26" i="18"/>
  <c r="T51" i="7"/>
  <c r="D22" i="18"/>
  <c r="T37" i="7"/>
  <c r="D18" i="18"/>
  <c r="T27" i="7"/>
  <c r="D15" i="18"/>
  <c r="T12" i="7"/>
  <c r="D10" i="18"/>
  <c r="T296" i="7"/>
  <c r="D72" i="18"/>
  <c r="T282" i="7"/>
  <c r="D6" i="18"/>
  <c r="T250" i="7"/>
  <c r="D59" i="18"/>
  <c r="T238" i="7"/>
  <c r="D56" i="18"/>
  <c r="T233" i="7"/>
  <c r="M53" i="18" s="1"/>
  <c r="D53" i="18"/>
  <c r="T196" i="7"/>
  <c r="M7" i="18" s="1"/>
  <c r="D7" i="18"/>
  <c r="T171" i="7"/>
  <c r="D46" i="18"/>
  <c r="T153" i="7"/>
  <c r="D38" i="18"/>
  <c r="T268" i="7"/>
  <c r="D67" i="18"/>
  <c r="T237" i="7"/>
  <c r="D55" i="18"/>
  <c r="T170" i="7"/>
  <c r="D45" i="18"/>
  <c r="T157" i="7"/>
  <c r="M42" i="18" s="1"/>
  <c r="D42" i="18"/>
  <c r="T144" i="7"/>
  <c r="M35" i="18" s="1"/>
  <c r="D35" i="18"/>
  <c r="T54" i="7"/>
  <c r="D25" i="18"/>
  <c r="T43" i="7"/>
  <c r="D20" i="18"/>
  <c r="T31" i="7"/>
  <c r="D16" i="18"/>
  <c r="T21" i="7"/>
  <c r="D14" i="18"/>
  <c r="T9" i="7"/>
  <c r="M8" i="18" s="1"/>
  <c r="D8" i="18"/>
  <c r="M1" i="19"/>
  <c r="N1" i="19" s="1"/>
  <c r="J126" i="6"/>
  <c r="J116" i="6"/>
  <c r="J112" i="6"/>
  <c r="J135" i="6"/>
  <c r="J128" i="6"/>
  <c r="J137" i="6"/>
  <c r="J124" i="6"/>
  <c r="J131" i="6"/>
  <c r="J125" i="6"/>
  <c r="J130" i="6"/>
  <c r="J121" i="6"/>
  <c r="J123" i="6"/>
  <c r="J127" i="6"/>
  <c r="J114" i="6"/>
  <c r="J132" i="6"/>
  <c r="J133" i="6"/>
  <c r="J118" i="6"/>
  <c r="J117" i="6"/>
  <c r="J115" i="6"/>
  <c r="J113" i="6"/>
  <c r="J120" i="6"/>
  <c r="J122" i="6"/>
  <c r="J111" i="6"/>
  <c r="J136" i="6"/>
  <c r="J129" i="6"/>
  <c r="J119" i="6"/>
  <c r="M16" i="18" l="1"/>
  <c r="M55" i="18"/>
  <c r="M38" i="18"/>
  <c r="M56" i="18"/>
  <c r="M10" i="18"/>
  <c r="M18" i="18"/>
  <c r="M26" i="18"/>
  <c r="M33" i="18"/>
  <c r="M47" i="18"/>
  <c r="M57" i="18"/>
  <c r="M65" i="18"/>
  <c r="M13" i="18"/>
  <c r="M19" i="18"/>
  <c r="M31" i="18"/>
  <c r="M44" i="18"/>
  <c r="M69" i="18"/>
  <c r="M14" i="18"/>
  <c r="M20" i="18"/>
  <c r="M45" i="18"/>
  <c r="M67" i="18"/>
  <c r="M46" i="18"/>
  <c r="M59" i="18"/>
  <c r="M72" i="18"/>
  <c r="M15" i="18"/>
  <c r="M22" i="18"/>
  <c r="M32" i="18"/>
  <c r="M60" i="18"/>
  <c r="M70" i="18"/>
  <c r="M66" i="18"/>
  <c r="M71" i="18"/>
  <c r="T25" i="21"/>
  <c r="V25" i="21" s="1"/>
  <c r="T127" i="21"/>
  <c r="V127" i="21" s="1"/>
  <c r="T36" i="21"/>
  <c r="V36" i="21" s="1"/>
  <c r="T266" i="21"/>
  <c r="V266" i="21" s="1"/>
  <c r="T200" i="21"/>
  <c r="V200" i="21" s="1"/>
  <c r="T209" i="21"/>
  <c r="V209" i="21" s="1"/>
  <c r="T179" i="21"/>
  <c r="V179" i="21" s="1"/>
  <c r="T120" i="21"/>
  <c r="V120" i="21" s="1"/>
  <c r="T92" i="21"/>
  <c r="V92" i="21" s="1"/>
  <c r="T289" i="21"/>
  <c r="V289" i="21" s="1"/>
  <c r="T169" i="21"/>
  <c r="V169" i="21" s="1"/>
  <c r="T203" i="21"/>
  <c r="T128" i="21"/>
  <c r="V128" i="21" s="1"/>
  <c r="T112" i="21"/>
  <c r="V112" i="21" s="1"/>
  <c r="T65" i="21"/>
  <c r="V65" i="21" s="1"/>
  <c r="T170" i="21"/>
  <c r="V170" i="21" s="1"/>
  <c r="T158" i="21"/>
  <c r="V158" i="21" s="1"/>
  <c r="T177" i="21"/>
  <c r="V177" i="21" s="1"/>
  <c r="T66" i="21"/>
  <c r="V66" i="21" s="1"/>
  <c r="T64" i="21"/>
  <c r="V64" i="21" s="1"/>
  <c r="T63" i="21"/>
  <c r="V63" i="21" s="1"/>
  <c r="T69" i="21"/>
  <c r="V69" i="21" s="1"/>
  <c r="T173" i="21"/>
  <c r="V173" i="21" s="1"/>
  <c r="R10" i="21"/>
  <c r="N7" i="18"/>
  <c r="N8" i="18" s="1"/>
  <c r="N9" i="18" s="1"/>
  <c r="R191" i="21"/>
  <c r="R181" i="5"/>
  <c r="R153" i="21"/>
  <c r="R180" i="5"/>
  <c r="R77" i="5"/>
  <c r="R225" i="21"/>
  <c r="R75" i="5"/>
  <c r="R151" i="21"/>
  <c r="R182" i="5"/>
  <c r="R172" i="21"/>
  <c r="R78" i="5"/>
  <c r="R226" i="21"/>
  <c r="R76" i="5"/>
  <c r="R152" i="21"/>
  <c r="J134" i="6"/>
  <c r="C6" i="7"/>
  <c r="C124" i="7"/>
  <c r="C217" i="7"/>
  <c r="C9" i="7"/>
  <c r="C10" i="7"/>
  <c r="C12" i="7"/>
  <c r="C20" i="7"/>
  <c r="C21" i="7"/>
  <c r="C24" i="7"/>
  <c r="C27" i="7"/>
  <c r="C28" i="7"/>
  <c r="C31" i="7"/>
  <c r="C35" i="7"/>
  <c r="C37" i="7"/>
  <c r="C38" i="7"/>
  <c r="C43" i="7"/>
  <c r="C46" i="7"/>
  <c r="C51" i="7"/>
  <c r="C52" i="7"/>
  <c r="C54" i="7"/>
  <c r="C55" i="7"/>
  <c r="C56" i="7"/>
  <c r="C59" i="7"/>
  <c r="C64" i="7"/>
  <c r="C65" i="7"/>
  <c r="C66" i="7"/>
  <c r="C67" i="7"/>
  <c r="C68" i="7"/>
  <c r="C70" i="7"/>
  <c r="C71" i="7"/>
  <c r="C78" i="7"/>
  <c r="C81" i="7"/>
  <c r="C84" i="7"/>
  <c r="C85" i="7"/>
  <c r="C86" i="7"/>
  <c r="C87" i="7"/>
  <c r="C93" i="7"/>
  <c r="C95" i="7"/>
  <c r="C112" i="7"/>
  <c r="C115" i="7"/>
  <c r="C116" i="7"/>
  <c r="C121" i="7"/>
  <c r="C123" i="7"/>
  <c r="C130" i="7"/>
  <c r="C131" i="7"/>
  <c r="C134" i="7"/>
  <c r="C135" i="7"/>
  <c r="C144" i="7"/>
  <c r="C149" i="7"/>
  <c r="C150" i="7"/>
  <c r="C151" i="7"/>
  <c r="C152" i="7"/>
  <c r="C153" i="7"/>
  <c r="C155" i="7"/>
  <c r="C156" i="7"/>
  <c r="C157" i="7"/>
  <c r="C163" i="7"/>
  <c r="C164" i="7"/>
  <c r="C169" i="7"/>
  <c r="C170" i="7"/>
  <c r="C171" i="7"/>
  <c r="C172" i="7"/>
  <c r="C173" i="7"/>
  <c r="C174" i="7"/>
  <c r="C175" i="7"/>
  <c r="C177" i="7"/>
  <c r="C178" i="7"/>
  <c r="C182" i="7"/>
  <c r="C184" i="7"/>
  <c r="C185" i="7"/>
  <c r="C186" i="7"/>
  <c r="C191" i="7"/>
  <c r="C192" i="7"/>
  <c r="C193" i="7"/>
  <c r="C194" i="7"/>
  <c r="C195" i="7"/>
  <c r="C196" i="7"/>
  <c r="C197" i="7"/>
  <c r="C206" i="7"/>
  <c r="C209" i="7"/>
  <c r="C213" i="7"/>
  <c r="C216" i="7"/>
  <c r="C218" i="7"/>
  <c r="C222" i="7"/>
  <c r="C233" i="7"/>
  <c r="C234" i="7"/>
  <c r="C236" i="7"/>
  <c r="C237" i="7"/>
  <c r="C238" i="7"/>
  <c r="C239" i="7"/>
  <c r="C243" i="7"/>
  <c r="C244" i="7"/>
  <c r="C250" i="7"/>
  <c r="C253" i="7"/>
  <c r="C257" i="7"/>
  <c r="C242" i="7"/>
  <c r="C262" i="7"/>
  <c r="C266" i="7"/>
  <c r="C267" i="7"/>
  <c r="C268" i="7"/>
  <c r="C271" i="7"/>
  <c r="C274" i="7"/>
  <c r="C280" i="7"/>
  <c r="C281" i="7"/>
  <c r="C282" i="7"/>
  <c r="C283" i="7"/>
  <c r="C284" i="7"/>
  <c r="C288" i="7"/>
  <c r="C289" i="7"/>
  <c r="C293" i="7"/>
  <c r="C294" i="7"/>
  <c r="C295" i="7"/>
  <c r="C296" i="7"/>
  <c r="C297" i="7"/>
  <c r="C304" i="7"/>
  <c r="C311" i="7"/>
  <c r="C315" i="7"/>
  <c r="B6" i="7"/>
  <c r="B124" i="7"/>
  <c r="B217" i="7"/>
  <c r="B9" i="7"/>
  <c r="B10" i="7"/>
  <c r="B12" i="7"/>
  <c r="B20" i="7"/>
  <c r="B21" i="7"/>
  <c r="B24" i="7"/>
  <c r="B27" i="7"/>
  <c r="B28" i="7"/>
  <c r="B31" i="7"/>
  <c r="B35" i="7"/>
  <c r="B37" i="7"/>
  <c r="B38" i="7"/>
  <c r="B43" i="7"/>
  <c r="B46" i="7"/>
  <c r="B51" i="7"/>
  <c r="B52" i="7"/>
  <c r="B307" i="19" s="1"/>
  <c r="B54" i="7"/>
  <c r="B308" i="19" s="1"/>
  <c r="B55" i="7"/>
  <c r="B56" i="7"/>
  <c r="B59" i="7"/>
  <c r="B64" i="7"/>
  <c r="B65" i="7"/>
  <c r="B66" i="7"/>
  <c r="B67" i="7"/>
  <c r="B68" i="7"/>
  <c r="B70" i="7"/>
  <c r="B71" i="7"/>
  <c r="B78" i="7"/>
  <c r="B81" i="7"/>
  <c r="B84" i="7"/>
  <c r="B85" i="7"/>
  <c r="B86" i="7"/>
  <c r="B87" i="7"/>
  <c r="B93" i="7"/>
  <c r="B95" i="7"/>
  <c r="B112" i="7"/>
  <c r="B115" i="7"/>
  <c r="B116" i="7"/>
  <c r="B121" i="7"/>
  <c r="B123" i="7"/>
  <c r="B130" i="7"/>
  <c r="B131" i="7"/>
  <c r="B134" i="7"/>
  <c r="B135" i="7"/>
  <c r="B144" i="7"/>
  <c r="B149" i="7"/>
  <c r="B150" i="7"/>
  <c r="B151" i="7"/>
  <c r="B152" i="7"/>
  <c r="B153" i="7"/>
  <c r="B155" i="7"/>
  <c r="B156" i="7"/>
  <c r="B157" i="7"/>
  <c r="B163" i="7"/>
  <c r="B164" i="7"/>
  <c r="B169" i="7"/>
  <c r="B170" i="7"/>
  <c r="B171" i="7"/>
  <c r="B172" i="7"/>
  <c r="B173" i="7"/>
  <c r="B174" i="7"/>
  <c r="B175" i="7"/>
  <c r="B177" i="7"/>
  <c r="B178" i="7"/>
  <c r="B182" i="7"/>
  <c r="B184" i="7"/>
  <c r="B185" i="7"/>
  <c r="B186" i="7"/>
  <c r="B191" i="7"/>
  <c r="B192" i="7"/>
  <c r="B193" i="7"/>
  <c r="B194" i="7"/>
  <c r="B195" i="7"/>
  <c r="B196" i="7"/>
  <c r="B197" i="7"/>
  <c r="B206" i="7"/>
  <c r="B209" i="7"/>
  <c r="B213" i="7"/>
  <c r="B216" i="7"/>
  <c r="B218" i="7"/>
  <c r="B222" i="7"/>
  <c r="B233" i="7"/>
  <c r="B234" i="7"/>
  <c r="B236" i="7"/>
  <c r="B237" i="7"/>
  <c r="B238" i="7"/>
  <c r="B239" i="7"/>
  <c r="B243" i="7"/>
  <c r="B244" i="7"/>
  <c r="B250" i="7"/>
  <c r="B253" i="7"/>
  <c r="B257" i="7"/>
  <c r="B242" i="7"/>
  <c r="B262" i="7"/>
  <c r="B266" i="7"/>
  <c r="B267" i="7"/>
  <c r="B268" i="7"/>
  <c r="B271" i="7"/>
  <c r="B274" i="7"/>
  <c r="B280" i="7"/>
  <c r="B281" i="7"/>
  <c r="B282" i="7"/>
  <c r="B283" i="7"/>
  <c r="B284" i="7"/>
  <c r="B288" i="7"/>
  <c r="B289" i="7"/>
  <c r="B293" i="7"/>
  <c r="B294" i="7"/>
  <c r="B295" i="7"/>
  <c r="B296" i="7"/>
  <c r="B297" i="7"/>
  <c r="B299" i="7"/>
  <c r="B134" i="19" s="1"/>
  <c r="B304" i="7"/>
  <c r="B311" i="7"/>
  <c r="B315" i="7"/>
  <c r="Q24" i="5"/>
  <c r="Q23" i="5"/>
  <c r="Q22" i="5"/>
  <c r="J298" i="5"/>
  <c r="J179" i="5"/>
  <c r="J89" i="5"/>
  <c r="J88" i="5"/>
  <c r="J163" i="5"/>
  <c r="J84" i="5"/>
  <c r="J80" i="5"/>
  <c r="J113" i="5"/>
  <c r="J124" i="5"/>
  <c r="J142" i="5"/>
  <c r="J24" i="5"/>
  <c r="J78" i="5"/>
  <c r="I77" i="5"/>
  <c r="J23" i="5"/>
  <c r="I182" i="5"/>
  <c r="J181" i="5"/>
  <c r="J76" i="5"/>
  <c r="J75" i="5"/>
  <c r="J180" i="5"/>
  <c r="J22" i="5"/>
  <c r="J123" i="5"/>
  <c r="J61" i="5"/>
  <c r="J57" i="5"/>
  <c r="J108" i="5"/>
  <c r="J104" i="5"/>
  <c r="I21" i="5"/>
  <c r="J39" i="5"/>
  <c r="J38" i="5"/>
  <c r="J20" i="5"/>
  <c r="J268" i="5"/>
  <c r="I19" i="5"/>
  <c r="I18" i="5"/>
  <c r="I37" i="5"/>
  <c r="I17" i="5"/>
  <c r="J264" i="5"/>
  <c r="I16" i="5"/>
  <c r="J36" i="5"/>
  <c r="I15" i="5"/>
  <c r="I260" i="5"/>
  <c r="I258" i="5"/>
  <c r="I14" i="5"/>
  <c r="I13" i="5"/>
  <c r="I12" i="5"/>
  <c r="I35" i="5"/>
  <c r="I34" i="5"/>
  <c r="I33" i="5"/>
  <c r="I11" i="5"/>
  <c r="I10" i="5"/>
  <c r="I9" i="5"/>
  <c r="J249" i="5"/>
  <c r="I32" i="5"/>
  <c r="I246" i="5"/>
  <c r="J243" i="5"/>
  <c r="J241" i="5"/>
  <c r="J8" i="5"/>
  <c r="J7" i="5"/>
  <c r="J240" i="5"/>
  <c r="J31" i="5"/>
  <c r="I6" i="5"/>
  <c r="I5" i="5"/>
  <c r="J30" i="5"/>
  <c r="J238" i="5"/>
  <c r="J29" i="5"/>
  <c r="J28" i="5"/>
  <c r="J237" i="5"/>
  <c r="I224" i="5"/>
  <c r="I27" i="5"/>
  <c r="J221" i="5"/>
  <c r="J219" i="5"/>
  <c r="I26" i="5"/>
  <c r="J216" i="5"/>
  <c r="I215" i="5"/>
  <c r="J213" i="5"/>
  <c r="I212" i="5"/>
  <c r="I25" i="5"/>
  <c r="J201" i="5"/>
  <c r="J92" i="5"/>
  <c r="J195" i="5"/>
  <c r="J193" i="5"/>
  <c r="J91" i="5"/>
  <c r="R149" i="21" l="1"/>
  <c r="R13" i="21"/>
  <c r="N10" i="18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R32" i="21"/>
  <c r="C289" i="21"/>
  <c r="C295" i="21"/>
  <c r="C287" i="21"/>
  <c r="C280" i="21"/>
  <c r="C273" i="21"/>
  <c r="C236" i="21"/>
  <c r="C214" i="21"/>
  <c r="C190" i="21"/>
  <c r="C148" i="21"/>
  <c r="C84" i="21"/>
  <c r="C66" i="21"/>
  <c r="C235" i="21"/>
  <c r="C228" i="21"/>
  <c r="C189" i="21"/>
  <c r="C181" i="21"/>
  <c r="C173" i="21"/>
  <c r="C168" i="21"/>
  <c r="C147" i="21"/>
  <c r="C132" i="21"/>
  <c r="C76" i="21"/>
  <c r="C65" i="21"/>
  <c r="C57" i="21"/>
  <c r="R286" i="21"/>
  <c r="R285" i="21"/>
  <c r="R118" i="21"/>
  <c r="R28" i="21"/>
  <c r="R242" i="21"/>
  <c r="R260" i="21"/>
  <c r="R44" i="21"/>
  <c r="R272" i="21"/>
  <c r="R109" i="21"/>
  <c r="R21" i="21"/>
  <c r="R231" i="21"/>
  <c r="R131" i="21"/>
  <c r="R38" i="21"/>
  <c r="R230" i="21"/>
  <c r="R229" i="21"/>
  <c r="C266" i="21"/>
  <c r="C192" i="21"/>
  <c r="C188" i="21"/>
  <c r="C159" i="21"/>
  <c r="C146" i="21"/>
  <c r="C92" i="21"/>
  <c r="C69" i="21"/>
  <c r="C64" i="21"/>
  <c r="C121" i="21"/>
  <c r="C306" i="21"/>
  <c r="C302" i="21"/>
  <c r="C281" i="21"/>
  <c r="C263" i="21"/>
  <c r="C207" i="21"/>
  <c r="C179" i="21"/>
  <c r="C158" i="21"/>
  <c r="C145" i="21"/>
  <c r="C90" i="21"/>
  <c r="C68" i="21"/>
  <c r="C63" i="21"/>
  <c r="C53" i="21"/>
  <c r="C7" i="21"/>
  <c r="R259" i="21"/>
  <c r="R245" i="21"/>
  <c r="R52" i="21"/>
  <c r="R288" i="21"/>
  <c r="R166" i="21"/>
  <c r="R165" i="21"/>
  <c r="R22" i="21"/>
  <c r="R164" i="21"/>
  <c r="R39" i="21"/>
  <c r="R258" i="21"/>
  <c r="R167" i="21"/>
  <c r="R54" i="21"/>
  <c r="B133" i="19"/>
  <c r="C276" i="21"/>
  <c r="B78" i="19"/>
  <c r="C200" i="21"/>
  <c r="B90" i="19"/>
  <c r="C109" i="21"/>
  <c r="B130" i="19"/>
  <c r="C210" i="21"/>
  <c r="B13" i="19"/>
  <c r="C275" i="21"/>
  <c r="B293" i="17"/>
  <c r="C258" i="21"/>
  <c r="B44" i="19"/>
  <c r="C245" i="21"/>
  <c r="B43" i="19"/>
  <c r="C231" i="21"/>
  <c r="B70" i="19"/>
  <c r="C226" i="21"/>
  <c r="B129" i="19"/>
  <c r="C209" i="21"/>
  <c r="B8" i="19"/>
  <c r="C180" i="21"/>
  <c r="B35" i="19"/>
  <c r="C172" i="21"/>
  <c r="B69" i="19"/>
  <c r="C167" i="21"/>
  <c r="B34" i="19"/>
  <c r="C151" i="21"/>
  <c r="B67" i="19"/>
  <c r="C131" i="21"/>
  <c r="B91" i="19"/>
  <c r="C118" i="21"/>
  <c r="B61" i="19"/>
  <c r="C82" i="21"/>
  <c r="B65" i="19"/>
  <c r="C54" i="21"/>
  <c r="B32" i="19"/>
  <c r="C52" i="21"/>
  <c r="B54" i="19"/>
  <c r="C38" i="21"/>
  <c r="B84" i="19"/>
  <c r="C28" i="21"/>
  <c r="B64" i="19"/>
  <c r="C13" i="21"/>
  <c r="B102" i="19"/>
  <c r="C286" i="21"/>
  <c r="B294" i="17"/>
  <c r="C259" i="21"/>
  <c r="B131" i="19"/>
  <c r="C211" i="21"/>
  <c r="B7" i="19"/>
  <c r="C152" i="21"/>
  <c r="B123" i="19"/>
  <c r="C120" i="21"/>
  <c r="B62" i="19"/>
  <c r="C83" i="21"/>
  <c r="B6" i="19"/>
  <c r="C29" i="21"/>
  <c r="B71" i="19"/>
  <c r="C285" i="21"/>
  <c r="B103" i="19"/>
  <c r="C288" i="21"/>
  <c r="B101" i="19"/>
  <c r="C274" i="21"/>
  <c r="B63" i="19"/>
  <c r="C254" i="21"/>
  <c r="B99" i="19"/>
  <c r="C242" i="21"/>
  <c r="B98" i="19"/>
  <c r="C230" i="21"/>
  <c r="B97" i="19"/>
  <c r="C225" i="21"/>
  <c r="B48" i="19"/>
  <c r="C191" i="21"/>
  <c r="B77" i="19"/>
  <c r="C187" i="21"/>
  <c r="B127" i="19"/>
  <c r="C170" i="21"/>
  <c r="B95" i="19"/>
  <c r="C166" i="21"/>
  <c r="B125" i="19"/>
  <c r="C149" i="21"/>
  <c r="B76" i="19"/>
  <c r="C128" i="21"/>
  <c r="B122" i="19"/>
  <c r="C113" i="21"/>
  <c r="B120" i="19"/>
  <c r="C81" i="21"/>
  <c r="B117" i="19"/>
  <c r="C47" i="21"/>
  <c r="B4" i="19"/>
  <c r="C36" i="21"/>
  <c r="B53" i="19"/>
  <c r="C25" i="21"/>
  <c r="B116" i="19"/>
  <c r="C11" i="21"/>
  <c r="B46" i="19"/>
  <c r="C272" i="21"/>
  <c r="B80" i="19"/>
  <c r="C249" i="21"/>
  <c r="B68" i="19"/>
  <c r="C164" i="21"/>
  <c r="B60" i="19"/>
  <c r="C39" i="21"/>
  <c r="B82" i="19"/>
  <c r="C21" i="21"/>
  <c r="B45" i="19"/>
  <c r="C260" i="21"/>
  <c r="B132" i="19"/>
  <c r="C234" i="21"/>
  <c r="B42" i="19"/>
  <c r="C229" i="21"/>
  <c r="B79" i="19"/>
  <c r="C203" i="21"/>
  <c r="B128" i="19"/>
  <c r="C186" i="21"/>
  <c r="B5" i="19"/>
  <c r="C177" i="21"/>
  <c r="B126" i="19"/>
  <c r="C169" i="21"/>
  <c r="B94" i="19"/>
  <c r="C165" i="21"/>
  <c r="B31" i="19"/>
  <c r="C153" i="21"/>
  <c r="B93" i="19"/>
  <c r="C140" i="21"/>
  <c r="B124" i="19"/>
  <c r="C127" i="21"/>
  <c r="B121" i="19"/>
  <c r="C112" i="21"/>
  <c r="B119" i="19"/>
  <c r="C79" i="21"/>
  <c r="B118" i="19"/>
  <c r="C62" i="21"/>
  <c r="B86" i="19"/>
  <c r="C44" i="21"/>
  <c r="B85" i="19"/>
  <c r="C32" i="21"/>
  <c r="B83" i="19"/>
  <c r="C22" i="21"/>
  <c r="B81" i="19"/>
  <c r="C10" i="21"/>
  <c r="R140" i="21"/>
  <c r="M1" i="18"/>
  <c r="N1" i="18" s="1"/>
  <c r="B77" i="17"/>
  <c r="B114" i="19"/>
  <c r="B132" i="17"/>
  <c r="B9" i="19"/>
  <c r="B63" i="17"/>
  <c r="B57" i="19"/>
  <c r="B58" i="17"/>
  <c r="B105" i="19"/>
  <c r="B97" i="17"/>
  <c r="B88" i="19"/>
  <c r="B72" i="17"/>
  <c r="B112" i="19"/>
  <c r="B119" i="17"/>
  <c r="B55" i="19"/>
  <c r="B115" i="17"/>
  <c r="B96" i="19"/>
  <c r="B62" i="17"/>
  <c r="B56" i="19"/>
  <c r="B96" i="17"/>
  <c r="B38" i="19"/>
  <c r="B55" i="17"/>
  <c r="B72" i="19"/>
  <c r="B80" i="17"/>
  <c r="B115" i="19"/>
  <c r="B78" i="17"/>
  <c r="B59" i="19"/>
  <c r="B130" i="17"/>
  <c r="B100" i="19"/>
  <c r="B65" i="18"/>
  <c r="B277" i="19"/>
  <c r="B121" i="17"/>
  <c r="B41" i="19"/>
  <c r="B118" i="17"/>
  <c r="B36" i="19"/>
  <c r="B65" i="17"/>
  <c r="B51" i="19"/>
  <c r="B61" i="17"/>
  <c r="B73" i="19"/>
  <c r="B59" i="17"/>
  <c r="B106" i="19"/>
  <c r="B98" i="17"/>
  <c r="B89" i="19"/>
  <c r="B95" i="17"/>
  <c r="B37" i="19"/>
  <c r="B60" i="17"/>
  <c r="B50" i="19"/>
  <c r="B137" i="17"/>
  <c r="B47" i="19"/>
  <c r="B75" i="17"/>
  <c r="B11" i="19"/>
  <c r="B73" i="17"/>
  <c r="B75" i="19"/>
  <c r="B70" i="17"/>
  <c r="B111" i="19"/>
  <c r="B68" i="17"/>
  <c r="B52" i="19"/>
  <c r="B66" i="18"/>
  <c r="B27" i="19"/>
  <c r="B71" i="17"/>
  <c r="B74" i="19"/>
  <c r="B67" i="17"/>
  <c r="B109" i="19"/>
  <c r="B66" i="17"/>
  <c r="B108" i="19"/>
  <c r="B103" i="17"/>
  <c r="B92" i="19"/>
  <c r="B57" i="17"/>
  <c r="B10" i="19"/>
  <c r="B79" i="17"/>
  <c r="B12" i="19"/>
  <c r="B76" i="17"/>
  <c r="B113" i="19"/>
  <c r="B74" i="17"/>
  <c r="B58" i="19"/>
  <c r="B69" i="17"/>
  <c r="B110" i="19"/>
  <c r="B116" i="17"/>
  <c r="B40" i="19"/>
  <c r="B64" i="17"/>
  <c r="B107" i="19"/>
  <c r="B106" i="17"/>
  <c r="B39" i="19"/>
  <c r="B99" i="17"/>
  <c r="B66" i="19"/>
  <c r="B56" i="17"/>
  <c r="B49" i="19"/>
  <c r="B94" i="17"/>
  <c r="B87" i="19"/>
  <c r="B92" i="17"/>
  <c r="B33" i="19"/>
  <c r="B54" i="17"/>
  <c r="B104" i="19"/>
  <c r="A71" i="5"/>
  <c r="B52" i="17"/>
  <c r="B69" i="18"/>
  <c r="B131" i="17"/>
  <c r="A68" i="5"/>
  <c r="B49" i="17"/>
  <c r="A133" i="5"/>
  <c r="B47" i="17"/>
  <c r="A65" i="5"/>
  <c r="B43" i="17"/>
  <c r="B44" i="18"/>
  <c r="B110" i="17"/>
  <c r="B41" i="18"/>
  <c r="B108" i="17"/>
  <c r="A52" i="5"/>
  <c r="B34" i="17"/>
  <c r="B31" i="18"/>
  <c r="B100" i="17"/>
  <c r="A48" i="5"/>
  <c r="B31" i="17"/>
  <c r="B23" i="18"/>
  <c r="B90" i="17"/>
  <c r="A44" i="5"/>
  <c r="B19" i="18"/>
  <c r="B25" i="17"/>
  <c r="B4" i="18"/>
  <c r="B86" i="17"/>
  <c r="B13" i="18"/>
  <c r="B83" i="17"/>
  <c r="A132" i="5"/>
  <c r="B46" i="17"/>
  <c r="A73" i="5"/>
  <c r="B53" i="17"/>
  <c r="B70" i="18"/>
  <c r="B134" i="17"/>
  <c r="A70" i="5"/>
  <c r="B51" i="17"/>
  <c r="B60" i="18"/>
  <c r="B128" i="17"/>
  <c r="B57" i="18"/>
  <c r="B126" i="17"/>
  <c r="B54" i="18"/>
  <c r="B123" i="17"/>
  <c r="A66" i="5"/>
  <c r="B45" i="17"/>
  <c r="B5" i="18"/>
  <c r="B117" i="17"/>
  <c r="B114" i="17"/>
  <c r="B48" i="18"/>
  <c r="B47" i="18"/>
  <c r="B113" i="17"/>
  <c r="B107" i="17"/>
  <c r="B40" i="18"/>
  <c r="B33" i="18"/>
  <c r="B102" i="17"/>
  <c r="B32" i="18"/>
  <c r="B101" i="17"/>
  <c r="A128" i="5"/>
  <c r="B30" i="17"/>
  <c r="B26" i="18"/>
  <c r="B93" i="17"/>
  <c r="B22" i="18"/>
  <c r="B89" i="17"/>
  <c r="A105" i="5"/>
  <c r="B18" i="18"/>
  <c r="B24" i="17"/>
  <c r="B15" i="18"/>
  <c r="B85" i="17"/>
  <c r="B10" i="18"/>
  <c r="B82" i="17"/>
  <c r="B71" i="18"/>
  <c r="B135" i="17"/>
  <c r="B72" i="18"/>
  <c r="B136" i="17"/>
  <c r="B6" i="18"/>
  <c r="B133" i="17"/>
  <c r="A69" i="5"/>
  <c r="B50" i="17"/>
  <c r="B59" i="18"/>
  <c r="B127" i="17"/>
  <c r="B56" i="18"/>
  <c r="B125" i="17"/>
  <c r="B122" i="17"/>
  <c r="B53" i="18"/>
  <c r="B7" i="18"/>
  <c r="B120" i="17"/>
  <c r="A63" i="5"/>
  <c r="B42" i="17"/>
  <c r="A59" i="5"/>
  <c r="B39" i="17"/>
  <c r="B46" i="18"/>
  <c r="B112" i="17"/>
  <c r="A56" i="5"/>
  <c r="B38" i="18"/>
  <c r="B37" i="17"/>
  <c r="A54" i="5"/>
  <c r="B36" i="17"/>
  <c r="A93" i="5"/>
  <c r="B33" i="17"/>
  <c r="A47" i="5"/>
  <c r="B29" i="17"/>
  <c r="A45" i="5"/>
  <c r="B26" i="17"/>
  <c r="A43" i="5"/>
  <c r="B23" i="17"/>
  <c r="A42" i="5"/>
  <c r="B22" i="17"/>
  <c r="A41" i="5"/>
  <c r="B21" i="17"/>
  <c r="B67" i="18"/>
  <c r="B129" i="17"/>
  <c r="A110" i="5"/>
  <c r="B48" i="17"/>
  <c r="B55" i="18"/>
  <c r="B124" i="17"/>
  <c r="A130" i="5"/>
  <c r="B44" i="17"/>
  <c r="A96" i="5"/>
  <c r="B41" i="17"/>
  <c r="A60" i="5"/>
  <c r="B40" i="17"/>
  <c r="A58" i="5"/>
  <c r="B38" i="17"/>
  <c r="B45" i="18"/>
  <c r="B111" i="17"/>
  <c r="B42" i="18"/>
  <c r="B109" i="17"/>
  <c r="B35" i="18"/>
  <c r="B105" i="17"/>
  <c r="A118" i="5"/>
  <c r="B35" i="17"/>
  <c r="A51" i="5"/>
  <c r="B32" i="17"/>
  <c r="A107" i="5"/>
  <c r="B28" i="17"/>
  <c r="A117" i="5"/>
  <c r="B27" i="17"/>
  <c r="B25" i="18"/>
  <c r="B91" i="17"/>
  <c r="B20" i="18"/>
  <c r="B88" i="17"/>
  <c r="B16" i="18"/>
  <c r="B87" i="17"/>
  <c r="B14" i="18"/>
  <c r="B84" i="17"/>
  <c r="B8" i="18"/>
  <c r="B81" i="17"/>
  <c r="B61" i="14"/>
  <c r="B267" i="13"/>
  <c r="B60" i="14"/>
  <c r="B268" i="13"/>
  <c r="B149" i="14"/>
  <c r="B180" i="13"/>
  <c r="B137" i="13"/>
  <c r="B192" i="14"/>
  <c r="B275" i="14"/>
  <c r="B55" i="13"/>
  <c r="B307" i="14"/>
  <c r="B23" i="13"/>
  <c r="B193" i="14"/>
  <c r="B136" i="13"/>
  <c r="B173" i="13"/>
  <c r="B156" i="14"/>
  <c r="B273" i="14"/>
  <c r="B57" i="13"/>
  <c r="B24" i="13"/>
  <c r="B306" i="14"/>
  <c r="A20" i="5"/>
  <c r="B47" i="14"/>
  <c r="B281" i="13"/>
  <c r="B258" i="13"/>
  <c r="B70" i="14"/>
  <c r="B188" i="13"/>
  <c r="B141" i="14"/>
  <c r="B316" i="13"/>
  <c r="B12" i="14"/>
  <c r="B44" i="14"/>
  <c r="B284" i="13"/>
  <c r="A18" i="5"/>
  <c r="B254" i="13"/>
  <c r="B74" i="14"/>
  <c r="B111" i="14"/>
  <c r="B217" i="13"/>
  <c r="A23" i="5"/>
  <c r="B142" i="14"/>
  <c r="B187" i="13"/>
  <c r="B163" i="14"/>
  <c r="B166" i="13"/>
  <c r="B152" i="13"/>
  <c r="B177" i="14"/>
  <c r="A32" i="5"/>
  <c r="B123" i="13"/>
  <c r="B206" i="14"/>
  <c r="B232" i="14"/>
  <c r="B97" i="13"/>
  <c r="B87" i="13"/>
  <c r="B242" i="14"/>
  <c r="A243" i="5"/>
  <c r="B256" i="14"/>
  <c r="B74" i="13"/>
  <c r="A7" i="5"/>
  <c r="B69" i="13"/>
  <c r="B261" i="14"/>
  <c r="A31" i="5"/>
  <c r="B271" i="14"/>
  <c r="B59" i="13"/>
  <c r="B276" i="14"/>
  <c r="B54" i="13"/>
  <c r="B290" i="14"/>
  <c r="B40" i="13"/>
  <c r="A29" i="5"/>
  <c r="B30" i="13"/>
  <c r="B300" i="14"/>
  <c r="A28" i="5"/>
  <c r="B315" i="14"/>
  <c r="B15" i="13"/>
  <c r="B126" i="13"/>
  <c r="B203" i="14"/>
  <c r="B43" i="14"/>
  <c r="B285" i="13"/>
  <c r="B91" i="14"/>
  <c r="B237" i="13"/>
  <c r="B121" i="14"/>
  <c r="B208" i="13"/>
  <c r="B30" i="14"/>
  <c r="B298" i="13"/>
  <c r="A268" i="5"/>
  <c r="B53" i="14"/>
  <c r="B275" i="13"/>
  <c r="A17" i="5"/>
  <c r="B240" i="13"/>
  <c r="B88" i="14"/>
  <c r="B130" i="14"/>
  <c r="B199" i="13"/>
  <c r="B179" i="13"/>
  <c r="B150" i="14"/>
  <c r="B172" i="14"/>
  <c r="B157" i="13"/>
  <c r="B290" i="13"/>
  <c r="B38" i="14"/>
  <c r="B272" i="13"/>
  <c r="B56" i="14"/>
  <c r="B263" i="13"/>
  <c r="B65" i="14"/>
  <c r="A264" i="5"/>
  <c r="B239" i="13"/>
  <c r="B89" i="14"/>
  <c r="B234" i="13"/>
  <c r="B94" i="14"/>
  <c r="B114" i="14"/>
  <c r="B215" i="13"/>
  <c r="A260" i="5"/>
  <c r="B131" i="14"/>
  <c r="B198" i="13"/>
  <c r="B135" i="14"/>
  <c r="B194" i="13"/>
  <c r="B143" i="14"/>
  <c r="B186" i="13"/>
  <c r="B177" i="13"/>
  <c r="B152" i="14"/>
  <c r="B165" i="13"/>
  <c r="B164" i="14"/>
  <c r="B155" i="13"/>
  <c r="B174" i="14"/>
  <c r="A9" i="5"/>
  <c r="B151" i="13"/>
  <c r="B178" i="14"/>
  <c r="B196" i="14"/>
  <c r="B133" i="13"/>
  <c r="B118" i="13"/>
  <c r="B211" i="14"/>
  <c r="B234" i="14"/>
  <c r="B95" i="13"/>
  <c r="B4" i="13"/>
  <c r="B243" i="14"/>
  <c r="B73" i="13"/>
  <c r="B257" i="14"/>
  <c r="A240" i="5"/>
  <c r="B262" i="14"/>
  <c r="B68" i="13"/>
  <c r="B272" i="14"/>
  <c r="B58" i="13"/>
  <c r="B281" i="14"/>
  <c r="B49" i="13"/>
  <c r="B292" i="14"/>
  <c r="B38" i="13"/>
  <c r="B27" i="13"/>
  <c r="B303" i="14"/>
  <c r="B317" i="14"/>
  <c r="B13" i="13"/>
  <c r="B9" i="13"/>
  <c r="B321" i="14"/>
  <c r="B28" i="14"/>
  <c r="B300" i="13"/>
  <c r="B109" i="14"/>
  <c r="B219" i="13"/>
  <c r="B154" i="14"/>
  <c r="B175" i="13"/>
  <c r="B294" i="13"/>
  <c r="B34" i="14"/>
  <c r="A78" i="5"/>
  <c r="B235" i="13"/>
  <c r="B93" i="14"/>
  <c r="B134" i="14"/>
  <c r="B195" i="13"/>
  <c r="A35" i="5"/>
  <c r="B155" i="14"/>
  <c r="B174" i="13"/>
  <c r="B16" i="14"/>
  <c r="B312" i="13"/>
  <c r="A39" i="5"/>
  <c r="B31" i="14"/>
  <c r="B297" i="13"/>
  <c r="B283" i="13"/>
  <c r="B45" i="14"/>
  <c r="B251" i="13"/>
  <c r="B77" i="14"/>
  <c r="B23" i="14"/>
  <c r="B305" i="13"/>
  <c r="B32" i="14"/>
  <c r="B296" i="13"/>
  <c r="B39" i="14"/>
  <c r="B289" i="13"/>
  <c r="A163" i="5"/>
  <c r="B46" i="14"/>
  <c r="B282" i="13"/>
  <c r="B269" i="13"/>
  <c r="B59" i="14"/>
  <c r="B243" i="13"/>
  <c r="B85" i="14"/>
  <c r="B83" i="14"/>
  <c r="B245" i="13"/>
  <c r="B238" i="13"/>
  <c r="B90" i="14"/>
  <c r="B223" i="13"/>
  <c r="B105" i="14"/>
  <c r="B118" i="14"/>
  <c r="B211" i="13"/>
  <c r="B197" i="13"/>
  <c r="B132" i="14"/>
  <c r="B136" i="14"/>
  <c r="B193" i="13"/>
  <c r="B145" i="14"/>
  <c r="B184" i="13"/>
  <c r="B153" i="14"/>
  <c r="B176" i="13"/>
  <c r="A34" i="5"/>
  <c r="B157" i="14"/>
  <c r="B172" i="13"/>
  <c r="B159" i="13"/>
  <c r="B170" i="14"/>
  <c r="B175" i="14"/>
  <c r="B154" i="13"/>
  <c r="B146" i="13"/>
  <c r="B183" i="14"/>
  <c r="B132" i="13"/>
  <c r="B197" i="14"/>
  <c r="B212" i="14"/>
  <c r="B117" i="13"/>
  <c r="B89" i="13"/>
  <c r="B240" i="14"/>
  <c r="B246" i="14"/>
  <c r="B84" i="13"/>
  <c r="A241" i="5"/>
  <c r="B259" i="14"/>
  <c r="B71" i="13"/>
  <c r="B263" i="14"/>
  <c r="B67" i="13"/>
  <c r="A30" i="5"/>
  <c r="B284" i="14"/>
  <c r="B46" i="13"/>
  <c r="A238" i="5"/>
  <c r="B296" i="14"/>
  <c r="B34" i="13"/>
  <c r="B318" i="14"/>
  <c r="B12" i="13"/>
  <c r="A89" i="5"/>
  <c r="B33" i="14"/>
  <c r="B295" i="13"/>
  <c r="B244" i="13"/>
  <c r="B84" i="14"/>
  <c r="B196" i="13"/>
  <c r="B133" i="14"/>
  <c r="B171" i="13"/>
  <c r="B158" i="14"/>
  <c r="A76" i="5"/>
  <c r="B158" i="13"/>
  <c r="B171" i="14"/>
  <c r="B176" i="14"/>
  <c r="B153" i="13"/>
  <c r="B125" i="13"/>
  <c r="B204" i="14"/>
  <c r="B215" i="14"/>
  <c r="B114" i="13"/>
  <c r="B241" i="14"/>
  <c r="B88" i="13"/>
  <c r="B249" i="14"/>
  <c r="B81" i="13"/>
  <c r="A8" i="5"/>
  <c r="B70" i="13"/>
  <c r="B260" i="14"/>
  <c r="B62" i="13"/>
  <c r="B268" i="14"/>
  <c r="B289" i="14"/>
  <c r="B41" i="13"/>
  <c r="A22" i="5"/>
  <c r="B299" i="14"/>
  <c r="B31" i="13"/>
  <c r="B218" i="13"/>
  <c r="B110" i="14"/>
  <c r="A233" i="5"/>
  <c r="A220" i="5"/>
  <c r="A134" i="5"/>
  <c r="A148" i="5"/>
  <c r="A198" i="5"/>
  <c r="A265" i="5"/>
  <c r="A300" i="5"/>
  <c r="A288" i="5"/>
  <c r="A26" i="6"/>
  <c r="A81" i="5"/>
  <c r="A80" i="5"/>
  <c r="A33" i="5"/>
  <c r="A46" i="5"/>
  <c r="A100" i="5"/>
  <c r="A244" i="5"/>
  <c r="A98" i="5"/>
  <c r="A164" i="5"/>
  <c r="A274" i="5"/>
  <c r="A216" i="5"/>
  <c r="A15" i="5"/>
  <c r="A193" i="5"/>
  <c r="A212" i="5"/>
  <c r="A12" i="5"/>
  <c r="A298" i="5"/>
  <c r="A182" i="5"/>
  <c r="A57" i="5"/>
  <c r="A91" i="5"/>
  <c r="A10" i="5"/>
  <c r="A75" i="5"/>
  <c r="A25" i="5"/>
  <c r="A13" i="6"/>
  <c r="A149" i="5"/>
  <c r="A7" i="6"/>
  <c r="A169" i="5"/>
  <c r="A36" i="6"/>
  <c r="A90" i="5"/>
  <c r="A35" i="6"/>
  <c r="A87" i="5"/>
  <c r="A31" i="6"/>
  <c r="A85" i="5"/>
  <c r="A30" i="6"/>
  <c r="A158" i="5"/>
  <c r="A194" i="5"/>
  <c r="A285" i="5"/>
  <c r="A214" i="5"/>
  <c r="A257" i="5"/>
  <c r="A62" i="5"/>
  <c r="A146" i="5"/>
  <c r="A272" i="5"/>
  <c r="A303" i="5"/>
  <c r="A136" i="5"/>
  <c r="A175" i="5"/>
  <c r="A34" i="6"/>
  <c r="A157" i="5"/>
  <c r="A28" i="6"/>
  <c r="A82" i="5"/>
  <c r="A14" i="5"/>
  <c r="A215" i="5"/>
  <c r="A94" i="5"/>
  <c r="A143" i="5"/>
  <c r="A207" i="5"/>
  <c r="A294" i="5"/>
  <c r="A188" i="5"/>
  <c r="A228" i="5"/>
  <c r="A250" i="5"/>
  <c r="A280" i="5"/>
  <c r="A292" i="5"/>
  <c r="A186" i="5"/>
  <c r="A226" i="5"/>
  <c r="A247" i="5"/>
  <c r="A278" i="5"/>
  <c r="A205" i="5"/>
  <c r="A50" i="5"/>
  <c r="A176" i="5"/>
  <c r="A142" i="5"/>
  <c r="A5" i="5"/>
  <c r="A206" i="5"/>
  <c r="A293" i="5"/>
  <c r="A187" i="5"/>
  <c r="A227" i="5"/>
  <c r="A248" i="5"/>
  <c r="A279" i="5"/>
  <c r="A53" i="5"/>
  <c r="A177" i="5"/>
  <c r="A74" i="5"/>
  <c r="A116" i="5"/>
  <c r="A273" i="5"/>
  <c r="A72" i="5"/>
  <c r="A167" i="5"/>
  <c r="A270" i="5"/>
  <c r="A24" i="5"/>
  <c r="A38" i="5"/>
  <c r="A199" i="5"/>
  <c r="A289" i="5"/>
  <c r="A301" i="5"/>
  <c r="A234" i="5"/>
  <c r="A267" i="5"/>
  <c r="A222" i="5"/>
  <c r="A135" i="5"/>
  <c r="A126" i="5"/>
  <c r="A33" i="6"/>
  <c r="A86" i="5"/>
  <c r="A84" i="5"/>
  <c r="A37" i="5"/>
  <c r="A36" i="5"/>
  <c r="A26" i="5"/>
  <c r="A92" i="5"/>
  <c r="A77" i="5"/>
  <c r="A261" i="5"/>
  <c r="A196" i="5"/>
  <c r="A131" i="5"/>
  <c r="A165" i="5"/>
  <c r="A286" i="5"/>
  <c r="A217" i="5"/>
  <c r="A25" i="6"/>
  <c r="A156" i="5"/>
  <c r="A13" i="5"/>
  <c r="A213" i="5"/>
  <c r="A61" i="5"/>
  <c r="A22" i="6"/>
  <c r="A162" i="5"/>
  <c r="A119" i="5"/>
  <c r="A172" i="5"/>
  <c r="A254" i="5"/>
  <c r="A20" i="6"/>
  <c r="A114" i="5"/>
  <c r="A19" i="6"/>
  <c r="A103" i="5"/>
  <c r="A16" i="6"/>
  <c r="A155" i="5"/>
  <c r="A246" i="5"/>
  <c r="A108" i="5"/>
  <c r="A113" i="5"/>
  <c r="A12" i="6"/>
  <c r="A153" i="5"/>
  <c r="A184" i="5"/>
  <c r="A203" i="5"/>
  <c r="A242" i="5"/>
  <c r="A127" i="5"/>
  <c r="A139" i="5"/>
  <c r="A276" i="5"/>
  <c r="A124" i="5"/>
  <c r="A6" i="5"/>
  <c r="A9" i="6"/>
  <c r="A159" i="5"/>
  <c r="A6" i="6"/>
  <c r="A151" i="5"/>
  <c r="A5" i="6"/>
  <c r="A168" i="5"/>
  <c r="A4" i="6"/>
  <c r="A99" i="5"/>
  <c r="A236" i="5"/>
  <c r="A40" i="5"/>
  <c r="A111" i="5"/>
  <c r="A120" i="5"/>
  <c r="A83" i="5"/>
  <c r="A263" i="5"/>
  <c r="A258" i="5"/>
  <c r="A195" i="5"/>
  <c r="A192" i="5"/>
  <c r="A211" i="5"/>
  <c r="A256" i="5"/>
  <c r="A109" i="5"/>
  <c r="A173" i="5"/>
  <c r="A284" i="5"/>
  <c r="A189" i="5"/>
  <c r="A229" i="5"/>
  <c r="A251" i="5"/>
  <c r="A281" i="5"/>
  <c r="A55" i="5"/>
  <c r="A125" i="5"/>
  <c r="A208" i="5"/>
  <c r="A295" i="5"/>
  <c r="A17" i="6"/>
  <c r="A101" i="5"/>
  <c r="A14" i="6"/>
  <c r="A150" i="5"/>
  <c r="A202" i="5"/>
  <c r="A225" i="5"/>
  <c r="A239" i="5"/>
  <c r="A183" i="5"/>
  <c r="A106" i="5"/>
  <c r="A152" i="5"/>
  <c r="A275" i="5"/>
  <c r="A291" i="5"/>
  <c r="A8" i="6"/>
  <c r="A170" i="5"/>
  <c r="A29" i="6"/>
  <c r="A160" i="5"/>
  <c r="A27" i="5"/>
  <c r="A88" i="5"/>
  <c r="A210" i="5"/>
  <c r="A255" i="5"/>
  <c r="A95" i="5"/>
  <c r="A140" i="5"/>
  <c r="A297" i="5"/>
  <c r="A191" i="5"/>
  <c r="A231" i="5"/>
  <c r="A283" i="5"/>
  <c r="A201" i="5"/>
  <c r="A224" i="5"/>
  <c r="A21" i="5"/>
  <c r="A123" i="5"/>
  <c r="A179" i="5"/>
  <c r="A271" i="5"/>
  <c r="A223" i="5"/>
  <c r="A200" i="5"/>
  <c r="A290" i="5"/>
  <c r="A302" i="5"/>
  <c r="A235" i="5"/>
  <c r="A122" i="5"/>
  <c r="A138" i="5"/>
  <c r="A121" i="5"/>
  <c r="A166" i="5"/>
  <c r="A269" i="5"/>
  <c r="A221" i="5"/>
  <c r="A19" i="5"/>
  <c r="A32" i="6"/>
  <c r="A137" i="5"/>
  <c r="A266" i="5"/>
  <c r="A67" i="5"/>
  <c r="A145" i="5"/>
  <c r="A219" i="5"/>
  <c r="A16" i="5"/>
  <c r="A218" i="5"/>
  <c r="A262" i="5"/>
  <c r="A232" i="5"/>
  <c r="A197" i="5"/>
  <c r="A97" i="5"/>
  <c r="A115" i="5"/>
  <c r="A287" i="5"/>
  <c r="A299" i="5"/>
  <c r="A27" i="6"/>
  <c r="A178" i="5"/>
  <c r="A64" i="5"/>
  <c r="A141" i="5"/>
  <c r="A259" i="5"/>
  <c r="A24" i="6"/>
  <c r="A147" i="5"/>
  <c r="A23" i="6"/>
  <c r="A174" i="5"/>
  <c r="A21" i="6"/>
  <c r="A161" i="5"/>
  <c r="A11" i="5"/>
  <c r="A181" i="5"/>
  <c r="A296" i="5"/>
  <c r="A209" i="5"/>
  <c r="A190" i="5"/>
  <c r="A230" i="5"/>
  <c r="A252" i="5"/>
  <c r="A282" i="5"/>
  <c r="A129" i="5"/>
  <c r="A144" i="5"/>
  <c r="A180" i="5"/>
  <c r="A249" i="5"/>
  <c r="A18" i="6"/>
  <c r="A102" i="5"/>
  <c r="A15" i="6"/>
  <c r="A171" i="5"/>
  <c r="A185" i="5"/>
  <c r="A245" i="5"/>
  <c r="A277" i="5"/>
  <c r="A49" i="5"/>
  <c r="A154" i="5"/>
  <c r="A204" i="5"/>
  <c r="A11" i="6"/>
  <c r="A79" i="5"/>
  <c r="A10" i="6"/>
  <c r="A112" i="5"/>
  <c r="A237" i="5"/>
  <c r="A104" i="5"/>
  <c r="A184" i="6"/>
  <c r="A142" i="6"/>
  <c r="A46" i="6"/>
  <c r="A68" i="6"/>
  <c r="A157" i="6"/>
  <c r="A119" i="6"/>
  <c r="A170" i="6"/>
  <c r="A90" i="6"/>
  <c r="A137" i="6"/>
  <c r="A64" i="6"/>
  <c r="A108" i="6"/>
  <c r="A150" i="6"/>
  <c r="A190" i="6"/>
  <c r="A54" i="6"/>
  <c r="A127" i="6"/>
  <c r="A178" i="6"/>
  <c r="A163" i="6"/>
  <c r="A98" i="6"/>
  <c r="A76" i="6"/>
  <c r="A63" i="6"/>
  <c r="A107" i="6"/>
  <c r="A136" i="6"/>
  <c r="A102" i="6"/>
  <c r="A79" i="6"/>
  <c r="A58" i="6"/>
  <c r="A181" i="6"/>
  <c r="A153" i="6"/>
  <c r="A131" i="6"/>
  <c r="A120" i="6"/>
  <c r="A47" i="6"/>
  <c r="A171" i="6"/>
  <c r="A143" i="6"/>
  <c r="A91" i="6"/>
  <c r="A69" i="6"/>
  <c r="A189" i="6"/>
  <c r="A53" i="6"/>
  <c r="A75" i="6"/>
  <c r="A126" i="6"/>
  <c r="A177" i="6"/>
  <c r="A162" i="6"/>
  <c r="A149" i="6"/>
  <c r="A97" i="6"/>
  <c r="A133" i="6"/>
  <c r="A104" i="6"/>
  <c r="A60" i="6"/>
  <c r="A121" i="6"/>
  <c r="A172" i="6"/>
  <c r="A144" i="6"/>
  <c r="A92" i="6"/>
  <c r="A158" i="6"/>
  <c r="A48" i="6"/>
  <c r="A185" i="6"/>
  <c r="A70" i="6"/>
  <c r="A87" i="6"/>
  <c r="A116" i="6"/>
  <c r="A43" i="6"/>
  <c r="A174" i="6"/>
  <c r="A94" i="6"/>
  <c r="A72" i="6"/>
  <c r="A160" i="6"/>
  <c r="A50" i="6"/>
  <c r="A187" i="6"/>
  <c r="A123" i="6"/>
  <c r="A146" i="6"/>
  <c r="A168" i="6"/>
  <c r="A112" i="6"/>
  <c r="A66" i="6"/>
  <c r="A183" i="6"/>
  <c r="A155" i="6"/>
  <c r="A83" i="6"/>
  <c r="A39" i="6"/>
  <c r="A140" i="6"/>
  <c r="A45" i="6"/>
  <c r="A118" i="6"/>
  <c r="A89" i="6"/>
  <c r="A114" i="6"/>
  <c r="A85" i="6"/>
  <c r="A156" i="6"/>
  <c r="A41" i="6"/>
  <c r="A159" i="6"/>
  <c r="A186" i="6"/>
  <c r="A71" i="6"/>
  <c r="A122" i="6"/>
  <c r="A173" i="6"/>
  <c r="A145" i="6"/>
  <c r="A93" i="6"/>
  <c r="A49" i="6"/>
  <c r="A124" i="6"/>
  <c r="A175" i="6"/>
  <c r="A147" i="6"/>
  <c r="A95" i="6"/>
  <c r="A161" i="6"/>
  <c r="A51" i="6"/>
  <c r="A188" i="6"/>
  <c r="A73" i="6"/>
  <c r="A179" i="6"/>
  <c r="A164" i="6"/>
  <c r="A151" i="6"/>
  <c r="A99" i="6"/>
  <c r="A191" i="6"/>
  <c r="A77" i="6"/>
  <c r="A128" i="6"/>
  <c r="A55" i="6"/>
  <c r="A132" i="6"/>
  <c r="A103" i="6"/>
  <c r="A80" i="6"/>
  <c r="A166" i="6"/>
  <c r="A59" i="6"/>
  <c r="A193" i="6"/>
  <c r="A182" i="6"/>
  <c r="A154" i="6"/>
  <c r="A130" i="6"/>
  <c r="A101" i="6"/>
  <c r="A57" i="6"/>
  <c r="A74" i="6"/>
  <c r="A125" i="6"/>
  <c r="A176" i="6"/>
  <c r="A148" i="6"/>
  <c r="A96" i="6"/>
  <c r="A52" i="6"/>
  <c r="A62" i="6"/>
  <c r="A135" i="6"/>
  <c r="A106" i="6"/>
  <c r="A117" i="6"/>
  <c r="A44" i="6"/>
  <c r="A88" i="6"/>
  <c r="A100" i="6"/>
  <c r="A129" i="6"/>
  <c r="A180" i="6"/>
  <c r="A165" i="6"/>
  <c r="A152" i="6"/>
  <c r="A192" i="6"/>
  <c r="A56" i="6"/>
  <c r="A78" i="6"/>
  <c r="A84" i="6"/>
  <c r="A169" i="6"/>
  <c r="A141" i="6"/>
  <c r="A113" i="6"/>
  <c r="A67" i="6"/>
  <c r="A40" i="6"/>
  <c r="A86" i="6"/>
  <c r="A42" i="6"/>
  <c r="A115" i="6"/>
  <c r="A82" i="6"/>
  <c r="A65" i="6"/>
  <c r="A38" i="6"/>
  <c r="A167" i="6"/>
  <c r="A139" i="6"/>
  <c r="A111" i="6"/>
  <c r="A61" i="6"/>
  <c r="A134" i="6"/>
  <c r="A105" i="6"/>
  <c r="J46" i="13" l="1"/>
  <c r="N43" i="7"/>
  <c r="R30" i="5" s="1"/>
  <c r="K46" i="13"/>
  <c r="J305" i="13"/>
  <c r="N304" i="7"/>
  <c r="Q21" i="5" s="1"/>
  <c r="K305" i="13"/>
  <c r="J193" i="13"/>
  <c r="N191" i="7"/>
  <c r="K193" i="13"/>
  <c r="J35" i="13"/>
  <c r="N32" i="7"/>
  <c r="K35" i="13"/>
  <c r="J108" i="13"/>
  <c r="N106" i="7"/>
  <c r="K108" i="13"/>
  <c r="J191" i="13"/>
  <c r="N189" i="7"/>
  <c r="K191" i="13"/>
  <c r="J242" i="13"/>
  <c r="N241" i="7"/>
  <c r="J291" i="13"/>
  <c r="N290" i="7"/>
  <c r="J151" i="13"/>
  <c r="N149" i="7"/>
  <c r="Q9" i="5" s="1"/>
  <c r="K151" i="13"/>
  <c r="J223" i="13"/>
  <c r="N222" i="7"/>
  <c r="K223" i="13"/>
  <c r="J11" i="13"/>
  <c r="N8" i="7"/>
  <c r="K11" i="13"/>
  <c r="J91" i="13"/>
  <c r="N89" i="7"/>
  <c r="K91" i="13"/>
  <c r="J192" i="13"/>
  <c r="N190" i="7"/>
  <c r="K192" i="13"/>
  <c r="J266" i="13"/>
  <c r="N265" i="7"/>
  <c r="K266" i="13"/>
  <c r="J69" i="13"/>
  <c r="N66" i="7"/>
  <c r="Q7" i="5" s="1"/>
  <c r="J97" i="13"/>
  <c r="N95" i="7"/>
  <c r="J55" i="6" s="1"/>
  <c r="J219" i="13"/>
  <c r="N218" i="7"/>
  <c r="K219" i="13"/>
  <c r="J75" i="13"/>
  <c r="N72" i="7"/>
  <c r="K75" i="13"/>
  <c r="J115" i="13"/>
  <c r="N113" i="7"/>
  <c r="K115" i="13"/>
  <c r="J204" i="13"/>
  <c r="N202" i="7"/>
  <c r="K204" i="13"/>
  <c r="J252" i="13"/>
  <c r="N251" i="7"/>
  <c r="K252" i="13"/>
  <c r="J23" i="13"/>
  <c r="N20" i="7"/>
  <c r="K23" i="13"/>
  <c r="J282" i="13"/>
  <c r="N281" i="7"/>
  <c r="K282" i="13"/>
  <c r="J133" i="13"/>
  <c r="N131" i="7"/>
  <c r="J51" i="13"/>
  <c r="N48" i="7"/>
  <c r="K51" i="13"/>
  <c r="J122" i="13"/>
  <c r="N120" i="7"/>
  <c r="K122" i="13"/>
  <c r="J210" i="13"/>
  <c r="N208" i="7"/>
  <c r="K210" i="13"/>
  <c r="J279" i="13"/>
  <c r="N278" i="7"/>
  <c r="K279" i="13"/>
  <c r="U317" i="7"/>
  <c r="W317" i="7"/>
  <c r="O10" i="14" s="1"/>
  <c r="V317" i="7"/>
  <c r="N10" i="14" s="1"/>
  <c r="H10" i="14"/>
  <c r="K322" i="17" s="1"/>
  <c r="C322" i="17" s="1"/>
  <c r="I10" i="14"/>
  <c r="W269" i="7"/>
  <c r="O58" i="14" s="1"/>
  <c r="V269" i="7"/>
  <c r="N58" i="14" s="1"/>
  <c r="U269" i="7"/>
  <c r="H58" i="14"/>
  <c r="K295" i="17" s="1"/>
  <c r="C295" i="17" s="1"/>
  <c r="I58" i="14"/>
  <c r="V221" i="7"/>
  <c r="N106" i="14" s="1"/>
  <c r="U221" i="7"/>
  <c r="H106" i="14"/>
  <c r="K263" i="17" s="1"/>
  <c r="W221" i="7"/>
  <c r="O106" i="14" s="1"/>
  <c r="I106" i="14"/>
  <c r="U157" i="7"/>
  <c r="W157" i="7"/>
  <c r="O170" i="14" s="1"/>
  <c r="V157" i="7"/>
  <c r="N170" i="14" s="1"/>
  <c r="H170" i="14"/>
  <c r="K109" i="17" s="1"/>
  <c r="C109" i="17" s="1"/>
  <c r="I170" i="14"/>
  <c r="W125" i="7"/>
  <c r="O202" i="14" s="1"/>
  <c r="V125" i="7"/>
  <c r="N202" i="14" s="1"/>
  <c r="U125" i="7"/>
  <c r="H202" i="14"/>
  <c r="K212" i="17" s="1"/>
  <c r="I202" i="14"/>
  <c r="W77" i="7"/>
  <c r="O250" i="14" s="1"/>
  <c r="V77" i="7"/>
  <c r="N250" i="14" s="1"/>
  <c r="U77" i="7"/>
  <c r="H250" i="14"/>
  <c r="K183" i="17" s="1"/>
  <c r="C183" i="17" s="1"/>
  <c r="I250" i="14"/>
  <c r="H315" i="14"/>
  <c r="K82" i="17" s="1"/>
  <c r="V12" i="7"/>
  <c r="N315" i="14" s="1"/>
  <c r="W12" i="7"/>
  <c r="O315" i="14" s="1"/>
  <c r="U12" i="7"/>
  <c r="I315" i="14"/>
  <c r="U300" i="7"/>
  <c r="V300" i="7"/>
  <c r="N27" i="14" s="1"/>
  <c r="H27" i="14"/>
  <c r="K310" i="17" s="1"/>
  <c r="W300" i="7"/>
  <c r="O27" i="14" s="1"/>
  <c r="I27" i="14"/>
  <c r="U236" i="7"/>
  <c r="W236" i="7"/>
  <c r="O91" i="14" s="1"/>
  <c r="V236" i="7"/>
  <c r="N91" i="14" s="1"/>
  <c r="H91" i="14"/>
  <c r="K71" i="17" s="1"/>
  <c r="L71" i="17" s="1"/>
  <c r="I91" i="14"/>
  <c r="W204" i="7"/>
  <c r="O123" i="14" s="1"/>
  <c r="V204" i="7"/>
  <c r="N123" i="14" s="1"/>
  <c r="U204" i="7"/>
  <c r="H123" i="14"/>
  <c r="K252" i="17" s="1"/>
  <c r="I123" i="14"/>
  <c r="H171" i="14"/>
  <c r="K108" i="17" s="1"/>
  <c r="W156" i="7"/>
  <c r="O171" i="14" s="1"/>
  <c r="V156" i="7"/>
  <c r="N171" i="14" s="1"/>
  <c r="U156" i="7"/>
  <c r="I171" i="14"/>
  <c r="W108" i="7"/>
  <c r="O219" i="14" s="1"/>
  <c r="V108" i="7"/>
  <c r="N219" i="14" s="1"/>
  <c r="U108" i="7"/>
  <c r="H219" i="14"/>
  <c r="K202" i="17" s="1"/>
  <c r="I219" i="14"/>
  <c r="W60" i="7"/>
  <c r="O267" i="14" s="1"/>
  <c r="V60" i="7"/>
  <c r="N267" i="14" s="1"/>
  <c r="U60" i="7"/>
  <c r="H267" i="14"/>
  <c r="K173" i="17" s="1"/>
  <c r="C173" i="17" s="1"/>
  <c r="I267" i="14"/>
  <c r="U11" i="7"/>
  <c r="W11" i="7"/>
  <c r="O316" i="14" s="1"/>
  <c r="V11" i="7"/>
  <c r="N316" i="14" s="1"/>
  <c r="H316" i="14"/>
  <c r="K143" i="17" s="1"/>
  <c r="I316" i="14"/>
  <c r="U287" i="7"/>
  <c r="V287" i="7"/>
  <c r="N40" i="14" s="1"/>
  <c r="W287" i="7"/>
  <c r="O40" i="14" s="1"/>
  <c r="H40" i="14"/>
  <c r="K305" i="17" s="1"/>
  <c r="I40" i="14"/>
  <c r="U239" i="7"/>
  <c r="W239" i="7"/>
  <c r="O88" i="14" s="1"/>
  <c r="V239" i="7"/>
  <c r="N88" i="14" s="1"/>
  <c r="H88" i="14"/>
  <c r="K126" i="17" s="1"/>
  <c r="C126" i="17" s="1"/>
  <c r="I88" i="14"/>
  <c r="V191" i="7"/>
  <c r="N136" i="14" s="1"/>
  <c r="U191" i="7"/>
  <c r="W191" i="7"/>
  <c r="O136" i="14" s="1"/>
  <c r="H136" i="14"/>
  <c r="K41" i="17" s="1"/>
  <c r="C41" i="17" s="1"/>
  <c r="I136" i="14"/>
  <c r="W159" i="7"/>
  <c r="O168" i="14" s="1"/>
  <c r="V159" i="7"/>
  <c r="N168" i="14" s="1"/>
  <c r="U159" i="7"/>
  <c r="H168" i="14"/>
  <c r="K230" i="17" s="1"/>
  <c r="I168" i="14"/>
  <c r="W111" i="7"/>
  <c r="O216" i="14" s="1"/>
  <c r="V111" i="7"/>
  <c r="N216" i="14" s="1"/>
  <c r="U111" i="7"/>
  <c r="H216" i="14"/>
  <c r="K205" i="17" s="1"/>
  <c r="I216" i="14"/>
  <c r="U79" i="7"/>
  <c r="H248" i="14"/>
  <c r="K6" i="17" s="1"/>
  <c r="W79" i="7"/>
  <c r="O248" i="14" s="1"/>
  <c r="V79" i="7"/>
  <c r="N248" i="14" s="1"/>
  <c r="V30" i="7"/>
  <c r="N297" i="14" s="1"/>
  <c r="U30" i="7"/>
  <c r="W30" i="7"/>
  <c r="O297" i="14" s="1"/>
  <c r="H297" i="14"/>
  <c r="K155" i="17" s="1"/>
  <c r="C155" i="17" s="1"/>
  <c r="I297" i="14"/>
  <c r="H25" i="14"/>
  <c r="K312" i="17" s="1"/>
  <c r="W302" i="7"/>
  <c r="O25" i="14" s="1"/>
  <c r="V302" i="7"/>
  <c r="N25" i="14" s="1"/>
  <c r="U302" i="7"/>
  <c r="U270" i="7"/>
  <c r="H57" i="14"/>
  <c r="K296" i="17" s="1"/>
  <c r="W270" i="7"/>
  <c r="O57" i="14" s="1"/>
  <c r="V270" i="7"/>
  <c r="N57" i="14" s="1"/>
  <c r="W222" i="7"/>
  <c r="O105" i="14" s="1"/>
  <c r="V222" i="7"/>
  <c r="N105" i="14" s="1"/>
  <c r="U222" i="7"/>
  <c r="H105" i="14"/>
  <c r="K70" i="17" s="1"/>
  <c r="C70" i="17" s="1"/>
  <c r="I105" i="14"/>
  <c r="V190" i="7"/>
  <c r="N137" i="14" s="1"/>
  <c r="W190" i="7"/>
  <c r="O137" i="14" s="1"/>
  <c r="U190" i="7"/>
  <c r="H137" i="14"/>
  <c r="K245" i="17" s="1"/>
  <c r="C245" i="17" s="1"/>
  <c r="I137" i="14"/>
  <c r="V142" i="7"/>
  <c r="N185" i="14" s="1"/>
  <c r="U142" i="7"/>
  <c r="W142" i="7"/>
  <c r="O185" i="14" s="1"/>
  <c r="H185" i="14"/>
  <c r="K223" i="17" s="1"/>
  <c r="C223" i="17" s="1"/>
  <c r="I185" i="14"/>
  <c r="W94" i="7"/>
  <c r="O233" i="14" s="1"/>
  <c r="V94" i="7"/>
  <c r="N233" i="14" s="1"/>
  <c r="U94" i="7"/>
  <c r="H233" i="14"/>
  <c r="K190" i="17" s="1"/>
  <c r="W62" i="7"/>
  <c r="O265" i="14" s="1"/>
  <c r="V62" i="7"/>
  <c r="N265" i="14" s="1"/>
  <c r="U62" i="7"/>
  <c r="H265" i="14"/>
  <c r="K175" i="17" s="1"/>
  <c r="L175" i="17" s="1"/>
  <c r="I265" i="14"/>
  <c r="U13" i="7"/>
  <c r="W13" i="7"/>
  <c r="O314" i="14" s="1"/>
  <c r="H314" i="14"/>
  <c r="K144" i="17" s="1"/>
  <c r="V13" i="7"/>
  <c r="N314" i="14" s="1"/>
  <c r="I314" i="14"/>
  <c r="J59" i="13"/>
  <c r="N56" i="7"/>
  <c r="R31" i="5" s="1"/>
  <c r="K59" i="13"/>
  <c r="J159" i="13"/>
  <c r="N157" i="7"/>
  <c r="Q11" i="5" s="1"/>
  <c r="K159" i="13"/>
  <c r="J239" i="13"/>
  <c r="N238" i="7"/>
  <c r="R264" i="5" s="1"/>
  <c r="K239" i="13"/>
  <c r="J81" i="13"/>
  <c r="N78" i="7"/>
  <c r="K81" i="13"/>
  <c r="J245" i="13"/>
  <c r="N244" i="7"/>
  <c r="K245" i="13"/>
  <c r="J4" i="13"/>
  <c r="N84" i="7"/>
  <c r="K4" i="13"/>
  <c r="J217" i="13"/>
  <c r="N216" i="7"/>
  <c r="J17" i="13"/>
  <c r="N14" i="7"/>
  <c r="K17" i="13"/>
  <c r="J42" i="13"/>
  <c r="N39" i="7"/>
  <c r="J66" i="13"/>
  <c r="N63" i="7"/>
  <c r="K66" i="13"/>
  <c r="J94" i="13"/>
  <c r="N92" i="7"/>
  <c r="K94" i="13"/>
  <c r="J112" i="13"/>
  <c r="N110" i="7"/>
  <c r="K112" i="13"/>
  <c r="J138" i="13"/>
  <c r="N136" i="7"/>
  <c r="K138" i="13"/>
  <c r="J164" i="13"/>
  <c r="N162" i="7"/>
  <c r="J202" i="13"/>
  <c r="N200" i="7"/>
  <c r="K202" i="13"/>
  <c r="J224" i="13"/>
  <c r="N223" i="7"/>
  <c r="K224" i="13"/>
  <c r="J249" i="13"/>
  <c r="N248" i="7"/>
  <c r="K249" i="13"/>
  <c r="J270" i="13"/>
  <c r="N269" i="7"/>
  <c r="K270" i="13"/>
  <c r="J301" i="13"/>
  <c r="N300" i="7"/>
  <c r="K301" i="13"/>
  <c r="J323" i="13"/>
  <c r="N322" i="7"/>
  <c r="K323" i="13"/>
  <c r="J68" i="13"/>
  <c r="N65" i="7"/>
  <c r="R240" i="5" s="1"/>
  <c r="J171" i="13"/>
  <c r="N169" i="7"/>
  <c r="R33" i="5" s="1"/>
  <c r="K171" i="13"/>
  <c r="J240" i="13"/>
  <c r="N239" i="7"/>
  <c r="K240" i="13"/>
  <c r="J89" i="13"/>
  <c r="N87" i="7"/>
  <c r="K89" i="13"/>
  <c r="J272" i="13"/>
  <c r="N271" i="7"/>
  <c r="K272" i="13"/>
  <c r="J87" i="13"/>
  <c r="N85" i="7"/>
  <c r="K87" i="13"/>
  <c r="J218" i="13"/>
  <c r="N217" i="7"/>
  <c r="K218" i="13"/>
  <c r="J18" i="13"/>
  <c r="N15" i="7"/>
  <c r="K18" i="13"/>
  <c r="J43" i="13"/>
  <c r="N40" i="7"/>
  <c r="K43" i="13"/>
  <c r="J72" i="13"/>
  <c r="N69" i="7"/>
  <c r="J96" i="13"/>
  <c r="N94" i="7"/>
  <c r="J113" i="13"/>
  <c r="N111" i="7"/>
  <c r="K113" i="13"/>
  <c r="J139" i="13"/>
  <c r="N137" i="7"/>
  <c r="K139" i="13"/>
  <c r="J167" i="13"/>
  <c r="N165" i="7"/>
  <c r="J203" i="13"/>
  <c r="N201" i="7"/>
  <c r="K203" i="13"/>
  <c r="J225" i="13"/>
  <c r="N224" i="7"/>
  <c r="J250" i="13"/>
  <c r="N249" i="7"/>
  <c r="K250" i="13"/>
  <c r="J271" i="13"/>
  <c r="N270" i="7"/>
  <c r="J302" i="13"/>
  <c r="N301" i="7"/>
  <c r="K302" i="13"/>
  <c r="J15" i="13"/>
  <c r="N12" i="7"/>
  <c r="R28" i="5" s="1"/>
  <c r="K15" i="13"/>
  <c r="J95" i="13"/>
  <c r="N93" i="7"/>
  <c r="R246" i="5" s="1"/>
  <c r="K95" i="13"/>
  <c r="J180" i="13"/>
  <c r="N178" i="7"/>
  <c r="J281" i="13"/>
  <c r="N280" i="7"/>
  <c r="K281" i="13"/>
  <c r="J154" i="13"/>
  <c r="N152" i="7"/>
  <c r="K154" i="13"/>
  <c r="J312" i="13"/>
  <c r="N311" i="7"/>
  <c r="K312" i="13"/>
  <c r="J132" i="13"/>
  <c r="N130" i="7"/>
  <c r="J284" i="13"/>
  <c r="N283" i="7"/>
  <c r="K284" i="13"/>
  <c r="J25" i="13"/>
  <c r="N22" i="7"/>
  <c r="J50" i="13"/>
  <c r="N47" i="7"/>
  <c r="K50" i="13"/>
  <c r="J79" i="13"/>
  <c r="N76" i="7"/>
  <c r="K79" i="13"/>
  <c r="J102" i="13"/>
  <c r="N100" i="7"/>
  <c r="J121" i="13"/>
  <c r="N119" i="7"/>
  <c r="K121" i="13"/>
  <c r="J145" i="13"/>
  <c r="N143" i="7"/>
  <c r="K145" i="13"/>
  <c r="J181" i="13"/>
  <c r="N179" i="7"/>
  <c r="J209" i="13"/>
  <c r="N207" i="7"/>
  <c r="J230" i="13"/>
  <c r="N229" i="7"/>
  <c r="K230" i="13"/>
  <c r="J257" i="13"/>
  <c r="N256" i="7"/>
  <c r="K257" i="13"/>
  <c r="J278" i="13"/>
  <c r="N277" i="7"/>
  <c r="J308" i="13"/>
  <c r="N307" i="7"/>
  <c r="K308" i="13"/>
  <c r="J34" i="13"/>
  <c r="N31" i="7"/>
  <c r="R238" i="5" s="1"/>
  <c r="K34" i="13"/>
  <c r="J140" i="13"/>
  <c r="N138" i="7"/>
  <c r="J198" i="13"/>
  <c r="N196" i="7"/>
  <c r="R260" i="5" s="1"/>
  <c r="K198" i="13"/>
  <c r="J297" i="13"/>
  <c r="N296" i="7"/>
  <c r="R39" i="5" s="1"/>
  <c r="K297" i="13"/>
  <c r="J197" i="13"/>
  <c r="N195" i="7"/>
  <c r="K197" i="13"/>
  <c r="J40" i="13"/>
  <c r="N37" i="7"/>
  <c r="K40" i="13"/>
  <c r="J184" i="13"/>
  <c r="N182" i="7"/>
  <c r="J8" i="13"/>
  <c r="N5" i="7"/>
  <c r="J33" i="13"/>
  <c r="N30" i="7"/>
  <c r="K33" i="13"/>
  <c r="J60" i="13"/>
  <c r="N57" i="7"/>
  <c r="K60" i="13"/>
  <c r="J86" i="13"/>
  <c r="N83" i="7"/>
  <c r="K86" i="13"/>
  <c r="J107" i="13"/>
  <c r="N105" i="7"/>
  <c r="K107" i="13"/>
  <c r="J129" i="13"/>
  <c r="N127" i="7"/>
  <c r="K129" i="13"/>
  <c r="J156" i="13"/>
  <c r="N154" i="7"/>
  <c r="K156" i="13"/>
  <c r="J190" i="13"/>
  <c r="N188" i="7"/>
  <c r="K190" i="13"/>
  <c r="J5" i="13"/>
  <c r="N214" i="7"/>
  <c r="K5" i="13"/>
  <c r="J241" i="13"/>
  <c r="N240" i="7"/>
  <c r="J264" i="13"/>
  <c r="N263" i="7"/>
  <c r="J288" i="13"/>
  <c r="N287" i="7"/>
  <c r="K288" i="13"/>
  <c r="J317" i="13"/>
  <c r="N316" i="7"/>
  <c r="J320" i="13"/>
  <c r="N319" i="7"/>
  <c r="K320" i="13"/>
  <c r="V313" i="7"/>
  <c r="N14" i="14" s="1"/>
  <c r="U313" i="7"/>
  <c r="W313" i="7"/>
  <c r="O14" i="14" s="1"/>
  <c r="H14" i="14"/>
  <c r="K320" i="17" s="1"/>
  <c r="W297" i="7"/>
  <c r="O30" i="14" s="1"/>
  <c r="U297" i="7"/>
  <c r="V297" i="7"/>
  <c r="N30" i="14" s="1"/>
  <c r="H30" i="14"/>
  <c r="K78" i="17" s="1"/>
  <c r="C78" i="17" s="1"/>
  <c r="H46" i="14"/>
  <c r="K132" i="17" s="1"/>
  <c r="V281" i="7"/>
  <c r="N46" i="14" s="1"/>
  <c r="W281" i="7"/>
  <c r="O46" i="14" s="1"/>
  <c r="U281" i="7"/>
  <c r="I46" i="14"/>
  <c r="V265" i="7"/>
  <c r="N62" i="14" s="1"/>
  <c r="U265" i="7"/>
  <c r="W265" i="7"/>
  <c r="O62" i="14" s="1"/>
  <c r="H62" i="14"/>
  <c r="K292" i="17" s="1"/>
  <c r="L292" i="17" s="1"/>
  <c r="I62" i="14"/>
  <c r="V249" i="7"/>
  <c r="N78" i="14" s="1"/>
  <c r="U249" i="7"/>
  <c r="W249" i="7"/>
  <c r="O78" i="14" s="1"/>
  <c r="H78" i="14"/>
  <c r="K280" i="17" s="1"/>
  <c r="C280" i="17" s="1"/>
  <c r="I78" i="14"/>
  <c r="W233" i="7"/>
  <c r="O94" i="14" s="1"/>
  <c r="V233" i="7"/>
  <c r="N94" i="14" s="1"/>
  <c r="U233" i="7"/>
  <c r="H94" i="14"/>
  <c r="K122" i="17" s="1"/>
  <c r="C122" i="17" s="1"/>
  <c r="I94" i="14"/>
  <c r="U217" i="7"/>
  <c r="W217" i="7"/>
  <c r="O110" i="14" s="1"/>
  <c r="V217" i="7"/>
  <c r="N110" i="14" s="1"/>
  <c r="H110" i="14"/>
  <c r="K46" i="17" s="1"/>
  <c r="L46" i="17" s="1"/>
  <c r="I110" i="14"/>
  <c r="W201" i="7"/>
  <c r="O126" i="14" s="1"/>
  <c r="V201" i="7"/>
  <c r="N126" i="14" s="1"/>
  <c r="U201" i="7"/>
  <c r="H126" i="14"/>
  <c r="K249" i="17" s="1"/>
  <c r="I126" i="14"/>
  <c r="W185" i="7"/>
  <c r="O142" i="14" s="1"/>
  <c r="H142" i="14"/>
  <c r="K117" i="17" s="1"/>
  <c r="U185" i="7"/>
  <c r="V185" i="7"/>
  <c r="N142" i="14" s="1"/>
  <c r="I142" i="14"/>
  <c r="W169" i="7"/>
  <c r="O158" i="14" s="1"/>
  <c r="U169" i="7"/>
  <c r="H158" i="14"/>
  <c r="K110" i="17" s="1"/>
  <c r="V169" i="7"/>
  <c r="N158" i="14" s="1"/>
  <c r="I158" i="14"/>
  <c r="H174" i="14"/>
  <c r="K37" i="17" s="1"/>
  <c r="W153" i="7"/>
  <c r="O174" i="14" s="1"/>
  <c r="U153" i="7"/>
  <c r="V153" i="7"/>
  <c r="N174" i="14" s="1"/>
  <c r="I174" i="14"/>
  <c r="V137" i="7"/>
  <c r="N190" i="14" s="1"/>
  <c r="U137" i="7"/>
  <c r="W137" i="7"/>
  <c r="O190" i="14" s="1"/>
  <c r="H190" i="14"/>
  <c r="K220" i="17" s="1"/>
  <c r="I190" i="14"/>
  <c r="U121" i="7"/>
  <c r="V121" i="7"/>
  <c r="N206" i="14" s="1"/>
  <c r="W121" i="7"/>
  <c r="O206" i="14" s="1"/>
  <c r="H206" i="14"/>
  <c r="K101" i="17" s="1"/>
  <c r="C101" i="17" s="1"/>
  <c r="I206" i="14"/>
  <c r="V105" i="7"/>
  <c r="N222" i="14" s="1"/>
  <c r="H222" i="14"/>
  <c r="K9" i="17" s="1"/>
  <c r="U105" i="7"/>
  <c r="W105" i="7"/>
  <c r="O222" i="14" s="1"/>
  <c r="I222" i="14"/>
  <c r="U89" i="7"/>
  <c r="V89" i="7"/>
  <c r="N238" i="14" s="1"/>
  <c r="W89" i="7"/>
  <c r="O238" i="14" s="1"/>
  <c r="H238" i="14"/>
  <c r="K188" i="17" s="1"/>
  <c r="I238" i="14"/>
  <c r="V73" i="7"/>
  <c r="N254" i="14" s="1"/>
  <c r="U73" i="7"/>
  <c r="W73" i="7"/>
  <c r="O254" i="14" s="1"/>
  <c r="H254" i="14"/>
  <c r="K179" i="17" s="1"/>
  <c r="I254" i="14"/>
  <c r="W57" i="7"/>
  <c r="O270" i="14" s="1"/>
  <c r="V57" i="7"/>
  <c r="N270" i="14" s="1"/>
  <c r="U57" i="7"/>
  <c r="H270" i="14"/>
  <c r="K171" i="17" s="1"/>
  <c r="C171" i="17" s="1"/>
  <c r="I270" i="14"/>
  <c r="H286" i="14"/>
  <c r="K162" i="17" s="1"/>
  <c r="W41" i="7"/>
  <c r="O286" i="14" s="1"/>
  <c r="U41" i="7"/>
  <c r="V41" i="7"/>
  <c r="N286" i="14" s="1"/>
  <c r="V24" i="7"/>
  <c r="N303" i="14" s="1"/>
  <c r="U24" i="7"/>
  <c r="W24" i="7"/>
  <c r="O303" i="14" s="1"/>
  <c r="H303" i="14"/>
  <c r="K22" i="17" s="1"/>
  <c r="V8" i="7"/>
  <c r="N319" i="14" s="1"/>
  <c r="W8" i="7"/>
  <c r="O319" i="14" s="1"/>
  <c r="U8" i="7"/>
  <c r="H319" i="14"/>
  <c r="K142" i="17" s="1"/>
  <c r="I319" i="14"/>
  <c r="V312" i="7"/>
  <c r="N15" i="14" s="1"/>
  <c r="U312" i="7"/>
  <c r="W312" i="7"/>
  <c r="O15" i="14" s="1"/>
  <c r="H15" i="14"/>
  <c r="K319" i="17" s="1"/>
  <c r="C319" i="17" s="1"/>
  <c r="I15" i="14"/>
  <c r="V296" i="7"/>
  <c r="N31" i="14" s="1"/>
  <c r="U296" i="7"/>
  <c r="W296" i="7"/>
  <c r="O31" i="14" s="1"/>
  <c r="H31" i="14"/>
  <c r="K136" i="17" s="1"/>
  <c r="C136" i="17" s="1"/>
  <c r="I31" i="14"/>
  <c r="U280" i="7"/>
  <c r="W280" i="7"/>
  <c r="O47" i="14" s="1"/>
  <c r="V280" i="7"/>
  <c r="N47" i="14" s="1"/>
  <c r="H47" i="14"/>
  <c r="K131" i="17" s="1"/>
  <c r="L131" i="17" s="1"/>
  <c r="I47" i="14"/>
  <c r="H63" i="14"/>
  <c r="K291" i="17" s="1"/>
  <c r="W264" i="7"/>
  <c r="O63" i="14" s="1"/>
  <c r="V264" i="7"/>
  <c r="N63" i="14" s="1"/>
  <c r="U264" i="7"/>
  <c r="V248" i="7"/>
  <c r="N79" i="14" s="1"/>
  <c r="U248" i="7"/>
  <c r="H79" i="14"/>
  <c r="K279" i="17" s="1"/>
  <c r="W248" i="7"/>
  <c r="O79" i="14" s="1"/>
  <c r="I79" i="14"/>
  <c r="W232" i="7"/>
  <c r="O95" i="14" s="1"/>
  <c r="V232" i="7"/>
  <c r="N95" i="14" s="1"/>
  <c r="U232" i="7"/>
  <c r="H95" i="14"/>
  <c r="K272" i="17" s="1"/>
  <c r="I95" i="14"/>
  <c r="U216" i="7"/>
  <c r="H111" i="14"/>
  <c r="K45" i="17" s="1"/>
  <c r="W216" i="7"/>
  <c r="O111" i="14" s="1"/>
  <c r="V216" i="7"/>
  <c r="N111" i="14" s="1"/>
  <c r="V200" i="7"/>
  <c r="N127" i="14" s="1"/>
  <c r="U200" i="7"/>
  <c r="W200" i="7"/>
  <c r="O127" i="14" s="1"/>
  <c r="H127" i="14"/>
  <c r="K248" i="17" s="1"/>
  <c r="I127" i="14"/>
  <c r="V184" i="7"/>
  <c r="N143" i="14" s="1"/>
  <c r="U184" i="7"/>
  <c r="W184" i="7"/>
  <c r="O143" i="14" s="1"/>
  <c r="H143" i="14"/>
  <c r="K116" i="17" s="1"/>
  <c r="C116" i="17" s="1"/>
  <c r="V168" i="7"/>
  <c r="N159" i="14" s="1"/>
  <c r="U168" i="7"/>
  <c r="W168" i="7"/>
  <c r="O159" i="14" s="1"/>
  <c r="H159" i="14"/>
  <c r="K237" i="17" s="1"/>
  <c r="I159" i="14"/>
  <c r="V152" i="7"/>
  <c r="N175" i="14" s="1"/>
  <c r="U152" i="7"/>
  <c r="W152" i="7"/>
  <c r="O175" i="14" s="1"/>
  <c r="H175" i="14"/>
  <c r="K63" i="17" s="1"/>
  <c r="L63" i="17" s="1"/>
  <c r="I175" i="14"/>
  <c r="W136" i="7"/>
  <c r="O191" i="14" s="1"/>
  <c r="V136" i="7"/>
  <c r="N191" i="14" s="1"/>
  <c r="U136" i="7"/>
  <c r="H191" i="14"/>
  <c r="K219" i="17" s="1"/>
  <c r="I191" i="14"/>
  <c r="W120" i="7"/>
  <c r="O207" i="14" s="1"/>
  <c r="V120" i="7"/>
  <c r="N207" i="14" s="1"/>
  <c r="U120" i="7"/>
  <c r="H207" i="14"/>
  <c r="K210" i="17" s="1"/>
  <c r="L210" i="17" s="1"/>
  <c r="I207" i="14"/>
  <c r="H223" i="14"/>
  <c r="K199" i="17" s="1"/>
  <c r="W104" i="7"/>
  <c r="O223" i="14" s="1"/>
  <c r="V104" i="7"/>
  <c r="N223" i="14" s="1"/>
  <c r="U104" i="7"/>
  <c r="I223" i="14"/>
  <c r="W88" i="7"/>
  <c r="O239" i="14" s="1"/>
  <c r="V88" i="7"/>
  <c r="N239" i="14" s="1"/>
  <c r="U88" i="7"/>
  <c r="H239" i="14"/>
  <c r="K187" i="17" s="1"/>
  <c r="I239" i="14"/>
  <c r="W72" i="7"/>
  <c r="O255" i="14" s="1"/>
  <c r="U72" i="7"/>
  <c r="V72" i="7"/>
  <c r="N255" i="14" s="1"/>
  <c r="H255" i="14"/>
  <c r="K178" i="17" s="1"/>
  <c r="I255" i="14"/>
  <c r="W56" i="7"/>
  <c r="O271" i="14" s="1"/>
  <c r="U56" i="7"/>
  <c r="V56" i="7"/>
  <c r="N271" i="14" s="1"/>
  <c r="H271" i="14"/>
  <c r="K93" i="17" s="1"/>
  <c r="I271" i="14"/>
  <c r="W40" i="7"/>
  <c r="O287" i="14" s="1"/>
  <c r="U40" i="7"/>
  <c r="V40" i="7"/>
  <c r="N287" i="14" s="1"/>
  <c r="H287" i="14"/>
  <c r="K161" i="17" s="1"/>
  <c r="C161" i="17" s="1"/>
  <c r="I287" i="14"/>
  <c r="W23" i="7"/>
  <c r="O304" i="14" s="1"/>
  <c r="V23" i="7"/>
  <c r="N304" i="14" s="1"/>
  <c r="U23" i="7"/>
  <c r="H304" i="14"/>
  <c r="K151" i="17" s="1"/>
  <c r="C151" i="17" s="1"/>
  <c r="I304" i="14"/>
  <c r="U7" i="7"/>
  <c r="H320" i="14"/>
  <c r="K141" i="17" s="1"/>
  <c r="W7" i="7"/>
  <c r="O320" i="14" s="1"/>
  <c r="V7" i="7"/>
  <c r="N320" i="14" s="1"/>
  <c r="V315" i="7"/>
  <c r="N12" i="14" s="1"/>
  <c r="U315" i="7"/>
  <c r="W315" i="7"/>
  <c r="O12" i="14" s="1"/>
  <c r="H12" i="14"/>
  <c r="K80" i="17" s="1"/>
  <c r="C80" i="17" s="1"/>
  <c r="I12" i="14"/>
  <c r="H28" i="14"/>
  <c r="K53" i="17" s="1"/>
  <c r="W299" i="7"/>
  <c r="O28" i="14" s="1"/>
  <c r="V299" i="7"/>
  <c r="N28" i="14" s="1"/>
  <c r="U299" i="7"/>
  <c r="W283" i="7"/>
  <c r="O44" i="14" s="1"/>
  <c r="V283" i="7"/>
  <c r="N44" i="14" s="1"/>
  <c r="H44" i="14"/>
  <c r="K51" i="17" s="1"/>
  <c r="U283" i="7"/>
  <c r="I44" i="14"/>
  <c r="V267" i="7"/>
  <c r="N60" i="14" s="1"/>
  <c r="U267" i="7"/>
  <c r="W267" i="7"/>
  <c r="O60" i="14" s="1"/>
  <c r="H60" i="14"/>
  <c r="K294" i="17" s="1"/>
  <c r="I60" i="14"/>
  <c r="V251" i="7"/>
  <c r="N76" i="14" s="1"/>
  <c r="W251" i="7"/>
  <c r="O76" i="14" s="1"/>
  <c r="U251" i="7"/>
  <c r="H76" i="14"/>
  <c r="K281" i="17" s="1"/>
  <c r="C281" i="17" s="1"/>
  <c r="I76" i="14"/>
  <c r="V235" i="7"/>
  <c r="N92" i="14" s="1"/>
  <c r="U235" i="7"/>
  <c r="W235" i="7"/>
  <c r="O92" i="14" s="1"/>
  <c r="H92" i="14"/>
  <c r="K273" i="17" s="1"/>
  <c r="I92" i="14"/>
  <c r="W219" i="7"/>
  <c r="O108" i="14" s="1"/>
  <c r="V219" i="7"/>
  <c r="N108" i="14" s="1"/>
  <c r="U219" i="7"/>
  <c r="H108" i="14"/>
  <c r="K261" i="17" s="1"/>
  <c r="W203" i="7"/>
  <c r="O124" i="14" s="1"/>
  <c r="V203" i="7"/>
  <c r="N124" i="14" s="1"/>
  <c r="U203" i="7"/>
  <c r="H124" i="14"/>
  <c r="K251" i="17" s="1"/>
  <c r="U187" i="7"/>
  <c r="W187" i="7"/>
  <c r="O140" i="14" s="1"/>
  <c r="V187" i="7"/>
  <c r="N140" i="14" s="1"/>
  <c r="H140" i="14"/>
  <c r="K242" i="17" s="1"/>
  <c r="I140" i="14"/>
  <c r="W171" i="7"/>
  <c r="O156" i="14" s="1"/>
  <c r="V171" i="7"/>
  <c r="N156" i="14" s="1"/>
  <c r="U171" i="7"/>
  <c r="H156" i="14"/>
  <c r="K112" i="17" s="1"/>
  <c r="I156" i="14"/>
  <c r="W155" i="7"/>
  <c r="O172" i="14" s="1"/>
  <c r="V155" i="7"/>
  <c r="N172" i="14" s="1"/>
  <c r="U155" i="7"/>
  <c r="H172" i="14"/>
  <c r="K107" i="17" s="1"/>
  <c r="C107" i="17" s="1"/>
  <c r="I172" i="14"/>
  <c r="W139" i="7"/>
  <c r="O188" i="14" s="1"/>
  <c r="V139" i="7"/>
  <c r="N188" i="14" s="1"/>
  <c r="U139" i="7"/>
  <c r="H188" i="14"/>
  <c r="K221" i="17" s="1"/>
  <c r="I188" i="14"/>
  <c r="U123" i="7"/>
  <c r="H204" i="14"/>
  <c r="K34" i="17" s="1"/>
  <c r="W123" i="7"/>
  <c r="O204" i="14" s="1"/>
  <c r="V123" i="7"/>
  <c r="N204" i="14" s="1"/>
  <c r="V107" i="7"/>
  <c r="N220" i="14" s="1"/>
  <c r="U107" i="7"/>
  <c r="W107" i="7"/>
  <c r="O220" i="14" s="1"/>
  <c r="H220" i="14"/>
  <c r="K201" i="17" s="1"/>
  <c r="I220" i="14"/>
  <c r="V91" i="7"/>
  <c r="N236" i="14" s="1"/>
  <c r="U91" i="7"/>
  <c r="W91" i="7"/>
  <c r="O236" i="14" s="1"/>
  <c r="H236" i="14"/>
  <c r="K7" i="17" s="1"/>
  <c r="I236" i="14"/>
  <c r="W75" i="7"/>
  <c r="O252" i="14" s="1"/>
  <c r="V75" i="7"/>
  <c r="N252" i="14" s="1"/>
  <c r="U75" i="7"/>
  <c r="H252" i="14"/>
  <c r="K181" i="17" s="1"/>
  <c r="C181" i="17" s="1"/>
  <c r="I252" i="14"/>
  <c r="W59" i="7"/>
  <c r="O268" i="14" s="1"/>
  <c r="V59" i="7"/>
  <c r="N268" i="14" s="1"/>
  <c r="U59" i="7"/>
  <c r="H268" i="14"/>
  <c r="K55" i="17" s="1"/>
  <c r="C55" i="17" s="1"/>
  <c r="I268" i="14"/>
  <c r="H284" i="14"/>
  <c r="K88" i="17" s="1"/>
  <c r="W43" i="7"/>
  <c r="O284" i="14" s="1"/>
  <c r="V43" i="7"/>
  <c r="N284" i="14" s="1"/>
  <c r="U43" i="7"/>
  <c r="I284" i="14"/>
  <c r="U26" i="7"/>
  <c r="W26" i="7"/>
  <c r="O301" i="14" s="1"/>
  <c r="V26" i="7"/>
  <c r="N301" i="14" s="1"/>
  <c r="H301" i="14"/>
  <c r="K153" i="17" s="1"/>
  <c r="I301" i="14"/>
  <c r="W10" i="7"/>
  <c r="O317" i="14" s="1"/>
  <c r="V10" i="7"/>
  <c r="N317" i="14" s="1"/>
  <c r="U10" i="7"/>
  <c r="H317" i="14"/>
  <c r="K21" i="17" s="1"/>
  <c r="I317" i="14"/>
  <c r="V314" i="7"/>
  <c r="N13" i="14" s="1"/>
  <c r="U314" i="7"/>
  <c r="H13" i="14"/>
  <c r="K321" i="17" s="1"/>
  <c r="W314" i="7"/>
  <c r="O13" i="14" s="1"/>
  <c r="H29" i="14"/>
  <c r="K309" i="17" s="1"/>
  <c r="W298" i="7"/>
  <c r="O29" i="14" s="1"/>
  <c r="V298" i="7"/>
  <c r="N29" i="14" s="1"/>
  <c r="U298" i="7"/>
  <c r="V282" i="7"/>
  <c r="N45" i="14" s="1"/>
  <c r="U282" i="7"/>
  <c r="H45" i="14"/>
  <c r="K133" i="17" s="1"/>
  <c r="W282" i="7"/>
  <c r="O45" i="14" s="1"/>
  <c r="I45" i="14"/>
  <c r="W266" i="7"/>
  <c r="O61" i="14" s="1"/>
  <c r="V266" i="7"/>
  <c r="N61" i="14" s="1"/>
  <c r="U266" i="7"/>
  <c r="H61" i="14"/>
  <c r="K293" i="17" s="1"/>
  <c r="I61" i="14"/>
  <c r="V250" i="7"/>
  <c r="N77" i="14" s="1"/>
  <c r="U250" i="7"/>
  <c r="H77" i="14"/>
  <c r="K127" i="17" s="1"/>
  <c r="W250" i="7"/>
  <c r="O77" i="14" s="1"/>
  <c r="I77" i="14"/>
  <c r="U234" i="7"/>
  <c r="V234" i="7"/>
  <c r="N93" i="14" s="1"/>
  <c r="H93" i="14"/>
  <c r="K123" i="17" s="1"/>
  <c r="C123" i="17" s="1"/>
  <c r="W234" i="7"/>
  <c r="O93" i="14" s="1"/>
  <c r="I93" i="14"/>
  <c r="W218" i="7"/>
  <c r="O109" i="14" s="1"/>
  <c r="U218" i="7"/>
  <c r="V218" i="7"/>
  <c r="N109" i="14" s="1"/>
  <c r="H109" i="14"/>
  <c r="K47" i="17" s="1"/>
  <c r="C47" i="17" s="1"/>
  <c r="I109" i="14"/>
  <c r="W202" i="7"/>
  <c r="O125" i="14" s="1"/>
  <c r="H125" i="14"/>
  <c r="K250" i="17" s="1"/>
  <c r="U202" i="7"/>
  <c r="V202" i="7"/>
  <c r="N125" i="14" s="1"/>
  <c r="I125" i="14"/>
  <c r="V186" i="7"/>
  <c r="N141" i="14" s="1"/>
  <c r="W186" i="7"/>
  <c r="O141" i="14" s="1"/>
  <c r="U186" i="7"/>
  <c r="H141" i="14"/>
  <c r="K67" i="17" s="1"/>
  <c r="I141" i="14"/>
  <c r="V170" i="7"/>
  <c r="N157" i="14" s="1"/>
  <c r="W170" i="7"/>
  <c r="O157" i="14" s="1"/>
  <c r="U170" i="7"/>
  <c r="H157" i="14"/>
  <c r="K111" i="17" s="1"/>
  <c r="I157" i="14"/>
  <c r="H173" i="14"/>
  <c r="K12" i="17" s="1"/>
  <c r="U154" i="7"/>
  <c r="W154" i="7"/>
  <c r="O173" i="14" s="1"/>
  <c r="V154" i="7"/>
  <c r="N173" i="14" s="1"/>
  <c r="I173" i="14"/>
  <c r="U138" i="7"/>
  <c r="W138" i="7"/>
  <c r="O189" i="14" s="1"/>
  <c r="V138" i="7"/>
  <c r="N189" i="14" s="1"/>
  <c r="H189" i="14"/>
  <c r="K104" i="17" s="1"/>
  <c r="V122" i="7"/>
  <c r="N205" i="14" s="1"/>
  <c r="U122" i="7"/>
  <c r="W122" i="7"/>
  <c r="O205" i="14" s="1"/>
  <c r="H205" i="14"/>
  <c r="K211" i="17" s="1"/>
  <c r="C211" i="17" s="1"/>
  <c r="I205" i="14"/>
  <c r="H221" i="14"/>
  <c r="K200" i="17" s="1"/>
  <c r="W106" i="7"/>
  <c r="O221" i="14" s="1"/>
  <c r="V106" i="7"/>
  <c r="N221" i="14" s="1"/>
  <c r="U106" i="7"/>
  <c r="I221" i="14"/>
  <c r="V90" i="7"/>
  <c r="N237" i="14" s="1"/>
  <c r="U90" i="7"/>
  <c r="W90" i="7"/>
  <c r="O237" i="14" s="1"/>
  <c r="H237" i="14"/>
  <c r="K189" i="17" s="1"/>
  <c r="C189" i="17" s="1"/>
  <c r="U74" i="7"/>
  <c r="H253" i="14"/>
  <c r="K180" i="17" s="1"/>
  <c r="W74" i="7"/>
  <c r="O253" i="14" s="1"/>
  <c r="V74" i="7"/>
  <c r="N253" i="14" s="1"/>
  <c r="I253" i="14"/>
  <c r="V58" i="7"/>
  <c r="N269" i="14" s="1"/>
  <c r="U58" i="7"/>
  <c r="W58" i="7"/>
  <c r="O269" i="14" s="1"/>
  <c r="H269" i="14"/>
  <c r="K172" i="17" s="1"/>
  <c r="I269" i="14"/>
  <c r="W42" i="7"/>
  <c r="O285" i="14" s="1"/>
  <c r="H285" i="14"/>
  <c r="K163" i="17" s="1"/>
  <c r="V42" i="7"/>
  <c r="N285" i="14" s="1"/>
  <c r="U42" i="7"/>
  <c r="I285" i="14"/>
  <c r="W25" i="7"/>
  <c r="O302" i="14" s="1"/>
  <c r="V25" i="7"/>
  <c r="N302" i="14" s="1"/>
  <c r="U25" i="7"/>
  <c r="H302" i="14"/>
  <c r="K152" i="17" s="1"/>
  <c r="C152" i="17" s="1"/>
  <c r="I302" i="14"/>
  <c r="W9" i="7"/>
  <c r="O318" i="14" s="1"/>
  <c r="V9" i="7"/>
  <c r="N318" i="14" s="1"/>
  <c r="U9" i="7"/>
  <c r="H318" i="14"/>
  <c r="K81" i="17" s="1"/>
  <c r="L81" i="17" s="1"/>
  <c r="I318" i="14"/>
  <c r="J199" i="13"/>
  <c r="N197" i="7"/>
  <c r="Q15" i="5" s="1"/>
  <c r="K199" i="13"/>
  <c r="J41" i="13"/>
  <c r="N38" i="7"/>
  <c r="K41" i="13"/>
  <c r="J61" i="13"/>
  <c r="N58" i="7"/>
  <c r="K61" i="13"/>
  <c r="J130" i="13"/>
  <c r="N128" i="7"/>
  <c r="K130" i="13"/>
  <c r="J216" i="13"/>
  <c r="N215" i="7"/>
  <c r="K216" i="13"/>
  <c r="J318" i="13"/>
  <c r="N317" i="7"/>
  <c r="K318" i="13"/>
  <c r="J234" i="13"/>
  <c r="N233" i="7"/>
  <c r="R36" i="5" s="1"/>
  <c r="K234" i="13"/>
  <c r="J194" i="13"/>
  <c r="N192" i="7"/>
  <c r="K194" i="13"/>
  <c r="J63" i="13"/>
  <c r="N60" i="7"/>
  <c r="K63" i="13"/>
  <c r="J131" i="13"/>
  <c r="N129" i="7"/>
  <c r="K131" i="13"/>
  <c r="J220" i="13"/>
  <c r="N219" i="7"/>
  <c r="J292" i="13"/>
  <c r="N291" i="7"/>
  <c r="K292" i="13"/>
  <c r="J172" i="13"/>
  <c r="N170" i="7"/>
  <c r="R34" i="5" s="1"/>
  <c r="K172" i="13"/>
  <c r="J289" i="13"/>
  <c r="N288" i="7"/>
  <c r="K289" i="13"/>
  <c r="J19" i="13"/>
  <c r="N16" i="7"/>
  <c r="J141" i="13"/>
  <c r="N139" i="7"/>
  <c r="K141" i="13"/>
  <c r="J226" i="13"/>
  <c r="N225" i="7"/>
  <c r="J273" i="13"/>
  <c r="N272" i="7"/>
  <c r="J114" i="13"/>
  <c r="N112" i="7"/>
  <c r="K114" i="13"/>
  <c r="J165" i="13"/>
  <c r="N163" i="7"/>
  <c r="J42" i="6" s="1"/>
  <c r="J26" i="13"/>
  <c r="N23" i="7"/>
  <c r="K26" i="13"/>
  <c r="J103" i="13"/>
  <c r="N101" i="7"/>
  <c r="K103" i="13"/>
  <c r="J147" i="13"/>
  <c r="N145" i="7"/>
  <c r="J231" i="13"/>
  <c r="N230" i="7"/>
  <c r="K231" i="13"/>
  <c r="J315" i="13"/>
  <c r="N314" i="7"/>
  <c r="V285" i="7"/>
  <c r="N42" i="14" s="1"/>
  <c r="H42" i="14"/>
  <c r="K303" i="17" s="1"/>
  <c r="U285" i="7"/>
  <c r="W285" i="7"/>
  <c r="O42" i="14" s="1"/>
  <c r="I42" i="14"/>
  <c r="U237" i="7"/>
  <c r="W237" i="7"/>
  <c r="O90" i="14" s="1"/>
  <c r="V237" i="7"/>
  <c r="N90" i="14" s="1"/>
  <c r="H90" i="14"/>
  <c r="K124" i="17" s="1"/>
  <c r="L124" i="17" s="1"/>
  <c r="I90" i="14"/>
  <c r="U189" i="7"/>
  <c r="H138" i="14"/>
  <c r="K244" i="17" s="1"/>
  <c r="W189" i="7"/>
  <c r="O138" i="14" s="1"/>
  <c r="V189" i="7"/>
  <c r="N138" i="14" s="1"/>
  <c r="I138" i="14"/>
  <c r="W141" i="7"/>
  <c r="O186" i="14" s="1"/>
  <c r="V141" i="7"/>
  <c r="N186" i="14" s="1"/>
  <c r="H186" i="14"/>
  <c r="K11" i="17" s="1"/>
  <c r="U141" i="7"/>
  <c r="W93" i="7"/>
  <c r="O234" i="14" s="1"/>
  <c r="V93" i="7"/>
  <c r="N234" i="14" s="1"/>
  <c r="U93" i="7"/>
  <c r="H234" i="14"/>
  <c r="K99" i="17" s="1"/>
  <c r="C99" i="17" s="1"/>
  <c r="I234" i="14"/>
  <c r="W45" i="7"/>
  <c r="O282" i="14" s="1"/>
  <c r="U45" i="7"/>
  <c r="V45" i="7"/>
  <c r="N282" i="14" s="1"/>
  <c r="H282" i="14"/>
  <c r="K165" i="17" s="1"/>
  <c r="C165" i="17" s="1"/>
  <c r="I282" i="14"/>
  <c r="W316" i="7"/>
  <c r="O11" i="14" s="1"/>
  <c r="U316" i="7"/>
  <c r="V316" i="7"/>
  <c r="N11" i="14" s="1"/>
  <c r="H11" i="14"/>
  <c r="K17" i="17" s="1"/>
  <c r="W268" i="7"/>
  <c r="O59" i="14" s="1"/>
  <c r="V268" i="7"/>
  <c r="N59" i="14" s="1"/>
  <c r="U268" i="7"/>
  <c r="H59" i="14"/>
  <c r="K129" i="17" s="1"/>
  <c r="C129" i="17" s="1"/>
  <c r="I59" i="14"/>
  <c r="V220" i="7"/>
  <c r="N107" i="14" s="1"/>
  <c r="U220" i="7"/>
  <c r="H107" i="14"/>
  <c r="K262" i="17" s="1"/>
  <c r="W220" i="7"/>
  <c r="O107" i="14" s="1"/>
  <c r="H155" i="14"/>
  <c r="K113" i="17" s="1"/>
  <c r="W172" i="7"/>
  <c r="O155" i="14" s="1"/>
  <c r="V172" i="7"/>
  <c r="N155" i="14" s="1"/>
  <c r="U172" i="7"/>
  <c r="I155" i="14"/>
  <c r="W124" i="7"/>
  <c r="O203" i="14" s="1"/>
  <c r="V124" i="7"/>
  <c r="N203" i="14" s="1"/>
  <c r="U124" i="7"/>
  <c r="H203" i="14"/>
  <c r="K60" i="17" s="1"/>
  <c r="C60" i="17" s="1"/>
  <c r="I203" i="14"/>
  <c r="W76" i="7"/>
  <c r="O251" i="14" s="1"/>
  <c r="V76" i="7"/>
  <c r="N251" i="14" s="1"/>
  <c r="U76" i="7"/>
  <c r="H251" i="14"/>
  <c r="K182" i="17" s="1"/>
  <c r="C182" i="17" s="1"/>
  <c r="I251" i="14"/>
  <c r="U27" i="7"/>
  <c r="W27" i="7"/>
  <c r="O300" i="14" s="1"/>
  <c r="V27" i="7"/>
  <c r="N300" i="14" s="1"/>
  <c r="H300" i="14"/>
  <c r="K85" i="17" s="1"/>
  <c r="L85" i="17" s="1"/>
  <c r="I300" i="14"/>
  <c r="H24" i="14"/>
  <c r="K313" i="17" s="1"/>
  <c r="W303" i="7"/>
  <c r="O24" i="14" s="1"/>
  <c r="U303" i="7"/>
  <c r="V303" i="7"/>
  <c r="N24" i="14" s="1"/>
  <c r="V271" i="7"/>
  <c r="N56" i="14" s="1"/>
  <c r="U271" i="7"/>
  <c r="W271" i="7"/>
  <c r="O56" i="14" s="1"/>
  <c r="H56" i="14"/>
  <c r="K74" i="17" s="1"/>
  <c r="C74" i="17" s="1"/>
  <c r="I56" i="14"/>
  <c r="W223" i="7"/>
  <c r="O104" i="14" s="1"/>
  <c r="V223" i="7"/>
  <c r="N104" i="14" s="1"/>
  <c r="U223" i="7"/>
  <c r="H104" i="14"/>
  <c r="K264" i="17" s="1"/>
  <c r="I104" i="14"/>
  <c r="H152" i="14"/>
  <c r="K39" i="17" s="1"/>
  <c r="W175" i="7"/>
  <c r="O152" i="14" s="1"/>
  <c r="V175" i="7"/>
  <c r="N152" i="14" s="1"/>
  <c r="U175" i="7"/>
  <c r="W95" i="7"/>
  <c r="O232" i="14" s="1"/>
  <c r="V95" i="7"/>
  <c r="N232" i="14" s="1"/>
  <c r="U95" i="7"/>
  <c r="H232" i="14"/>
  <c r="K59" i="17" s="1"/>
  <c r="C59" i="17" s="1"/>
  <c r="W47" i="7"/>
  <c r="O280" i="14" s="1"/>
  <c r="V47" i="7"/>
  <c r="N280" i="14" s="1"/>
  <c r="U47" i="7"/>
  <c r="H280" i="14"/>
  <c r="K166" i="17" s="1"/>
  <c r="I280" i="14"/>
  <c r="W14" i="7"/>
  <c r="O313" i="14" s="1"/>
  <c r="V14" i="7"/>
  <c r="N313" i="14" s="1"/>
  <c r="U14" i="7"/>
  <c r="H313" i="14"/>
  <c r="K145" i="17" s="1"/>
  <c r="I313" i="14"/>
  <c r="U286" i="7"/>
  <c r="V286" i="7"/>
  <c r="N41" i="14" s="1"/>
  <c r="W286" i="7"/>
  <c r="O41" i="14" s="1"/>
  <c r="H41" i="14"/>
  <c r="K304" i="17" s="1"/>
  <c r="I41" i="14"/>
  <c r="V254" i="7"/>
  <c r="N73" i="14" s="1"/>
  <c r="U254" i="7"/>
  <c r="W254" i="7"/>
  <c r="O73" i="14" s="1"/>
  <c r="H73" i="14"/>
  <c r="K283" i="17" s="1"/>
  <c r="C283" i="17" s="1"/>
  <c r="I73" i="14"/>
  <c r="U206" i="7"/>
  <c r="H121" i="14"/>
  <c r="K43" i="17" s="1"/>
  <c r="W206" i="7"/>
  <c r="O121" i="14" s="1"/>
  <c r="V206" i="7"/>
  <c r="N121" i="14" s="1"/>
  <c r="V158" i="7"/>
  <c r="N169" i="14" s="1"/>
  <c r="U158" i="7"/>
  <c r="W158" i="7"/>
  <c r="O169" i="14" s="1"/>
  <c r="H169" i="14"/>
  <c r="K229" i="17" s="1"/>
  <c r="C229" i="17" s="1"/>
  <c r="I169" i="14"/>
  <c r="W110" i="7"/>
  <c r="O217" i="14" s="1"/>
  <c r="V110" i="7"/>
  <c r="N217" i="14" s="1"/>
  <c r="U110" i="7"/>
  <c r="H217" i="14"/>
  <c r="K204" i="17" s="1"/>
  <c r="I217" i="14"/>
  <c r="U29" i="7"/>
  <c r="W29" i="7"/>
  <c r="O298" i="14" s="1"/>
  <c r="V29" i="7"/>
  <c r="N298" i="14" s="1"/>
  <c r="H298" i="14"/>
  <c r="K154" i="17" s="1"/>
  <c r="C154" i="17" s="1"/>
  <c r="I298" i="14"/>
  <c r="J57" i="13"/>
  <c r="N54" i="7"/>
  <c r="J71" i="13"/>
  <c r="N68" i="7"/>
  <c r="R241" i="5" s="1"/>
  <c r="J174" i="13"/>
  <c r="N172" i="7"/>
  <c r="R35" i="5" s="1"/>
  <c r="K174" i="13"/>
  <c r="J269" i="13"/>
  <c r="N268" i="7"/>
  <c r="K269" i="13"/>
  <c r="J152" i="13"/>
  <c r="N150" i="7"/>
  <c r="K152" i="13"/>
  <c r="J296" i="13"/>
  <c r="N295" i="7"/>
  <c r="K296" i="13"/>
  <c r="J118" i="13"/>
  <c r="N116" i="7"/>
  <c r="K118" i="13"/>
  <c r="J258" i="13"/>
  <c r="N257" i="7"/>
  <c r="K258" i="13"/>
  <c r="J21" i="13"/>
  <c r="N18" i="7"/>
  <c r="K21" i="13"/>
  <c r="J47" i="13"/>
  <c r="N44" i="7"/>
  <c r="J77" i="13"/>
  <c r="N74" i="7"/>
  <c r="K77" i="13"/>
  <c r="J100" i="13"/>
  <c r="N98" i="7"/>
  <c r="K100" i="13"/>
  <c r="J119" i="13"/>
  <c r="N117" i="7"/>
  <c r="K119" i="13"/>
  <c r="J143" i="13"/>
  <c r="N141" i="7"/>
  <c r="J170" i="13"/>
  <c r="N168" i="7"/>
  <c r="K170" i="13"/>
  <c r="J206" i="13"/>
  <c r="N204" i="7"/>
  <c r="K206" i="13"/>
  <c r="J228" i="13"/>
  <c r="N227" i="7"/>
  <c r="K228" i="13"/>
  <c r="J255" i="13"/>
  <c r="N254" i="7"/>
  <c r="K255" i="13"/>
  <c r="J276" i="13"/>
  <c r="N275" i="7"/>
  <c r="K276" i="13"/>
  <c r="J306" i="13"/>
  <c r="N305" i="7"/>
  <c r="J12" i="13"/>
  <c r="N9" i="7"/>
  <c r="R237" i="5" s="1"/>
  <c r="K12" i="13"/>
  <c r="J74" i="13"/>
  <c r="N71" i="7"/>
  <c r="R243" i="5" s="1"/>
  <c r="J179" i="13"/>
  <c r="N177" i="7"/>
  <c r="Q12" i="5" s="1"/>
  <c r="K179" i="13"/>
  <c r="J275" i="13"/>
  <c r="N274" i="7"/>
  <c r="R268" i="5" s="1"/>
  <c r="J153" i="13"/>
  <c r="N151" i="7"/>
  <c r="K153" i="13"/>
  <c r="J298" i="13"/>
  <c r="N297" i="7"/>
  <c r="J41" i="6" s="1"/>
  <c r="J125" i="13"/>
  <c r="N123" i="7"/>
  <c r="J263" i="13"/>
  <c r="N262" i="7"/>
  <c r="K263" i="13"/>
  <c r="J22" i="13"/>
  <c r="N19" i="7"/>
  <c r="K22" i="13"/>
  <c r="J48" i="13"/>
  <c r="N45" i="7"/>
  <c r="K48" i="13"/>
  <c r="J78" i="13"/>
  <c r="N75" i="7"/>
  <c r="K78" i="13"/>
  <c r="J101" i="13"/>
  <c r="N99" i="7"/>
  <c r="K101" i="13"/>
  <c r="J120" i="13"/>
  <c r="N118" i="7"/>
  <c r="J144" i="13"/>
  <c r="N142" i="7"/>
  <c r="K144" i="13"/>
  <c r="J178" i="13"/>
  <c r="N176" i="7"/>
  <c r="K178" i="13"/>
  <c r="J207" i="13"/>
  <c r="N205" i="7"/>
  <c r="J229" i="13"/>
  <c r="N228" i="7"/>
  <c r="K229" i="13"/>
  <c r="J256" i="13"/>
  <c r="N255" i="7"/>
  <c r="J277" i="13"/>
  <c r="N276" i="7"/>
  <c r="J307" i="13"/>
  <c r="N306" i="7"/>
  <c r="K307" i="13"/>
  <c r="J31" i="13"/>
  <c r="N28" i="7"/>
  <c r="K31" i="13"/>
  <c r="J137" i="13"/>
  <c r="N135" i="7"/>
  <c r="K137" i="13"/>
  <c r="J196" i="13"/>
  <c r="N194" i="7"/>
  <c r="R258" i="5" s="1"/>
  <c r="K196" i="13"/>
  <c r="J295" i="13"/>
  <c r="N294" i="7"/>
  <c r="K295" i="13"/>
  <c r="J188" i="13"/>
  <c r="N186" i="7"/>
  <c r="K188" i="13"/>
  <c r="J38" i="13"/>
  <c r="N35" i="7"/>
  <c r="J177" i="13"/>
  <c r="N175" i="7"/>
  <c r="J7" i="13"/>
  <c r="N4" i="7"/>
  <c r="J32" i="13"/>
  <c r="N29" i="7"/>
  <c r="K32" i="13"/>
  <c r="J56" i="13"/>
  <c r="N53" i="7"/>
  <c r="K56" i="13"/>
  <c r="J85" i="13"/>
  <c r="N82" i="7"/>
  <c r="K85" i="13"/>
  <c r="J106" i="13"/>
  <c r="N104" i="7"/>
  <c r="K106" i="13"/>
  <c r="J128" i="13"/>
  <c r="N126" i="7"/>
  <c r="K128" i="13"/>
  <c r="J150" i="13"/>
  <c r="N148" i="7"/>
  <c r="K150" i="13"/>
  <c r="J189" i="13"/>
  <c r="N187" i="7"/>
  <c r="K189" i="13"/>
  <c r="J214" i="13"/>
  <c r="N212" i="7"/>
  <c r="K214" i="13"/>
  <c r="J236" i="13"/>
  <c r="N235" i="7"/>
  <c r="K236" i="13"/>
  <c r="J262" i="13"/>
  <c r="N261" i="7"/>
  <c r="K262" i="13"/>
  <c r="J287" i="13"/>
  <c r="N286" i="7"/>
  <c r="K287" i="13"/>
  <c r="J314" i="13"/>
  <c r="N313" i="7"/>
  <c r="J58" i="13"/>
  <c r="N55" i="7"/>
  <c r="Q6" i="5" s="1"/>
  <c r="K58" i="13"/>
  <c r="J158" i="13"/>
  <c r="N156" i="7"/>
  <c r="K158" i="13"/>
  <c r="J238" i="13"/>
  <c r="N237" i="7"/>
  <c r="Q16" i="5" s="1"/>
  <c r="K238" i="13"/>
  <c r="J73" i="13"/>
  <c r="N70" i="7"/>
  <c r="K73" i="13"/>
  <c r="J244" i="13"/>
  <c r="N243" i="7"/>
  <c r="K244" i="13"/>
  <c r="J84" i="13"/>
  <c r="N81" i="7"/>
  <c r="K84" i="13"/>
  <c r="J211" i="13"/>
  <c r="R178" i="5" s="1"/>
  <c r="N209" i="7"/>
  <c r="J16" i="13"/>
  <c r="N13" i="7"/>
  <c r="K16" i="13"/>
  <c r="J39" i="13"/>
  <c r="N36" i="7"/>
  <c r="K39" i="13"/>
  <c r="J65" i="13"/>
  <c r="N62" i="7"/>
  <c r="K65" i="13"/>
  <c r="J93" i="13"/>
  <c r="N91" i="7"/>
  <c r="K93" i="13"/>
  <c r="J111" i="13"/>
  <c r="N109" i="7"/>
  <c r="K111" i="13"/>
  <c r="J135" i="13"/>
  <c r="N133" i="7"/>
  <c r="K135" i="13"/>
  <c r="J163" i="13"/>
  <c r="N161" i="7"/>
  <c r="K163" i="13"/>
  <c r="J201" i="13"/>
  <c r="N199" i="7"/>
  <c r="K201" i="13"/>
  <c r="J222" i="13"/>
  <c r="N221" i="7"/>
  <c r="K222" i="13"/>
  <c r="J248" i="13"/>
  <c r="N247" i="7"/>
  <c r="J268" i="13"/>
  <c r="N267" i="7"/>
  <c r="K268" i="13"/>
  <c r="J299" i="13"/>
  <c r="N298" i="7"/>
  <c r="J322" i="13"/>
  <c r="N321" i="7"/>
  <c r="K322" i="13"/>
  <c r="J324" i="13"/>
  <c r="N323" i="7"/>
  <c r="K324" i="13"/>
  <c r="H18" i="14"/>
  <c r="K318" i="17" s="1"/>
  <c r="V309" i="7"/>
  <c r="N18" i="14" s="1"/>
  <c r="W309" i="7"/>
  <c r="O18" i="14" s="1"/>
  <c r="U309" i="7"/>
  <c r="I18" i="14"/>
  <c r="W293" i="7"/>
  <c r="O34" i="14" s="1"/>
  <c r="U293" i="7"/>
  <c r="H34" i="14"/>
  <c r="K134" i="17" s="1"/>
  <c r="V293" i="7"/>
  <c r="N34" i="14" s="1"/>
  <c r="I34" i="14"/>
  <c r="U277" i="7"/>
  <c r="H50" i="14"/>
  <c r="K300" i="17" s="1"/>
  <c r="V277" i="7"/>
  <c r="N50" i="14" s="1"/>
  <c r="W277" i="7"/>
  <c r="O50" i="14" s="1"/>
  <c r="U261" i="7"/>
  <c r="V261" i="7"/>
  <c r="N66" i="14" s="1"/>
  <c r="W261" i="7"/>
  <c r="O66" i="14" s="1"/>
  <c r="H66" i="14"/>
  <c r="K289" i="17" s="1"/>
  <c r="C289" i="17" s="1"/>
  <c r="I66" i="14"/>
  <c r="U245" i="7"/>
  <c r="W245" i="7"/>
  <c r="O82" i="14" s="1"/>
  <c r="H82" i="14"/>
  <c r="K276" i="17" s="1"/>
  <c r="V245" i="7"/>
  <c r="N82" i="14" s="1"/>
  <c r="W229" i="7"/>
  <c r="O98" i="14" s="1"/>
  <c r="V229" i="7"/>
  <c r="N98" i="14" s="1"/>
  <c r="U229" i="7"/>
  <c r="H98" i="14"/>
  <c r="K270" i="17" s="1"/>
  <c r="I98" i="14"/>
  <c r="W213" i="7"/>
  <c r="O114" i="14" s="1"/>
  <c r="V213" i="7"/>
  <c r="N114" i="14" s="1"/>
  <c r="U213" i="7"/>
  <c r="H114" i="14"/>
  <c r="K69" i="17" s="1"/>
  <c r="C69" i="17" s="1"/>
  <c r="I114" i="14"/>
  <c r="U197" i="7"/>
  <c r="V197" i="7"/>
  <c r="N130" i="14" s="1"/>
  <c r="W197" i="7"/>
  <c r="O130" i="14" s="1"/>
  <c r="H130" i="14"/>
  <c r="K121" i="17" s="1"/>
  <c r="L121" i="17" s="1"/>
  <c r="I130" i="14"/>
  <c r="W181" i="7"/>
  <c r="O146" i="14" s="1"/>
  <c r="U181" i="7"/>
  <c r="V181" i="7"/>
  <c r="N146" i="14" s="1"/>
  <c r="H146" i="14"/>
  <c r="K241" i="17" s="1"/>
  <c r="I146" i="14"/>
  <c r="W165" i="7"/>
  <c r="O162" i="14" s="1"/>
  <c r="U165" i="7"/>
  <c r="V165" i="7"/>
  <c r="N162" i="14" s="1"/>
  <c r="H162" i="14"/>
  <c r="K234" i="17" s="1"/>
  <c r="W149" i="7"/>
  <c r="O178" i="14" s="1"/>
  <c r="U149" i="7"/>
  <c r="V149" i="7"/>
  <c r="N178" i="14" s="1"/>
  <c r="H178" i="14"/>
  <c r="K106" i="17" s="1"/>
  <c r="C106" i="17" s="1"/>
  <c r="I178" i="14"/>
  <c r="U133" i="7"/>
  <c r="V133" i="7"/>
  <c r="N194" i="14" s="1"/>
  <c r="W133" i="7"/>
  <c r="O194" i="14" s="1"/>
  <c r="H194" i="14"/>
  <c r="K218" i="17" s="1"/>
  <c r="I194" i="14"/>
  <c r="V117" i="7"/>
  <c r="N210" i="14" s="1"/>
  <c r="U117" i="7"/>
  <c r="W117" i="7"/>
  <c r="O210" i="14" s="1"/>
  <c r="H210" i="14"/>
  <c r="K207" i="17" s="1"/>
  <c r="I210" i="14"/>
  <c r="U101" i="7"/>
  <c r="H226" i="14"/>
  <c r="K196" i="17" s="1"/>
  <c r="V101" i="7"/>
  <c r="N226" i="14" s="1"/>
  <c r="W101" i="7"/>
  <c r="O226" i="14" s="1"/>
  <c r="I226" i="14"/>
  <c r="U85" i="7"/>
  <c r="V85" i="7"/>
  <c r="N242" i="14" s="1"/>
  <c r="W85" i="7"/>
  <c r="O242" i="14" s="1"/>
  <c r="H242" i="14"/>
  <c r="K30" i="17" s="1"/>
  <c r="L30" i="17" s="1"/>
  <c r="I242" i="14"/>
  <c r="V69" i="7"/>
  <c r="N258" i="14" s="1"/>
  <c r="U69" i="7"/>
  <c r="W69" i="7"/>
  <c r="O258" i="14" s="1"/>
  <c r="H258" i="14"/>
  <c r="K177" i="17" s="1"/>
  <c r="V53" i="7"/>
  <c r="N274" i="14" s="1"/>
  <c r="U53" i="7"/>
  <c r="W53" i="7"/>
  <c r="O274" i="14" s="1"/>
  <c r="H274" i="14"/>
  <c r="K170" i="17" s="1"/>
  <c r="I274" i="14"/>
  <c r="W37" i="7"/>
  <c r="O290" i="14" s="1"/>
  <c r="V37" i="7"/>
  <c r="N290" i="14" s="1"/>
  <c r="U37" i="7"/>
  <c r="H290" i="14"/>
  <c r="K24" i="17" s="1"/>
  <c r="C24" i="17" s="1"/>
  <c r="I290" i="14"/>
  <c r="H307" i="14"/>
  <c r="K83" i="17" s="1"/>
  <c r="V20" i="7"/>
  <c r="N307" i="14" s="1"/>
  <c r="W20" i="7"/>
  <c r="O307" i="14" s="1"/>
  <c r="U20" i="7"/>
  <c r="I307" i="14"/>
  <c r="W4" i="7"/>
  <c r="O323" i="14" s="1"/>
  <c r="U4" i="7"/>
  <c r="V4" i="7"/>
  <c r="N323" i="14" s="1"/>
  <c r="H323" i="14"/>
  <c r="K139" i="17" s="1"/>
  <c r="W308" i="7"/>
  <c r="O19" i="14" s="1"/>
  <c r="U308" i="7"/>
  <c r="H19" i="14"/>
  <c r="K317" i="17" s="1"/>
  <c r="V308" i="7"/>
  <c r="N19" i="14" s="1"/>
  <c r="I19" i="14"/>
  <c r="U292" i="7"/>
  <c r="W292" i="7"/>
  <c r="O35" i="14" s="1"/>
  <c r="V292" i="7"/>
  <c r="N35" i="14" s="1"/>
  <c r="H35" i="14"/>
  <c r="K308" i="17" s="1"/>
  <c r="I35" i="14"/>
  <c r="U276" i="7"/>
  <c r="V276" i="7"/>
  <c r="N51" i="14" s="1"/>
  <c r="W276" i="7"/>
  <c r="O51" i="14" s="1"/>
  <c r="H51" i="14"/>
  <c r="K299" i="17" s="1"/>
  <c r="C299" i="17" s="1"/>
  <c r="W260" i="7"/>
  <c r="O67" i="14" s="1"/>
  <c r="V260" i="7"/>
  <c r="N67" i="14" s="1"/>
  <c r="U260" i="7"/>
  <c r="H67" i="14"/>
  <c r="K288" i="17" s="1"/>
  <c r="I67" i="14"/>
  <c r="V244" i="7"/>
  <c r="N83" i="14" s="1"/>
  <c r="U244" i="7"/>
  <c r="H83" i="14"/>
  <c r="K73" i="17" s="1"/>
  <c r="W244" i="7"/>
  <c r="O83" i="14" s="1"/>
  <c r="I83" i="14"/>
  <c r="V228" i="7"/>
  <c r="N99" i="14" s="1"/>
  <c r="W228" i="7"/>
  <c r="O99" i="14" s="1"/>
  <c r="U228" i="7"/>
  <c r="H99" i="14"/>
  <c r="K269" i="17" s="1"/>
  <c r="I99" i="14"/>
  <c r="V212" i="7"/>
  <c r="N115" i="14" s="1"/>
  <c r="W212" i="7"/>
  <c r="O115" i="14" s="1"/>
  <c r="U212" i="7"/>
  <c r="H115" i="14"/>
  <c r="K258" i="17" s="1"/>
  <c r="I115" i="14"/>
  <c r="H131" i="14"/>
  <c r="K120" i="17" s="1"/>
  <c r="U196" i="7"/>
  <c r="W196" i="7"/>
  <c r="O131" i="14" s="1"/>
  <c r="V196" i="7"/>
  <c r="N131" i="14" s="1"/>
  <c r="I131" i="14"/>
  <c r="U180" i="7"/>
  <c r="W180" i="7"/>
  <c r="O147" i="14" s="1"/>
  <c r="V180" i="7"/>
  <c r="N147" i="14" s="1"/>
  <c r="H147" i="14"/>
  <c r="K240" i="17" s="1"/>
  <c r="L240" i="17" s="1"/>
  <c r="I147" i="14"/>
  <c r="U164" i="7"/>
  <c r="W164" i="7"/>
  <c r="O163" i="14" s="1"/>
  <c r="V164" i="7"/>
  <c r="N163" i="14" s="1"/>
  <c r="H163" i="14"/>
  <c r="K65" i="17" s="1"/>
  <c r="C65" i="17" s="1"/>
  <c r="I163" i="14"/>
  <c r="U148" i="7"/>
  <c r="W148" i="7"/>
  <c r="O179" i="14" s="1"/>
  <c r="V148" i="7"/>
  <c r="N179" i="14" s="1"/>
  <c r="H179" i="14"/>
  <c r="K228" i="17" s="1"/>
  <c r="I179" i="14"/>
  <c r="V132" i="7"/>
  <c r="N195" i="14" s="1"/>
  <c r="U132" i="7"/>
  <c r="W132" i="7"/>
  <c r="O195" i="14" s="1"/>
  <c r="H195" i="14"/>
  <c r="K217" i="17" s="1"/>
  <c r="I195" i="14"/>
  <c r="V116" i="7"/>
  <c r="N211" i="14" s="1"/>
  <c r="U116" i="7"/>
  <c r="W116" i="7"/>
  <c r="O211" i="14" s="1"/>
  <c r="H211" i="14"/>
  <c r="K33" i="17" s="1"/>
  <c r="C33" i="17" s="1"/>
  <c r="I211" i="14"/>
  <c r="H227" i="14"/>
  <c r="K195" i="17" s="1"/>
  <c r="W100" i="7"/>
  <c r="O227" i="14" s="1"/>
  <c r="V100" i="7"/>
  <c r="N227" i="14" s="1"/>
  <c r="U100" i="7"/>
  <c r="H243" i="14"/>
  <c r="K29" i="17" s="1"/>
  <c r="V84" i="7"/>
  <c r="N243" i="14" s="1"/>
  <c r="U84" i="7"/>
  <c r="W84" i="7"/>
  <c r="O243" i="14" s="1"/>
  <c r="I243" i="14"/>
  <c r="H259" i="14"/>
  <c r="K97" i="17" s="1"/>
  <c r="U68" i="7"/>
  <c r="V68" i="7"/>
  <c r="N259" i="14" s="1"/>
  <c r="W68" i="7"/>
  <c r="O259" i="14" s="1"/>
  <c r="H275" i="14"/>
  <c r="K90" i="17" s="1"/>
  <c r="U52" i="7"/>
  <c r="V52" i="7"/>
  <c r="N275" i="14" s="1"/>
  <c r="W52" i="7"/>
  <c r="O275" i="14" s="1"/>
  <c r="I275" i="14"/>
  <c r="W35" i="7"/>
  <c r="O292" i="14" s="1"/>
  <c r="V35" i="7"/>
  <c r="N292" i="14" s="1"/>
  <c r="U35" i="7"/>
  <c r="H292" i="14"/>
  <c r="K23" i="17" s="1"/>
  <c r="C23" i="17" s="1"/>
  <c r="W19" i="7"/>
  <c r="O308" i="14" s="1"/>
  <c r="V19" i="7"/>
  <c r="N308" i="14" s="1"/>
  <c r="U19" i="7"/>
  <c r="H308" i="14"/>
  <c r="K149" i="17" s="1"/>
  <c r="I308" i="14"/>
  <c r="W3" i="7"/>
  <c r="O324" i="14" s="1"/>
  <c r="V3" i="7"/>
  <c r="N324" i="14" s="1"/>
  <c r="U3" i="7"/>
  <c r="H324" i="14"/>
  <c r="K138" i="17" s="1"/>
  <c r="I324" i="14"/>
  <c r="U311" i="7"/>
  <c r="H16" i="14"/>
  <c r="K79" i="17" s="1"/>
  <c r="V311" i="7"/>
  <c r="N16" i="14" s="1"/>
  <c r="W311" i="7"/>
  <c r="O16" i="14" s="1"/>
  <c r="I16" i="14"/>
  <c r="W295" i="7"/>
  <c r="O32" i="14" s="1"/>
  <c r="U295" i="7"/>
  <c r="V295" i="7"/>
  <c r="N32" i="14" s="1"/>
  <c r="H32" i="14"/>
  <c r="K77" i="17" s="1"/>
  <c r="C77" i="17" s="1"/>
  <c r="I32" i="14"/>
  <c r="W279" i="7"/>
  <c r="O48" i="14" s="1"/>
  <c r="V279" i="7"/>
  <c r="N48" i="14" s="1"/>
  <c r="U279" i="7"/>
  <c r="H48" i="14"/>
  <c r="K302" i="17" s="1"/>
  <c r="I48" i="14"/>
  <c r="W263" i="7"/>
  <c r="O64" i="14" s="1"/>
  <c r="V263" i="7"/>
  <c r="N64" i="14" s="1"/>
  <c r="U263" i="7"/>
  <c r="H64" i="14"/>
  <c r="K290" i="17" s="1"/>
  <c r="W247" i="7"/>
  <c r="O80" i="14" s="1"/>
  <c r="H80" i="14"/>
  <c r="K278" i="17" s="1"/>
  <c r="U247" i="7"/>
  <c r="V247" i="7"/>
  <c r="N80" i="14" s="1"/>
  <c r="H96" i="14"/>
  <c r="K271" i="17" s="1"/>
  <c r="U231" i="7"/>
  <c r="W231" i="7"/>
  <c r="O96" i="14" s="1"/>
  <c r="V231" i="7"/>
  <c r="N96" i="14" s="1"/>
  <c r="W215" i="7"/>
  <c r="O112" i="14" s="1"/>
  <c r="V215" i="7"/>
  <c r="N112" i="14" s="1"/>
  <c r="U215" i="7"/>
  <c r="H112" i="14"/>
  <c r="K260" i="17" s="1"/>
  <c r="I112" i="14"/>
  <c r="W199" i="7"/>
  <c r="O128" i="14" s="1"/>
  <c r="V199" i="7"/>
  <c r="N128" i="14" s="1"/>
  <c r="U199" i="7"/>
  <c r="H128" i="14"/>
  <c r="K247" i="17" s="1"/>
  <c r="I128" i="14"/>
  <c r="V183" i="7"/>
  <c r="N144" i="14" s="1"/>
  <c r="W183" i="7"/>
  <c r="O144" i="14" s="1"/>
  <c r="U183" i="7"/>
  <c r="H144" i="14"/>
  <c r="K13" i="17" s="1"/>
  <c r="C13" i="17" s="1"/>
  <c r="I144" i="14"/>
  <c r="W167" i="7"/>
  <c r="O160" i="14" s="1"/>
  <c r="U167" i="7"/>
  <c r="V167" i="7"/>
  <c r="N160" i="14" s="1"/>
  <c r="H160" i="14"/>
  <c r="K236" i="17" s="1"/>
  <c r="I160" i="14"/>
  <c r="V151" i="7"/>
  <c r="N176" i="14" s="1"/>
  <c r="U151" i="7"/>
  <c r="W151" i="7"/>
  <c r="O176" i="14" s="1"/>
  <c r="H176" i="14"/>
  <c r="K62" i="17" s="1"/>
  <c r="L62" i="17" s="1"/>
  <c r="I176" i="14"/>
  <c r="W135" i="7"/>
  <c r="O192" i="14" s="1"/>
  <c r="U135" i="7"/>
  <c r="V135" i="7"/>
  <c r="N192" i="14" s="1"/>
  <c r="H192" i="14"/>
  <c r="K103" i="17" s="1"/>
  <c r="C103" i="17" s="1"/>
  <c r="I192" i="14"/>
  <c r="V119" i="7"/>
  <c r="N208" i="14" s="1"/>
  <c r="U119" i="7"/>
  <c r="W119" i="7"/>
  <c r="O208" i="14" s="1"/>
  <c r="H208" i="14"/>
  <c r="K209" i="17" s="1"/>
  <c r="I208" i="14"/>
  <c r="U103" i="7"/>
  <c r="V103" i="7"/>
  <c r="N224" i="14" s="1"/>
  <c r="W103" i="7"/>
  <c r="O224" i="14" s="1"/>
  <c r="H224" i="14"/>
  <c r="K198" i="17" s="1"/>
  <c r="I224" i="14"/>
  <c r="U87" i="7"/>
  <c r="W87" i="7"/>
  <c r="O240" i="14" s="1"/>
  <c r="V87" i="7"/>
  <c r="N240" i="14" s="1"/>
  <c r="H240" i="14"/>
  <c r="K58" i="17" s="1"/>
  <c r="C58" i="17" s="1"/>
  <c r="I240" i="14"/>
  <c r="H256" i="14"/>
  <c r="K98" i="17" s="1"/>
  <c r="W71" i="7"/>
  <c r="O256" i="14" s="1"/>
  <c r="V71" i="7"/>
  <c r="N256" i="14" s="1"/>
  <c r="U71" i="7"/>
  <c r="V55" i="7"/>
  <c r="N272" i="14" s="1"/>
  <c r="U55" i="7"/>
  <c r="W55" i="7"/>
  <c r="O272" i="14" s="1"/>
  <c r="H272" i="14"/>
  <c r="K92" i="17" s="1"/>
  <c r="C92" i="17" s="1"/>
  <c r="I272" i="14"/>
  <c r="H288" i="14"/>
  <c r="K160" i="17" s="1"/>
  <c r="W39" i="7"/>
  <c r="O288" i="14" s="1"/>
  <c r="V39" i="7"/>
  <c r="N288" i="14" s="1"/>
  <c r="U39" i="7"/>
  <c r="V22" i="7"/>
  <c r="N305" i="14" s="1"/>
  <c r="W22" i="7"/>
  <c r="O305" i="14" s="1"/>
  <c r="U22" i="7"/>
  <c r="H305" i="14"/>
  <c r="K150" i="17" s="1"/>
  <c r="C150" i="17" s="1"/>
  <c r="V6" i="7"/>
  <c r="N321" i="14" s="1"/>
  <c r="W6" i="7"/>
  <c r="O321" i="14" s="1"/>
  <c r="U6" i="7"/>
  <c r="H321" i="14"/>
  <c r="K54" i="17" s="1"/>
  <c r="I321" i="14"/>
  <c r="U310" i="7"/>
  <c r="W310" i="7"/>
  <c r="O17" i="14" s="1"/>
  <c r="V310" i="7"/>
  <c r="N17" i="14" s="1"/>
  <c r="H17" i="14"/>
  <c r="K16" i="17" s="1"/>
  <c r="I17" i="14"/>
  <c r="H33" i="14"/>
  <c r="K135" i="17" s="1"/>
  <c r="W294" i="7"/>
  <c r="O33" i="14" s="1"/>
  <c r="V294" i="7"/>
  <c r="N33" i="14" s="1"/>
  <c r="U294" i="7"/>
  <c r="I33" i="14"/>
  <c r="U278" i="7"/>
  <c r="W278" i="7"/>
  <c r="O49" i="14" s="1"/>
  <c r="V278" i="7"/>
  <c r="N49" i="14" s="1"/>
  <c r="H49" i="14"/>
  <c r="K301" i="17" s="1"/>
  <c r="C301" i="17" s="1"/>
  <c r="I49" i="14"/>
  <c r="H65" i="14"/>
  <c r="K50" i="17" s="1"/>
  <c r="W262" i="7"/>
  <c r="O65" i="14" s="1"/>
  <c r="V262" i="7"/>
  <c r="N65" i="14" s="1"/>
  <c r="U262" i="7"/>
  <c r="I65" i="14"/>
  <c r="V246" i="7"/>
  <c r="N81" i="14" s="1"/>
  <c r="U246" i="7"/>
  <c r="H81" i="14"/>
  <c r="K277" i="17" s="1"/>
  <c r="W246" i="7"/>
  <c r="O81" i="14" s="1"/>
  <c r="U230" i="7"/>
  <c r="V230" i="7"/>
  <c r="N97" i="14" s="1"/>
  <c r="H97" i="14"/>
  <c r="K14" i="17" s="1"/>
  <c r="W230" i="7"/>
  <c r="O97" i="14" s="1"/>
  <c r="I97" i="14"/>
  <c r="U214" i="7"/>
  <c r="V214" i="7"/>
  <c r="N113" i="14" s="1"/>
  <c r="W214" i="7"/>
  <c r="O113" i="14" s="1"/>
  <c r="H113" i="14"/>
  <c r="K259" i="17" s="1"/>
  <c r="C259" i="17" s="1"/>
  <c r="I113" i="14"/>
  <c r="W198" i="7"/>
  <c r="O129" i="14" s="1"/>
  <c r="V198" i="7"/>
  <c r="N129" i="14" s="1"/>
  <c r="U198" i="7"/>
  <c r="H129" i="14"/>
  <c r="K246" i="17" s="1"/>
  <c r="C246" i="17" s="1"/>
  <c r="I129" i="14"/>
  <c r="V182" i="7"/>
  <c r="N145" i="14" s="1"/>
  <c r="U182" i="7"/>
  <c r="H145" i="14"/>
  <c r="K40" i="17" s="1"/>
  <c r="W182" i="7"/>
  <c r="O145" i="14" s="1"/>
  <c r="U166" i="7"/>
  <c r="H161" i="14"/>
  <c r="K235" i="17" s="1"/>
  <c r="W166" i="7"/>
  <c r="O161" i="14" s="1"/>
  <c r="V166" i="7"/>
  <c r="N161" i="14" s="1"/>
  <c r="I161" i="14"/>
  <c r="W150" i="7"/>
  <c r="O177" i="14" s="1"/>
  <c r="V150" i="7"/>
  <c r="N177" i="14" s="1"/>
  <c r="U150" i="7"/>
  <c r="H177" i="14"/>
  <c r="K61" i="17" s="1"/>
  <c r="C61" i="17" s="1"/>
  <c r="I177" i="14"/>
  <c r="U134" i="7"/>
  <c r="H193" i="14"/>
  <c r="K102" i="17" s="1"/>
  <c r="W134" i="7"/>
  <c r="O193" i="14" s="1"/>
  <c r="V134" i="7"/>
  <c r="N193" i="14" s="1"/>
  <c r="I193" i="14"/>
  <c r="V118" i="7"/>
  <c r="N209" i="14" s="1"/>
  <c r="U118" i="7"/>
  <c r="H209" i="14"/>
  <c r="K208" i="17" s="1"/>
  <c r="W118" i="7"/>
  <c r="O209" i="14" s="1"/>
  <c r="W102" i="7"/>
  <c r="O225" i="14" s="1"/>
  <c r="H225" i="14"/>
  <c r="K197" i="17" s="1"/>
  <c r="V102" i="7"/>
  <c r="N225" i="14" s="1"/>
  <c r="U102" i="7"/>
  <c r="I225" i="14"/>
  <c r="W86" i="7"/>
  <c r="O241" i="14" s="1"/>
  <c r="U86" i="7"/>
  <c r="H241" i="14"/>
  <c r="K31" i="17" s="1"/>
  <c r="V86" i="7"/>
  <c r="N241" i="14" s="1"/>
  <c r="I241" i="14"/>
  <c r="V70" i="7"/>
  <c r="N257" i="14" s="1"/>
  <c r="W70" i="7"/>
  <c r="O257" i="14" s="1"/>
  <c r="U70" i="7"/>
  <c r="H257" i="14"/>
  <c r="K56" i="17" s="1"/>
  <c r="C56" i="17" s="1"/>
  <c r="I257" i="14"/>
  <c r="U54" i="7"/>
  <c r="W54" i="7"/>
  <c r="O273" i="14" s="1"/>
  <c r="H273" i="14"/>
  <c r="K91" i="17" s="1"/>
  <c r="V54" i="7"/>
  <c r="N273" i="14" s="1"/>
  <c r="V38" i="7"/>
  <c r="N289" i="14" s="1"/>
  <c r="W38" i="7"/>
  <c r="O289" i="14" s="1"/>
  <c r="U38" i="7"/>
  <c r="H289" i="14"/>
  <c r="K25" i="17" s="1"/>
  <c r="I289" i="14"/>
  <c r="H306" i="14"/>
  <c r="K84" i="17" s="1"/>
  <c r="W21" i="7"/>
  <c r="O306" i="14" s="1"/>
  <c r="V21" i="7"/>
  <c r="N306" i="14" s="1"/>
  <c r="U21" i="7"/>
  <c r="I306" i="14"/>
  <c r="H322" i="14"/>
  <c r="K140" i="17" s="1"/>
  <c r="W5" i="7"/>
  <c r="O322" i="14" s="1"/>
  <c r="V5" i="7"/>
  <c r="N322" i="14" s="1"/>
  <c r="U5" i="7"/>
  <c r="J146" i="13"/>
  <c r="N144" i="7"/>
  <c r="R249" i="5" s="1"/>
  <c r="K146" i="13"/>
  <c r="J215" i="13"/>
  <c r="N213" i="7"/>
  <c r="K215" i="13"/>
  <c r="J10" i="13"/>
  <c r="N7" i="7"/>
  <c r="J90" i="13"/>
  <c r="N88" i="7"/>
  <c r="K90" i="13"/>
  <c r="J160" i="13"/>
  <c r="N158" i="7"/>
  <c r="K160" i="13"/>
  <c r="J265" i="13"/>
  <c r="N264" i="7"/>
  <c r="J54" i="13"/>
  <c r="N51" i="7"/>
  <c r="K54" i="13"/>
  <c r="J9" i="13"/>
  <c r="N6" i="7"/>
  <c r="K9" i="13"/>
  <c r="J49" i="13"/>
  <c r="N46" i="7"/>
  <c r="K49" i="13"/>
  <c r="J36" i="13"/>
  <c r="N33" i="7"/>
  <c r="K36" i="13"/>
  <c r="J109" i="13"/>
  <c r="N107" i="7"/>
  <c r="K109" i="13"/>
  <c r="J161" i="13"/>
  <c r="N159" i="7"/>
  <c r="K161" i="13"/>
  <c r="J246" i="13"/>
  <c r="N245" i="7"/>
  <c r="J319" i="13"/>
  <c r="N318" i="7"/>
  <c r="K319" i="13"/>
  <c r="J251" i="13"/>
  <c r="N250" i="7"/>
  <c r="R37" i="5" s="1"/>
  <c r="K251" i="13"/>
  <c r="J88" i="13"/>
  <c r="N86" i="7"/>
  <c r="K88" i="13"/>
  <c r="J44" i="13"/>
  <c r="N41" i="7"/>
  <c r="J98" i="13"/>
  <c r="N96" i="7"/>
  <c r="K98" i="13"/>
  <c r="J168" i="13"/>
  <c r="N166" i="7"/>
  <c r="K168" i="13"/>
  <c r="J303" i="13"/>
  <c r="N302" i="7"/>
  <c r="J186" i="13"/>
  <c r="N184" i="7"/>
  <c r="Q13" i="5" s="1"/>
  <c r="J316" i="13"/>
  <c r="N315" i="7"/>
  <c r="K316" i="13"/>
  <c r="J285" i="13"/>
  <c r="N284" i="7"/>
  <c r="K285" i="13"/>
  <c r="J80" i="13"/>
  <c r="N77" i="7"/>
  <c r="K80" i="13"/>
  <c r="J182" i="13"/>
  <c r="N180" i="7"/>
  <c r="K182" i="13"/>
  <c r="J259" i="13"/>
  <c r="N258" i="7"/>
  <c r="J309" i="13"/>
  <c r="N308" i="7"/>
  <c r="K309" i="13"/>
  <c r="W301" i="7"/>
  <c r="O26" i="14" s="1"/>
  <c r="V301" i="7"/>
  <c r="N26" i="14" s="1"/>
  <c r="U301" i="7"/>
  <c r="H26" i="14"/>
  <c r="K311" i="17" s="1"/>
  <c r="I26" i="14"/>
  <c r="W253" i="7"/>
  <c r="O74" i="14" s="1"/>
  <c r="V253" i="7"/>
  <c r="N74" i="14" s="1"/>
  <c r="U253" i="7"/>
  <c r="H74" i="14"/>
  <c r="K128" i="17" s="1"/>
  <c r="C128" i="17" s="1"/>
  <c r="I74" i="14"/>
  <c r="W205" i="7"/>
  <c r="O122" i="14" s="1"/>
  <c r="V205" i="7"/>
  <c r="N122" i="14" s="1"/>
  <c r="U205" i="7"/>
  <c r="H122" i="14"/>
  <c r="K253" i="17" s="1"/>
  <c r="U173" i="7"/>
  <c r="W173" i="7"/>
  <c r="O154" i="14" s="1"/>
  <c r="V173" i="7"/>
  <c r="N154" i="14" s="1"/>
  <c r="H154" i="14"/>
  <c r="K66" i="17" s="1"/>
  <c r="C66" i="17" s="1"/>
  <c r="I154" i="14"/>
  <c r="U109" i="7"/>
  <c r="H218" i="14"/>
  <c r="K203" i="17" s="1"/>
  <c r="V109" i="7"/>
  <c r="N218" i="14" s="1"/>
  <c r="W109" i="7"/>
  <c r="O218" i="14" s="1"/>
  <c r="I218" i="14"/>
  <c r="W61" i="7"/>
  <c r="O266" i="14" s="1"/>
  <c r="U61" i="7"/>
  <c r="V61" i="7"/>
  <c r="N266" i="14" s="1"/>
  <c r="H266" i="14"/>
  <c r="K174" i="17" s="1"/>
  <c r="C174" i="17" s="1"/>
  <c r="I266" i="14"/>
  <c r="V28" i="7"/>
  <c r="N299" i="14" s="1"/>
  <c r="W28" i="7"/>
  <c r="O299" i="14" s="1"/>
  <c r="H299" i="14"/>
  <c r="K86" i="17" s="1"/>
  <c r="U28" i="7"/>
  <c r="I299" i="14"/>
  <c r="U284" i="7"/>
  <c r="H43" i="14"/>
  <c r="K52" i="17" s="1"/>
  <c r="C52" i="17" s="1"/>
  <c r="W284" i="7"/>
  <c r="O43" i="14" s="1"/>
  <c r="V284" i="7"/>
  <c r="N43" i="14" s="1"/>
  <c r="I43" i="14"/>
  <c r="V252" i="7"/>
  <c r="N75" i="14" s="1"/>
  <c r="U252" i="7"/>
  <c r="H75" i="14"/>
  <c r="K282" i="17" s="1"/>
  <c r="W252" i="7"/>
  <c r="O75" i="14" s="1"/>
  <c r="I75" i="14"/>
  <c r="W188" i="7"/>
  <c r="O139" i="14" s="1"/>
  <c r="V188" i="7"/>
  <c r="N139" i="14" s="1"/>
  <c r="U188" i="7"/>
  <c r="H139" i="14"/>
  <c r="K243" i="17" s="1"/>
  <c r="C243" i="17" s="1"/>
  <c r="I139" i="14"/>
  <c r="W140" i="7"/>
  <c r="O187" i="14" s="1"/>
  <c r="V140" i="7"/>
  <c r="N187" i="14" s="1"/>
  <c r="U140" i="7"/>
  <c r="H187" i="14"/>
  <c r="K222" i="17" s="1"/>
  <c r="W92" i="7"/>
  <c r="O235" i="14" s="1"/>
  <c r="V92" i="7"/>
  <c r="N235" i="14" s="1"/>
  <c r="U92" i="7"/>
  <c r="H235" i="14"/>
  <c r="K8" i="17" s="1"/>
  <c r="I235" i="14"/>
  <c r="U44" i="7"/>
  <c r="W44" i="7"/>
  <c r="O283" i="14" s="1"/>
  <c r="V44" i="7"/>
  <c r="N283" i="14" s="1"/>
  <c r="H283" i="14"/>
  <c r="K164" i="17" s="1"/>
  <c r="C164" i="17" s="1"/>
  <c r="V319" i="7"/>
  <c r="N8" i="14" s="1"/>
  <c r="U319" i="7"/>
  <c r="W319" i="7"/>
  <c r="O8" i="14" s="1"/>
  <c r="H8" i="14"/>
  <c r="K18" i="17" s="1"/>
  <c r="I8" i="14"/>
  <c r="V255" i="7"/>
  <c r="N72" i="14" s="1"/>
  <c r="W255" i="7"/>
  <c r="O72" i="14" s="1"/>
  <c r="U255" i="7"/>
  <c r="H72" i="14"/>
  <c r="K284" i="17" s="1"/>
  <c r="C284" i="17" s="1"/>
  <c r="U207" i="7"/>
  <c r="W207" i="7"/>
  <c r="O120" i="14" s="1"/>
  <c r="V207" i="7"/>
  <c r="N120" i="14" s="1"/>
  <c r="H120" i="14"/>
  <c r="K254" i="17" s="1"/>
  <c r="W143" i="7"/>
  <c r="O184" i="14" s="1"/>
  <c r="V143" i="7"/>
  <c r="N184" i="14" s="1"/>
  <c r="U143" i="7"/>
  <c r="H184" i="14"/>
  <c r="K224" i="17" s="1"/>
  <c r="I184" i="14"/>
  <c r="U127" i="7"/>
  <c r="H200" i="14"/>
  <c r="K214" i="17" s="1"/>
  <c r="W127" i="7"/>
  <c r="O200" i="14" s="1"/>
  <c r="V127" i="7"/>
  <c r="N200" i="14" s="1"/>
  <c r="I200" i="14"/>
  <c r="H264" i="14"/>
  <c r="K176" i="17" s="1"/>
  <c r="W63" i="7"/>
  <c r="O264" i="14" s="1"/>
  <c r="V63" i="7"/>
  <c r="N264" i="14" s="1"/>
  <c r="U63" i="7"/>
  <c r="I264" i="14"/>
  <c r="V318" i="7"/>
  <c r="N9" i="14" s="1"/>
  <c r="U318" i="7"/>
  <c r="W318" i="7"/>
  <c r="O9" i="14" s="1"/>
  <c r="H9" i="14"/>
  <c r="K323" i="17" s="1"/>
  <c r="I9" i="14"/>
  <c r="V238" i="7"/>
  <c r="N89" i="14" s="1"/>
  <c r="U238" i="7"/>
  <c r="H89" i="14"/>
  <c r="K125" i="17" s="1"/>
  <c r="W238" i="7"/>
  <c r="O89" i="14" s="1"/>
  <c r="I89" i="14"/>
  <c r="V174" i="7"/>
  <c r="N153" i="14" s="1"/>
  <c r="H153" i="14"/>
  <c r="K38" i="17" s="1"/>
  <c r="W174" i="7"/>
  <c r="O153" i="14" s="1"/>
  <c r="U174" i="7"/>
  <c r="W126" i="7"/>
  <c r="O201" i="14" s="1"/>
  <c r="V126" i="7"/>
  <c r="N201" i="14" s="1"/>
  <c r="U126" i="7"/>
  <c r="H201" i="14"/>
  <c r="K213" i="17" s="1"/>
  <c r="C213" i="17" s="1"/>
  <c r="I201" i="14"/>
  <c r="U78" i="7"/>
  <c r="H249" i="14"/>
  <c r="K57" i="17" s="1"/>
  <c r="W78" i="7"/>
  <c r="O249" i="14" s="1"/>
  <c r="V78" i="7"/>
  <c r="N249" i="14" s="1"/>
  <c r="I249" i="14"/>
  <c r="W46" i="7"/>
  <c r="O281" i="14" s="1"/>
  <c r="V46" i="7"/>
  <c r="N281" i="14" s="1"/>
  <c r="U46" i="7"/>
  <c r="H281" i="14"/>
  <c r="K26" i="17" s="1"/>
  <c r="C26" i="17" s="1"/>
  <c r="I281" i="14"/>
  <c r="J24" i="13"/>
  <c r="N21" i="7"/>
  <c r="K24" i="13"/>
  <c r="J123" i="13"/>
  <c r="N121" i="7"/>
  <c r="R32" i="5" s="1"/>
  <c r="K123" i="13"/>
  <c r="J187" i="13"/>
  <c r="N185" i="7"/>
  <c r="K187" i="13"/>
  <c r="J283" i="13"/>
  <c r="N282" i="7"/>
  <c r="R38" i="5" s="1"/>
  <c r="K283" i="13"/>
  <c r="J166" i="13"/>
  <c r="N164" i="7"/>
  <c r="K166" i="13"/>
  <c r="J13" i="13"/>
  <c r="N10" i="7"/>
  <c r="K13" i="13"/>
  <c r="J155" i="13"/>
  <c r="N153" i="7"/>
  <c r="K155" i="13"/>
  <c r="J300" i="13"/>
  <c r="N299" i="7"/>
  <c r="J28" i="13"/>
  <c r="N25" i="7"/>
  <c r="K28" i="13"/>
  <c r="J52" i="13"/>
  <c r="N49" i="7"/>
  <c r="K52" i="13"/>
  <c r="J82" i="13"/>
  <c r="N79" i="7"/>
  <c r="J104" i="13"/>
  <c r="N102" i="7"/>
  <c r="K104" i="13"/>
  <c r="J124" i="13"/>
  <c r="N122" i="7"/>
  <c r="K124" i="13"/>
  <c r="J148" i="13"/>
  <c r="N146" i="7"/>
  <c r="K148" i="13"/>
  <c r="J183" i="13"/>
  <c r="N181" i="7"/>
  <c r="K183" i="13"/>
  <c r="J212" i="13"/>
  <c r="N210" i="7"/>
  <c r="J232" i="13"/>
  <c r="N231" i="7"/>
  <c r="J260" i="13"/>
  <c r="N259" i="7"/>
  <c r="J280" i="13"/>
  <c r="N279" i="7"/>
  <c r="K280" i="13"/>
  <c r="J311" i="13"/>
  <c r="N310" i="7"/>
  <c r="K311" i="13"/>
  <c r="J30" i="13"/>
  <c r="N27" i="7"/>
  <c r="R29" i="5" s="1"/>
  <c r="K30" i="13"/>
  <c r="J136" i="13"/>
  <c r="N134" i="7"/>
  <c r="K136" i="13"/>
  <c r="J195" i="13"/>
  <c r="N193" i="7"/>
  <c r="Q14" i="5" s="1"/>
  <c r="K195" i="13"/>
  <c r="J294" i="13"/>
  <c r="N293" i="7"/>
  <c r="K294" i="13"/>
  <c r="J175" i="13"/>
  <c r="N173" i="7"/>
  <c r="K175" i="13"/>
  <c r="J27" i="13"/>
  <c r="N24" i="7"/>
  <c r="J176" i="13"/>
  <c r="N174" i="7"/>
  <c r="J6" i="13"/>
  <c r="N3" i="7"/>
  <c r="K6" i="13"/>
  <c r="J29" i="13"/>
  <c r="N26" i="7"/>
  <c r="K29" i="13"/>
  <c r="J53" i="13"/>
  <c r="N50" i="7"/>
  <c r="K53" i="13"/>
  <c r="J83" i="13"/>
  <c r="N80" i="7"/>
  <c r="J105" i="13"/>
  <c r="N103" i="7"/>
  <c r="K105" i="13"/>
  <c r="J127" i="13"/>
  <c r="N125" i="7"/>
  <c r="K127" i="13"/>
  <c r="J149" i="13"/>
  <c r="N147" i="7"/>
  <c r="K149" i="13"/>
  <c r="J185" i="13"/>
  <c r="N183" i="7"/>
  <c r="K185" i="13"/>
  <c r="J213" i="13"/>
  <c r="N211" i="7"/>
  <c r="K213" i="13"/>
  <c r="J233" i="13"/>
  <c r="N232" i="7"/>
  <c r="K233" i="13"/>
  <c r="J261" i="13"/>
  <c r="N260" i="7"/>
  <c r="K261" i="13"/>
  <c r="J286" i="13"/>
  <c r="N285" i="7"/>
  <c r="K286" i="13"/>
  <c r="J313" i="13"/>
  <c r="N312" i="7"/>
  <c r="K313" i="13"/>
  <c r="J55" i="13"/>
  <c r="N52" i="7"/>
  <c r="K55" i="13"/>
  <c r="J157" i="13"/>
  <c r="N155" i="7"/>
  <c r="K157" i="13"/>
  <c r="J235" i="13"/>
  <c r="N234" i="7"/>
  <c r="K235" i="13"/>
  <c r="J62" i="13"/>
  <c r="N59" i="7"/>
  <c r="K62" i="13"/>
  <c r="J237" i="13"/>
  <c r="N236" i="7"/>
  <c r="K237" i="13"/>
  <c r="J67" i="13"/>
  <c r="N64" i="7"/>
  <c r="K67" i="13"/>
  <c r="J208" i="13"/>
  <c r="N206" i="7"/>
  <c r="J14" i="13"/>
  <c r="N11" i="7"/>
  <c r="K14" i="13"/>
  <c r="J37" i="13"/>
  <c r="N34" i="7"/>
  <c r="K37" i="13"/>
  <c r="J64" i="13"/>
  <c r="N61" i="7"/>
  <c r="K64" i="13"/>
  <c r="J92" i="13"/>
  <c r="N90" i="7"/>
  <c r="J110" i="13"/>
  <c r="N108" i="7"/>
  <c r="K110" i="13"/>
  <c r="J134" i="13"/>
  <c r="N132" i="7"/>
  <c r="K134" i="13"/>
  <c r="J162" i="13"/>
  <c r="N160" i="7"/>
  <c r="K162" i="13"/>
  <c r="J200" i="13"/>
  <c r="N198" i="7"/>
  <c r="K200" i="13"/>
  <c r="J221" i="13"/>
  <c r="N220" i="7"/>
  <c r="J247" i="13"/>
  <c r="N246" i="7"/>
  <c r="J267" i="13"/>
  <c r="N266" i="7"/>
  <c r="K267" i="13"/>
  <c r="J293" i="13"/>
  <c r="N292" i="7"/>
  <c r="K293" i="13"/>
  <c r="J321" i="13"/>
  <c r="N320" i="7"/>
  <c r="K321" i="13"/>
  <c r="J70" i="13"/>
  <c r="N67" i="7"/>
  <c r="Q8" i="5" s="1"/>
  <c r="J173" i="13"/>
  <c r="N171" i="7"/>
  <c r="K173" i="13"/>
  <c r="J254" i="13"/>
  <c r="N253" i="7"/>
  <c r="K254" i="13"/>
  <c r="J126" i="13"/>
  <c r="N124" i="7"/>
  <c r="K126" i="13"/>
  <c r="J290" i="13"/>
  <c r="N289" i="7"/>
  <c r="K290" i="13"/>
  <c r="J117" i="13"/>
  <c r="N115" i="7"/>
  <c r="J243" i="13"/>
  <c r="N242" i="7"/>
  <c r="K243" i="13"/>
  <c r="J20" i="13"/>
  <c r="N17" i="7"/>
  <c r="J45" i="13"/>
  <c r="N42" i="7"/>
  <c r="K45" i="13"/>
  <c r="J76" i="13"/>
  <c r="N73" i="7"/>
  <c r="K76" i="13"/>
  <c r="J99" i="13"/>
  <c r="N97" i="7"/>
  <c r="J116" i="13"/>
  <c r="N114" i="7"/>
  <c r="K116" i="13"/>
  <c r="J142" i="13"/>
  <c r="N140" i="7"/>
  <c r="J169" i="13"/>
  <c r="N167" i="7"/>
  <c r="K169" i="13"/>
  <c r="J205" i="13"/>
  <c r="N203" i="7"/>
  <c r="J227" i="13"/>
  <c r="N226" i="7"/>
  <c r="J253" i="13"/>
  <c r="N252" i="7"/>
  <c r="K253" i="13"/>
  <c r="J274" i="13"/>
  <c r="N273" i="7"/>
  <c r="K274" i="13"/>
  <c r="J304" i="13"/>
  <c r="N303" i="7"/>
  <c r="J310" i="13"/>
  <c r="N309" i="7"/>
  <c r="K310" i="13"/>
  <c r="V321" i="7"/>
  <c r="N6" i="14" s="1"/>
  <c r="U321" i="7"/>
  <c r="W321" i="7"/>
  <c r="O6" i="14" s="1"/>
  <c r="H6" i="14"/>
  <c r="K20" i="17" s="1"/>
  <c r="I6" i="14"/>
  <c r="H22" i="14"/>
  <c r="K314" i="17" s="1"/>
  <c r="W305" i="7"/>
  <c r="O22" i="14" s="1"/>
  <c r="V305" i="7"/>
  <c r="N22" i="14" s="1"/>
  <c r="U305" i="7"/>
  <c r="H38" i="14"/>
  <c r="K76" i="17" s="1"/>
  <c r="U289" i="7"/>
  <c r="W289" i="7"/>
  <c r="O38" i="14" s="1"/>
  <c r="V289" i="7"/>
  <c r="N38" i="14" s="1"/>
  <c r="I38" i="14"/>
  <c r="V273" i="7"/>
  <c r="N54" i="14" s="1"/>
  <c r="W273" i="7"/>
  <c r="O54" i="14" s="1"/>
  <c r="U273" i="7"/>
  <c r="H54" i="14"/>
  <c r="K298" i="17" s="1"/>
  <c r="L298" i="17" s="1"/>
  <c r="I54" i="14"/>
  <c r="H70" i="14"/>
  <c r="K49" i="17" s="1"/>
  <c r="V257" i="7"/>
  <c r="N70" i="14" s="1"/>
  <c r="W257" i="7"/>
  <c r="O70" i="14" s="1"/>
  <c r="U257" i="7"/>
  <c r="I70" i="14"/>
  <c r="V241" i="7"/>
  <c r="N86" i="14" s="1"/>
  <c r="U241" i="7"/>
  <c r="H86" i="14"/>
  <c r="K275" i="17" s="1"/>
  <c r="W241" i="7"/>
  <c r="O86" i="14" s="1"/>
  <c r="V225" i="7"/>
  <c r="N102" i="14" s="1"/>
  <c r="U225" i="7"/>
  <c r="W225" i="7"/>
  <c r="O102" i="14" s="1"/>
  <c r="H102" i="14"/>
  <c r="K266" i="17" s="1"/>
  <c r="C266" i="17" s="1"/>
  <c r="W209" i="7"/>
  <c r="O118" i="14" s="1"/>
  <c r="V209" i="7"/>
  <c r="N118" i="14" s="1"/>
  <c r="U209" i="7"/>
  <c r="H118" i="14"/>
  <c r="K44" i="17" s="1"/>
  <c r="L44" i="17" s="1"/>
  <c r="V193" i="7"/>
  <c r="N134" i="14" s="1"/>
  <c r="W193" i="7"/>
  <c r="O134" i="14" s="1"/>
  <c r="U193" i="7"/>
  <c r="H134" i="14"/>
  <c r="K118" i="17" s="1"/>
  <c r="C118" i="17" s="1"/>
  <c r="I134" i="14"/>
  <c r="U177" i="7"/>
  <c r="V177" i="7"/>
  <c r="N150" i="14" s="1"/>
  <c r="W177" i="7"/>
  <c r="O150" i="14" s="1"/>
  <c r="H150" i="14"/>
  <c r="K114" i="17" s="1"/>
  <c r="C114" i="17" s="1"/>
  <c r="I150" i="14"/>
  <c r="U161" i="7"/>
  <c r="V161" i="7"/>
  <c r="N166" i="14" s="1"/>
  <c r="W161" i="7"/>
  <c r="O166" i="14" s="1"/>
  <c r="H166" i="14"/>
  <c r="K232" i="17" s="1"/>
  <c r="C232" i="17" s="1"/>
  <c r="I166" i="14"/>
  <c r="W145" i="7"/>
  <c r="O182" i="14" s="1"/>
  <c r="U145" i="7"/>
  <c r="H182" i="14"/>
  <c r="K225" i="17" s="1"/>
  <c r="C225" i="17" s="1"/>
  <c r="V145" i="7"/>
  <c r="N182" i="14" s="1"/>
  <c r="W129" i="7"/>
  <c r="O198" i="14" s="1"/>
  <c r="U129" i="7"/>
  <c r="V129" i="7"/>
  <c r="N198" i="14" s="1"/>
  <c r="H198" i="14"/>
  <c r="K216" i="17" s="1"/>
  <c r="C216" i="17" s="1"/>
  <c r="I198" i="14"/>
  <c r="U113" i="7"/>
  <c r="V113" i="7"/>
  <c r="N214" i="14" s="1"/>
  <c r="W113" i="7"/>
  <c r="O214" i="14" s="1"/>
  <c r="H214" i="14"/>
  <c r="K10" i="17" s="1"/>
  <c r="C10" i="17" s="1"/>
  <c r="I214" i="14"/>
  <c r="W97" i="7"/>
  <c r="O230" i="14" s="1"/>
  <c r="U97" i="7"/>
  <c r="V97" i="7"/>
  <c r="N230" i="14" s="1"/>
  <c r="H230" i="14"/>
  <c r="K192" i="17" s="1"/>
  <c r="W81" i="7"/>
  <c r="O246" i="14" s="1"/>
  <c r="U81" i="7"/>
  <c r="V81" i="7"/>
  <c r="N246" i="14" s="1"/>
  <c r="H246" i="14"/>
  <c r="K28" i="17" s="1"/>
  <c r="L28" i="17" s="1"/>
  <c r="I246" i="14"/>
  <c r="U65" i="7"/>
  <c r="V65" i="7"/>
  <c r="N262" i="14" s="1"/>
  <c r="W65" i="7"/>
  <c r="O262" i="14" s="1"/>
  <c r="H262" i="14"/>
  <c r="K94" i="17" s="1"/>
  <c r="U49" i="7"/>
  <c r="V49" i="7"/>
  <c r="N278" i="14" s="1"/>
  <c r="W49" i="7"/>
  <c r="O278" i="14" s="1"/>
  <c r="H278" i="14"/>
  <c r="K168" i="17" s="1"/>
  <c r="C168" i="17" s="1"/>
  <c r="I278" i="14"/>
  <c r="V32" i="7"/>
  <c r="N295" i="14" s="1"/>
  <c r="W32" i="7"/>
  <c r="O295" i="14" s="1"/>
  <c r="U32" i="7"/>
  <c r="H295" i="14"/>
  <c r="K156" i="17" s="1"/>
  <c r="I295" i="14"/>
  <c r="W16" i="7"/>
  <c r="O311" i="14" s="1"/>
  <c r="V16" i="7"/>
  <c r="N311" i="14" s="1"/>
  <c r="U16" i="7"/>
  <c r="H311" i="14"/>
  <c r="K147" i="17" s="1"/>
  <c r="W320" i="7"/>
  <c r="O7" i="14" s="1"/>
  <c r="V320" i="7"/>
  <c r="N7" i="14" s="1"/>
  <c r="U320" i="7"/>
  <c r="H7" i="14"/>
  <c r="K19" i="17" s="1"/>
  <c r="I7" i="14"/>
  <c r="V304" i="7"/>
  <c r="N23" i="14" s="1"/>
  <c r="U304" i="7"/>
  <c r="W304" i="7"/>
  <c r="O23" i="14" s="1"/>
  <c r="H23" i="14"/>
  <c r="K137" i="17" s="1"/>
  <c r="C137" i="17" s="1"/>
  <c r="I23" i="14"/>
  <c r="W288" i="7"/>
  <c r="O39" i="14" s="1"/>
  <c r="U288" i="7"/>
  <c r="V288" i="7"/>
  <c r="N39" i="14" s="1"/>
  <c r="H39" i="14"/>
  <c r="K75" i="17" s="1"/>
  <c r="L75" i="17" s="1"/>
  <c r="I39" i="14"/>
  <c r="U272" i="7"/>
  <c r="H55" i="14"/>
  <c r="K297" i="17" s="1"/>
  <c r="W272" i="7"/>
  <c r="O55" i="14" s="1"/>
  <c r="V272" i="7"/>
  <c r="N55" i="14" s="1"/>
  <c r="V256" i="7"/>
  <c r="N71" i="14" s="1"/>
  <c r="U256" i="7"/>
  <c r="W256" i="7"/>
  <c r="O71" i="14" s="1"/>
  <c r="H71" i="14"/>
  <c r="K285" i="17" s="1"/>
  <c r="C285" i="17" s="1"/>
  <c r="I71" i="14"/>
  <c r="W240" i="7"/>
  <c r="O87" i="14" s="1"/>
  <c r="U240" i="7"/>
  <c r="H87" i="14"/>
  <c r="K274" i="17" s="1"/>
  <c r="V240" i="7"/>
  <c r="N87" i="14" s="1"/>
  <c r="W224" i="7"/>
  <c r="O103" i="14" s="1"/>
  <c r="U224" i="7"/>
  <c r="V224" i="7"/>
  <c r="N103" i="14" s="1"/>
  <c r="H103" i="14"/>
  <c r="K265" i="17" s="1"/>
  <c r="V208" i="7"/>
  <c r="N119" i="14" s="1"/>
  <c r="W208" i="7"/>
  <c r="O119" i="14" s="1"/>
  <c r="U208" i="7"/>
  <c r="H119" i="14"/>
  <c r="K255" i="17" s="1"/>
  <c r="C255" i="17" s="1"/>
  <c r="I119" i="14"/>
  <c r="W192" i="7"/>
  <c r="O135" i="14" s="1"/>
  <c r="V192" i="7"/>
  <c r="N135" i="14" s="1"/>
  <c r="U192" i="7"/>
  <c r="H135" i="14"/>
  <c r="K42" i="17" s="1"/>
  <c r="C42" i="17" s="1"/>
  <c r="I135" i="14"/>
  <c r="W176" i="7"/>
  <c r="O151" i="14" s="1"/>
  <c r="V176" i="7"/>
  <c r="N151" i="14" s="1"/>
  <c r="U176" i="7"/>
  <c r="H151" i="14"/>
  <c r="K238" i="17" s="1"/>
  <c r="C238" i="17" s="1"/>
  <c r="I151" i="14"/>
  <c r="W160" i="7"/>
  <c r="O167" i="14" s="1"/>
  <c r="V160" i="7"/>
  <c r="N167" i="14" s="1"/>
  <c r="U160" i="7"/>
  <c r="H167" i="14"/>
  <c r="K231" i="17" s="1"/>
  <c r="I167" i="14"/>
  <c r="W144" i="7"/>
  <c r="O183" i="14" s="1"/>
  <c r="V144" i="7"/>
  <c r="N183" i="14" s="1"/>
  <c r="U144" i="7"/>
  <c r="H183" i="14"/>
  <c r="K105" i="17" s="1"/>
  <c r="I183" i="14"/>
  <c r="U128" i="7"/>
  <c r="W128" i="7"/>
  <c r="O199" i="14" s="1"/>
  <c r="V128" i="7"/>
  <c r="N199" i="14" s="1"/>
  <c r="H199" i="14"/>
  <c r="K215" i="17" s="1"/>
  <c r="C215" i="17" s="1"/>
  <c r="I199" i="14"/>
  <c r="U112" i="7"/>
  <c r="W112" i="7"/>
  <c r="O215" i="14" s="1"/>
  <c r="V112" i="7"/>
  <c r="N215" i="14" s="1"/>
  <c r="H215" i="14"/>
  <c r="K100" i="17" s="1"/>
  <c r="I215" i="14"/>
  <c r="W96" i="7"/>
  <c r="O231" i="14" s="1"/>
  <c r="V96" i="7"/>
  <c r="N231" i="14" s="1"/>
  <c r="U96" i="7"/>
  <c r="H231" i="14"/>
  <c r="K191" i="17" s="1"/>
  <c r="C191" i="17" s="1"/>
  <c r="I231" i="14"/>
  <c r="U80" i="7"/>
  <c r="W80" i="7"/>
  <c r="O247" i="14" s="1"/>
  <c r="V80" i="7"/>
  <c r="N247" i="14" s="1"/>
  <c r="H247" i="14"/>
  <c r="K184" i="17" s="1"/>
  <c r="U64" i="7"/>
  <c r="W64" i="7"/>
  <c r="O263" i="14" s="1"/>
  <c r="V64" i="7"/>
  <c r="N263" i="14" s="1"/>
  <c r="H263" i="14"/>
  <c r="K27" i="17" s="1"/>
  <c r="C27" i="17" s="1"/>
  <c r="I263" i="14"/>
  <c r="V48" i="7"/>
  <c r="N279" i="14" s="1"/>
  <c r="U48" i="7"/>
  <c r="H279" i="14"/>
  <c r="K167" i="17" s="1"/>
  <c r="W48" i="7"/>
  <c r="O279" i="14" s="1"/>
  <c r="I279" i="14"/>
  <c r="V31" i="7"/>
  <c r="N296" i="14" s="1"/>
  <c r="U31" i="7"/>
  <c r="W31" i="7"/>
  <c r="O296" i="14" s="1"/>
  <c r="H296" i="14"/>
  <c r="K87" i="17" s="1"/>
  <c r="I296" i="14"/>
  <c r="V15" i="7"/>
  <c r="N312" i="14" s="1"/>
  <c r="U15" i="7"/>
  <c r="W15" i="7"/>
  <c r="O312" i="14" s="1"/>
  <c r="H312" i="14"/>
  <c r="K146" i="17" s="1"/>
  <c r="C146" i="17" s="1"/>
  <c r="I312" i="14"/>
  <c r="W323" i="7"/>
  <c r="O4" i="14" s="1"/>
  <c r="U323" i="7"/>
  <c r="V323" i="7"/>
  <c r="N4" i="14" s="1"/>
  <c r="H4" i="14"/>
  <c r="K325" i="17" s="1"/>
  <c r="L325" i="17" s="1"/>
  <c r="I4" i="14"/>
  <c r="W307" i="7"/>
  <c r="O20" i="14" s="1"/>
  <c r="V307" i="7"/>
  <c r="N20" i="14" s="1"/>
  <c r="U307" i="7"/>
  <c r="H20" i="14"/>
  <c r="K316" i="17" s="1"/>
  <c r="I20" i="14"/>
  <c r="V291" i="7"/>
  <c r="N36" i="14" s="1"/>
  <c r="U291" i="7"/>
  <c r="W291" i="7"/>
  <c r="O36" i="14" s="1"/>
  <c r="H36" i="14"/>
  <c r="K307" i="17" s="1"/>
  <c r="I36" i="14"/>
  <c r="W275" i="7"/>
  <c r="O52" i="14" s="1"/>
  <c r="U275" i="7"/>
  <c r="V275" i="7"/>
  <c r="N52" i="14" s="1"/>
  <c r="H52" i="14"/>
  <c r="K15" i="17" s="1"/>
  <c r="I52" i="14"/>
  <c r="H68" i="14"/>
  <c r="K287" i="17" s="1"/>
  <c r="C287" i="17" s="1"/>
  <c r="W259" i="7"/>
  <c r="O68" i="14" s="1"/>
  <c r="V259" i="7"/>
  <c r="N68" i="14" s="1"/>
  <c r="U259" i="7"/>
  <c r="U243" i="7"/>
  <c r="V243" i="7"/>
  <c r="N84" i="14" s="1"/>
  <c r="W243" i="7"/>
  <c r="O84" i="14" s="1"/>
  <c r="H84" i="14"/>
  <c r="K72" i="17" s="1"/>
  <c r="C72" i="17" s="1"/>
  <c r="I84" i="14"/>
  <c r="W227" i="7"/>
  <c r="O100" i="14" s="1"/>
  <c r="V227" i="7"/>
  <c r="N100" i="14" s="1"/>
  <c r="U227" i="7"/>
  <c r="H100" i="14"/>
  <c r="K268" i="17" s="1"/>
  <c r="I100" i="14"/>
  <c r="V211" i="7"/>
  <c r="N116" i="14" s="1"/>
  <c r="U211" i="7"/>
  <c r="W211" i="7"/>
  <c r="O116" i="14" s="1"/>
  <c r="H116" i="14"/>
  <c r="K257" i="17" s="1"/>
  <c r="I116" i="14"/>
  <c r="W195" i="7"/>
  <c r="O132" i="14" s="1"/>
  <c r="V195" i="7"/>
  <c r="N132" i="14" s="1"/>
  <c r="U195" i="7"/>
  <c r="H132" i="14"/>
  <c r="K68" i="17" s="1"/>
  <c r="I132" i="14"/>
  <c r="H148" i="14"/>
  <c r="K239" i="17" s="1"/>
  <c r="W179" i="7"/>
  <c r="O148" i="14" s="1"/>
  <c r="V179" i="7"/>
  <c r="N148" i="14" s="1"/>
  <c r="U179" i="7"/>
  <c r="U163" i="7"/>
  <c r="W163" i="7"/>
  <c r="O164" i="14" s="1"/>
  <c r="V163" i="7"/>
  <c r="N164" i="14" s="1"/>
  <c r="H164" i="14"/>
  <c r="K64" i="17" s="1"/>
  <c r="C64" i="17" s="1"/>
  <c r="U147" i="7"/>
  <c r="W147" i="7"/>
  <c r="O180" i="14" s="1"/>
  <c r="V147" i="7"/>
  <c r="N180" i="14" s="1"/>
  <c r="H180" i="14"/>
  <c r="K227" i="17" s="1"/>
  <c r="I180" i="14"/>
  <c r="H196" i="14"/>
  <c r="K36" i="17" s="1"/>
  <c r="U131" i="7"/>
  <c r="V131" i="7"/>
  <c r="N196" i="14" s="1"/>
  <c r="W131" i="7"/>
  <c r="O196" i="14" s="1"/>
  <c r="H212" i="14"/>
  <c r="K32" i="17" s="1"/>
  <c r="V115" i="7"/>
  <c r="N212" i="14" s="1"/>
  <c r="W115" i="7"/>
  <c r="O212" i="14" s="1"/>
  <c r="U115" i="7"/>
  <c r="V99" i="7"/>
  <c r="N228" i="14" s="1"/>
  <c r="W99" i="7"/>
  <c r="O228" i="14" s="1"/>
  <c r="U99" i="7"/>
  <c r="H228" i="14"/>
  <c r="K194" i="17" s="1"/>
  <c r="C194" i="17" s="1"/>
  <c r="I228" i="14"/>
  <c r="U83" i="7"/>
  <c r="H244" i="14"/>
  <c r="K186" i="17" s="1"/>
  <c r="W83" i="7"/>
  <c r="O244" i="14" s="1"/>
  <c r="V83" i="7"/>
  <c r="N244" i="14" s="1"/>
  <c r="I244" i="14"/>
  <c r="H260" i="14"/>
  <c r="K96" i="17" s="1"/>
  <c r="W67" i="7"/>
  <c r="O260" i="14" s="1"/>
  <c r="V67" i="7"/>
  <c r="N260" i="14" s="1"/>
  <c r="U67" i="7"/>
  <c r="U51" i="7"/>
  <c r="W51" i="7"/>
  <c r="O276" i="14" s="1"/>
  <c r="V51" i="7"/>
  <c r="N276" i="14" s="1"/>
  <c r="H276" i="14"/>
  <c r="K89" i="17" s="1"/>
  <c r="C89" i="17" s="1"/>
  <c r="I276" i="14"/>
  <c r="V34" i="7"/>
  <c r="N293" i="14" s="1"/>
  <c r="W34" i="7"/>
  <c r="O293" i="14" s="1"/>
  <c r="U34" i="7"/>
  <c r="H293" i="14"/>
  <c r="K158" i="17" s="1"/>
  <c r="C158" i="17" s="1"/>
  <c r="I293" i="14"/>
  <c r="V18" i="7"/>
  <c r="N309" i="14" s="1"/>
  <c r="W18" i="7"/>
  <c r="O309" i="14" s="1"/>
  <c r="U18" i="7"/>
  <c r="H309" i="14"/>
  <c r="K5" i="17" s="1"/>
  <c r="C5" i="17" s="1"/>
  <c r="I309" i="14"/>
  <c r="W322" i="7"/>
  <c r="O5" i="14" s="1"/>
  <c r="V322" i="7"/>
  <c r="N5" i="14" s="1"/>
  <c r="U322" i="7"/>
  <c r="H5" i="14"/>
  <c r="K324" i="17" s="1"/>
  <c r="I5" i="14"/>
  <c r="W306" i="7"/>
  <c r="O21" i="14" s="1"/>
  <c r="V306" i="7"/>
  <c r="N21" i="14" s="1"/>
  <c r="U306" i="7"/>
  <c r="H21" i="14"/>
  <c r="K315" i="17" s="1"/>
  <c r="C315" i="17" s="1"/>
  <c r="I21" i="14"/>
  <c r="W290" i="7"/>
  <c r="O37" i="14" s="1"/>
  <c r="V290" i="7"/>
  <c r="N37" i="14" s="1"/>
  <c r="U290" i="7"/>
  <c r="H37" i="14"/>
  <c r="K306" i="17" s="1"/>
  <c r="U274" i="7"/>
  <c r="H53" i="14"/>
  <c r="K130" i="17" s="1"/>
  <c r="W274" i="7"/>
  <c r="O53" i="14" s="1"/>
  <c r="V274" i="7"/>
  <c r="N53" i="14" s="1"/>
  <c r="V258" i="7"/>
  <c r="N69" i="14" s="1"/>
  <c r="U258" i="7"/>
  <c r="W258" i="7"/>
  <c r="O69" i="14" s="1"/>
  <c r="H69" i="14"/>
  <c r="K286" i="17" s="1"/>
  <c r="U242" i="7"/>
  <c r="V242" i="7"/>
  <c r="N85" i="14" s="1"/>
  <c r="W242" i="7"/>
  <c r="O85" i="14" s="1"/>
  <c r="H85" i="14"/>
  <c r="K48" i="17" s="1"/>
  <c r="C48" i="17" s="1"/>
  <c r="I85" i="14"/>
  <c r="V226" i="7"/>
  <c r="N101" i="14" s="1"/>
  <c r="W226" i="7"/>
  <c r="O101" i="14" s="1"/>
  <c r="U226" i="7"/>
  <c r="H101" i="14"/>
  <c r="K267" i="17" s="1"/>
  <c r="V210" i="7"/>
  <c r="N117" i="14" s="1"/>
  <c r="W210" i="7"/>
  <c r="O117" i="14" s="1"/>
  <c r="U210" i="7"/>
  <c r="H117" i="14"/>
  <c r="K256" i="17" s="1"/>
  <c r="C256" i="17" s="1"/>
  <c r="W194" i="7"/>
  <c r="O133" i="14" s="1"/>
  <c r="U194" i="7"/>
  <c r="H133" i="14"/>
  <c r="K119" i="17" s="1"/>
  <c r="C119" i="17" s="1"/>
  <c r="V194" i="7"/>
  <c r="N133" i="14" s="1"/>
  <c r="I133" i="14"/>
  <c r="V178" i="7"/>
  <c r="N149" i="14" s="1"/>
  <c r="H149" i="14"/>
  <c r="K115" i="17" s="1"/>
  <c r="W178" i="7"/>
  <c r="O149" i="14" s="1"/>
  <c r="U178" i="7"/>
  <c r="U162" i="7"/>
  <c r="H165" i="14"/>
  <c r="K233" i="17" s="1"/>
  <c r="W162" i="7"/>
  <c r="O165" i="14" s="1"/>
  <c r="V162" i="7"/>
  <c r="N165" i="14" s="1"/>
  <c r="W146" i="7"/>
  <c r="O181" i="14" s="1"/>
  <c r="V146" i="7"/>
  <c r="N181" i="14" s="1"/>
  <c r="U146" i="7"/>
  <c r="H181" i="14"/>
  <c r="K226" i="17" s="1"/>
  <c r="C226" i="17" s="1"/>
  <c r="I181" i="14"/>
  <c r="W130" i="7"/>
  <c r="O197" i="14" s="1"/>
  <c r="V130" i="7"/>
  <c r="N197" i="14" s="1"/>
  <c r="U130" i="7"/>
  <c r="H197" i="14"/>
  <c r="K35" i="17" s="1"/>
  <c r="U114" i="7"/>
  <c r="W114" i="7"/>
  <c r="O213" i="14" s="1"/>
  <c r="V114" i="7"/>
  <c r="N213" i="14" s="1"/>
  <c r="H213" i="14"/>
  <c r="K206" i="17" s="1"/>
  <c r="C206" i="17" s="1"/>
  <c r="I213" i="14"/>
  <c r="W98" i="7"/>
  <c r="O229" i="14" s="1"/>
  <c r="V98" i="7"/>
  <c r="N229" i="14" s="1"/>
  <c r="U98" i="7"/>
  <c r="H229" i="14"/>
  <c r="K193" i="17" s="1"/>
  <c r="I229" i="14"/>
  <c r="U82" i="7"/>
  <c r="V82" i="7"/>
  <c r="N245" i="14" s="1"/>
  <c r="H245" i="14"/>
  <c r="K185" i="17" s="1"/>
  <c r="W82" i="7"/>
  <c r="O245" i="14" s="1"/>
  <c r="I245" i="14"/>
  <c r="H261" i="14"/>
  <c r="K95" i="17" s="1"/>
  <c r="V66" i="7"/>
  <c r="N261" i="14" s="1"/>
  <c r="W66" i="7"/>
  <c r="O261" i="14" s="1"/>
  <c r="U66" i="7"/>
  <c r="U50" i="7"/>
  <c r="V50" i="7"/>
  <c r="N277" i="14" s="1"/>
  <c r="W50" i="7"/>
  <c r="O277" i="14" s="1"/>
  <c r="H277" i="14"/>
  <c r="K169" i="17" s="1"/>
  <c r="I277" i="14"/>
  <c r="V33" i="7"/>
  <c r="N294" i="14" s="1"/>
  <c r="U33" i="7"/>
  <c r="W33" i="7"/>
  <c r="O294" i="14" s="1"/>
  <c r="H294" i="14"/>
  <c r="K157" i="17" s="1"/>
  <c r="C157" i="17" s="1"/>
  <c r="I294" i="14"/>
  <c r="V17" i="7"/>
  <c r="N310" i="14" s="1"/>
  <c r="U17" i="7"/>
  <c r="H310" i="14"/>
  <c r="K148" i="17" s="1"/>
  <c r="C148" i="17" s="1"/>
  <c r="W17" i="7"/>
  <c r="O310" i="14" s="1"/>
  <c r="W36" i="7"/>
  <c r="O291" i="14" s="1"/>
  <c r="U36" i="7"/>
  <c r="V36" i="7"/>
  <c r="N291" i="14" s="1"/>
  <c r="H291" i="14"/>
  <c r="K159" i="17" s="1"/>
  <c r="I291" i="14"/>
  <c r="U280" i="21" l="1"/>
  <c r="U265" i="21"/>
  <c r="U82" i="21"/>
  <c r="U28" i="21"/>
  <c r="U229" i="21"/>
  <c r="U117" i="21"/>
  <c r="U257" i="21"/>
  <c r="U228" i="21"/>
  <c r="U272" i="21"/>
  <c r="U79" i="21"/>
  <c r="U147" i="21"/>
  <c r="U175" i="21"/>
  <c r="U210" i="21"/>
  <c r="U60" i="21"/>
  <c r="U314" i="21"/>
  <c r="U203" i="21"/>
  <c r="V203" i="21" s="1"/>
  <c r="U192" i="21"/>
  <c r="U10" i="21"/>
  <c r="U148" i="21"/>
  <c r="R115" i="5"/>
  <c r="R126" i="5"/>
  <c r="R112" i="5"/>
  <c r="R173" i="5"/>
  <c r="R148" i="5"/>
  <c r="R124" i="5"/>
  <c r="R146" i="5"/>
  <c r="R85" i="5"/>
  <c r="R141" i="5"/>
  <c r="R167" i="5"/>
  <c r="R99" i="5"/>
  <c r="R87" i="5"/>
  <c r="R142" i="5"/>
  <c r="R166" i="5"/>
  <c r="R137" i="5"/>
  <c r="R177" i="5"/>
  <c r="R83" i="5"/>
  <c r="R88" i="5"/>
  <c r="R140" i="5"/>
  <c r="R158" i="5"/>
  <c r="R100" i="5"/>
  <c r="R145" i="5"/>
  <c r="R164" i="5"/>
  <c r="R170" i="5"/>
  <c r="R154" i="5"/>
  <c r="R139" i="5"/>
  <c r="R89" i="5"/>
  <c r="R86" i="5"/>
  <c r="R155" i="5"/>
  <c r="R147" i="5"/>
  <c r="R114" i="5"/>
  <c r="R84" i="5"/>
  <c r="R111" i="5"/>
  <c r="R165" i="5"/>
  <c r="R79" i="5"/>
  <c r="R143" i="5"/>
  <c r="R156" i="5"/>
  <c r="R169" i="5"/>
  <c r="R157" i="5"/>
  <c r="R144" i="5"/>
  <c r="R113" i="5"/>
  <c r="R149" i="5"/>
  <c r="R80" i="5"/>
  <c r="R153" i="5"/>
  <c r="R179" i="5"/>
  <c r="R152" i="5"/>
  <c r="R150" i="5"/>
  <c r="R159" i="5"/>
  <c r="R125" i="5"/>
  <c r="R138" i="5"/>
  <c r="R116" i="5"/>
  <c r="R160" i="5"/>
  <c r="R163" i="5"/>
  <c r="L206" i="17"/>
  <c r="L89" i="17"/>
  <c r="L146" i="17"/>
  <c r="L216" i="17"/>
  <c r="L26" i="17"/>
  <c r="L13" i="17"/>
  <c r="L74" i="17"/>
  <c r="L245" i="17"/>
  <c r="L183" i="17"/>
  <c r="L295" i="17"/>
  <c r="L191" i="17"/>
  <c r="L66" i="17"/>
  <c r="L152" i="17"/>
  <c r="L161" i="17"/>
  <c r="L171" i="17"/>
  <c r="L238" i="17"/>
  <c r="L232" i="17"/>
  <c r="L301" i="17"/>
  <c r="L129" i="17"/>
  <c r="L70" i="17"/>
  <c r="L41" i="17"/>
  <c r="L322" i="17"/>
  <c r="L157" i="17"/>
  <c r="L69" i="17"/>
  <c r="L123" i="17"/>
  <c r="L101" i="17"/>
  <c r="L280" i="17"/>
  <c r="L226" i="17"/>
  <c r="L128" i="17"/>
  <c r="L246" i="17"/>
  <c r="L92" i="17"/>
  <c r="L65" i="17"/>
  <c r="L211" i="17"/>
  <c r="L173" i="17"/>
  <c r="L5" i="17"/>
  <c r="L194" i="17"/>
  <c r="L215" i="17"/>
  <c r="L42" i="17"/>
  <c r="L137" i="17"/>
  <c r="L114" i="17"/>
  <c r="L213" i="17"/>
  <c r="L243" i="17"/>
  <c r="L52" i="17"/>
  <c r="L174" i="17"/>
  <c r="L259" i="17"/>
  <c r="L58" i="17"/>
  <c r="L33" i="17"/>
  <c r="L289" i="17"/>
  <c r="L229" i="17"/>
  <c r="L182" i="17"/>
  <c r="L165" i="17"/>
  <c r="L47" i="17"/>
  <c r="L55" i="17"/>
  <c r="L80" i="17"/>
  <c r="L319" i="17"/>
  <c r="L155" i="17"/>
  <c r="L126" i="17"/>
  <c r="L109" i="17"/>
  <c r="L315" i="17"/>
  <c r="L285" i="17"/>
  <c r="L77" i="17"/>
  <c r="L154" i="17"/>
  <c r="L168" i="17"/>
  <c r="L103" i="17"/>
  <c r="L106" i="17"/>
  <c r="L136" i="17"/>
  <c r="L119" i="17"/>
  <c r="L48" i="17"/>
  <c r="L158" i="17"/>
  <c r="L72" i="17"/>
  <c r="L27" i="17"/>
  <c r="L255" i="17"/>
  <c r="L10" i="17"/>
  <c r="L118" i="17"/>
  <c r="L56" i="17"/>
  <c r="L61" i="17"/>
  <c r="L24" i="17"/>
  <c r="L283" i="17"/>
  <c r="L60" i="17"/>
  <c r="L99" i="17"/>
  <c r="L181" i="17"/>
  <c r="L107" i="17"/>
  <c r="L281" i="17"/>
  <c r="L151" i="17"/>
  <c r="L122" i="17"/>
  <c r="L223" i="17"/>
  <c r="J47" i="6"/>
  <c r="R256" i="5"/>
  <c r="M262" i="13"/>
  <c r="N262" i="13" s="1"/>
  <c r="M240" i="13"/>
  <c r="N240" i="13" s="1"/>
  <c r="M110" i="13"/>
  <c r="N110" i="13" s="1"/>
  <c r="M244" i="13"/>
  <c r="M44" i="13"/>
  <c r="N44" i="13" s="1"/>
  <c r="M180" i="13"/>
  <c r="N180" i="13" s="1"/>
  <c r="M198" i="13"/>
  <c r="N198" i="13" s="1"/>
  <c r="M108" i="13"/>
  <c r="N108" i="13" s="1"/>
  <c r="M68" i="13"/>
  <c r="N68" i="13" s="1"/>
  <c r="M12" i="13"/>
  <c r="N12" i="13" s="1"/>
  <c r="M76" i="13"/>
  <c r="N76" i="13" s="1"/>
  <c r="M251" i="13"/>
  <c r="N251" i="13" s="1"/>
  <c r="M223" i="13"/>
  <c r="M193" i="13"/>
  <c r="M242" i="13"/>
  <c r="N242" i="13" s="1"/>
  <c r="M41" i="13"/>
  <c r="M274" i="13"/>
  <c r="N274" i="13" s="1"/>
  <c r="M306" i="13"/>
  <c r="N306" i="13" s="1"/>
  <c r="M91" i="13"/>
  <c r="N91" i="13" s="1"/>
  <c r="M45" i="13"/>
  <c r="N45" i="13" s="1"/>
  <c r="M324" i="13"/>
  <c r="N324" i="13" s="1"/>
  <c r="M233" i="13"/>
  <c r="N233" i="13" s="1"/>
  <c r="M92" i="13"/>
  <c r="N92" i="13" s="1"/>
  <c r="M147" i="13"/>
  <c r="N147" i="13" s="1"/>
  <c r="M216" i="13"/>
  <c r="N216" i="13" s="1"/>
  <c r="M231" i="13"/>
  <c r="N231" i="13" s="1"/>
  <c r="M317" i="13"/>
  <c r="N317" i="13" s="1"/>
  <c r="M113" i="13"/>
  <c r="N113" i="13" s="1"/>
  <c r="M291" i="13"/>
  <c r="N291" i="13" s="1"/>
  <c r="M55" i="13"/>
  <c r="N55" i="13" s="1"/>
  <c r="M239" i="13"/>
  <c r="N239" i="13" s="1"/>
  <c r="M40" i="13"/>
  <c r="M308" i="13"/>
  <c r="N308" i="13" s="1"/>
  <c r="M321" i="13"/>
  <c r="N321" i="13" s="1"/>
  <c r="M303" i="13"/>
  <c r="N303" i="13" s="1"/>
  <c r="M21" i="13"/>
  <c r="N21" i="13" s="1"/>
  <c r="M109" i="13"/>
  <c r="N109" i="13" s="1"/>
  <c r="M106" i="13"/>
  <c r="N106" i="13" s="1"/>
  <c r="M43" i="13"/>
  <c r="N43" i="13" s="1"/>
  <c r="M250" i="13"/>
  <c r="N250" i="13" s="1"/>
  <c r="M261" i="13"/>
  <c r="N261" i="13" s="1"/>
  <c r="M104" i="13"/>
  <c r="N104" i="13" s="1"/>
  <c r="M64" i="13"/>
  <c r="N64" i="13" s="1"/>
  <c r="M225" i="13"/>
  <c r="N225" i="13" s="1"/>
  <c r="M148" i="13"/>
  <c r="N148" i="13" s="1"/>
  <c r="M173" i="13"/>
  <c r="N173" i="13" s="1"/>
  <c r="M243" i="13"/>
  <c r="M179" i="13"/>
  <c r="N179" i="13" s="1"/>
  <c r="M47" i="13"/>
  <c r="N47" i="13" s="1"/>
  <c r="M65" i="13"/>
  <c r="N65" i="13" s="1"/>
  <c r="M301" i="13"/>
  <c r="N301" i="13" s="1"/>
  <c r="M139" i="13"/>
  <c r="N139" i="13" s="1"/>
  <c r="M265" i="13"/>
  <c r="N265" i="13" s="1"/>
  <c r="M124" i="13"/>
  <c r="N124" i="13" s="1"/>
  <c r="M72" i="13"/>
  <c r="N72" i="13" s="1"/>
  <c r="M280" i="13"/>
  <c r="N280" i="13" s="1"/>
  <c r="M279" i="13"/>
  <c r="N279" i="13" s="1"/>
  <c r="M183" i="13"/>
  <c r="N183" i="13" s="1"/>
  <c r="M209" i="13"/>
  <c r="N209" i="13" s="1"/>
  <c r="M323" i="13"/>
  <c r="N323" i="13" s="1"/>
  <c r="M25" i="13"/>
  <c r="N25" i="13" s="1"/>
  <c r="M123" i="13"/>
  <c r="N123" i="13" s="1"/>
  <c r="M269" i="13"/>
  <c r="N269" i="13" s="1"/>
  <c r="M73" i="13"/>
  <c r="M284" i="13"/>
  <c r="M31" i="13"/>
  <c r="N31" i="13" s="1"/>
  <c r="M9" i="13"/>
  <c r="M135" i="13"/>
  <c r="N135" i="13" s="1"/>
  <c r="M267" i="13"/>
  <c r="N267" i="13" s="1"/>
  <c r="M255" i="13"/>
  <c r="N255" i="13" s="1"/>
  <c r="M177" i="13"/>
  <c r="M34" i="13"/>
  <c r="N34" i="13" s="1"/>
  <c r="M38" i="13"/>
  <c r="M157" i="13"/>
  <c r="N157" i="13" s="1"/>
  <c r="M184" i="13"/>
  <c r="M140" i="13"/>
  <c r="N140" i="13" s="1"/>
  <c r="M313" i="13"/>
  <c r="N313" i="13" s="1"/>
  <c r="M17" i="13"/>
  <c r="N17" i="13" s="1"/>
  <c r="M206" i="13"/>
  <c r="N206" i="13" s="1"/>
  <c r="M199" i="13"/>
  <c r="N199" i="13" s="1"/>
  <c r="M208" i="13"/>
  <c r="M197" i="13"/>
  <c r="M218" i="13"/>
  <c r="M297" i="13"/>
  <c r="N297" i="13" s="1"/>
  <c r="M136" i="13"/>
  <c r="N136" i="13" s="1"/>
  <c r="M143" i="13"/>
  <c r="N143" i="13" s="1"/>
  <c r="M42" i="13"/>
  <c r="N42" i="13" s="1"/>
  <c r="M190" i="13"/>
  <c r="N190" i="13" s="1"/>
  <c r="M117" i="13"/>
  <c r="M46" i="13"/>
  <c r="N46" i="13" s="1"/>
  <c r="M152" i="13"/>
  <c r="M238" i="13"/>
  <c r="N238" i="13" s="1"/>
  <c r="M289" i="13"/>
  <c r="M187" i="13"/>
  <c r="N187" i="13" s="1"/>
  <c r="M115" i="13"/>
  <c r="N115" i="13" s="1"/>
  <c r="M149" i="13"/>
  <c r="N149" i="13" s="1"/>
  <c r="M63" i="13"/>
  <c r="N63" i="13" s="1"/>
  <c r="M26" i="13"/>
  <c r="N26" i="13" s="1"/>
  <c r="M141" i="13"/>
  <c r="N141" i="13" s="1"/>
  <c r="M122" i="13"/>
  <c r="N122" i="13" s="1"/>
  <c r="M18" i="13"/>
  <c r="N18" i="13" s="1"/>
  <c r="M80" i="13"/>
  <c r="N80" i="13" s="1"/>
  <c r="M277" i="13"/>
  <c r="N277" i="13" s="1"/>
  <c r="M120" i="13"/>
  <c r="N120" i="13" s="1"/>
  <c r="M270" i="13"/>
  <c r="N270" i="13" s="1"/>
  <c r="M241" i="13"/>
  <c r="N241" i="13" s="1"/>
  <c r="M164" i="13"/>
  <c r="N164" i="13" s="1"/>
  <c r="M57" i="13"/>
  <c r="N57" i="13" s="1"/>
  <c r="M15" i="13"/>
  <c r="N15" i="13" s="1"/>
  <c r="M316" i="13"/>
  <c r="M221" i="13"/>
  <c r="N221" i="13" s="1"/>
  <c r="M79" i="13"/>
  <c r="N79" i="13" s="1"/>
  <c r="M111" i="13"/>
  <c r="N111" i="13" s="1"/>
  <c r="M163" i="13"/>
  <c r="N163" i="13" s="1"/>
  <c r="M256" i="13"/>
  <c r="N256" i="13" s="1"/>
  <c r="M315" i="13"/>
  <c r="N315" i="13" s="1"/>
  <c r="M207" i="13"/>
  <c r="N207" i="13" s="1"/>
  <c r="M260" i="13"/>
  <c r="N260" i="13" s="1"/>
  <c r="M150" i="13"/>
  <c r="N150" i="13" s="1"/>
  <c r="M7" i="13"/>
  <c r="N7" i="13" s="1"/>
  <c r="M220" i="13"/>
  <c r="N220" i="13" s="1"/>
  <c r="M130" i="13"/>
  <c r="N130" i="13" s="1"/>
  <c r="M53" i="13"/>
  <c r="N53" i="13" s="1"/>
  <c r="M258" i="13"/>
  <c r="M49" i="13"/>
  <c r="M196" i="13"/>
  <c r="N196" i="13" s="1"/>
  <c r="M127" i="13"/>
  <c r="N127" i="13" s="1"/>
  <c r="M253" i="13"/>
  <c r="N253" i="13" s="1"/>
  <c r="M160" i="13"/>
  <c r="N160" i="13" s="1"/>
  <c r="M236" i="13"/>
  <c r="N236" i="13" s="1"/>
  <c r="M170" i="13"/>
  <c r="N170" i="13" s="1"/>
  <c r="M61" i="13"/>
  <c r="N61" i="13" s="1"/>
  <c r="M302" i="13"/>
  <c r="N302" i="13" s="1"/>
  <c r="M121" i="13"/>
  <c r="N121" i="13" s="1"/>
  <c r="M200" i="13"/>
  <c r="N200" i="13" s="1"/>
  <c r="M286" i="13"/>
  <c r="N286" i="13" s="1"/>
  <c r="M273" i="13"/>
  <c r="N273" i="13" s="1"/>
  <c r="M227" i="13"/>
  <c r="N227" i="13" s="1"/>
  <c r="M23" i="13"/>
  <c r="N23" i="13" s="1"/>
  <c r="M54" i="13"/>
  <c r="M30" i="13"/>
  <c r="N30" i="13" s="1"/>
  <c r="M70" i="13"/>
  <c r="N70" i="13" s="1"/>
  <c r="M245" i="13"/>
  <c r="M194" i="13"/>
  <c r="M51" i="13"/>
  <c r="N51" i="13" s="1"/>
  <c r="M102" i="13"/>
  <c r="N102" i="13" s="1"/>
  <c r="M129" i="13"/>
  <c r="N129" i="13" s="1"/>
  <c r="M22" i="13"/>
  <c r="N22" i="13" s="1"/>
  <c r="M88" i="13"/>
  <c r="M59" i="13"/>
  <c r="N59" i="13" s="1"/>
  <c r="M296" i="13"/>
  <c r="M4" i="13"/>
  <c r="M175" i="13"/>
  <c r="M24" i="13"/>
  <c r="N24" i="13" s="1"/>
  <c r="M10" i="13"/>
  <c r="N10" i="13" s="1"/>
  <c r="M75" i="13"/>
  <c r="N75" i="13" s="1"/>
  <c r="M232" i="13"/>
  <c r="N232" i="13" s="1"/>
  <c r="M62" i="13"/>
  <c r="M305" i="13"/>
  <c r="M155" i="13"/>
  <c r="M146" i="13"/>
  <c r="N146" i="13" s="1"/>
  <c r="M186" i="13"/>
  <c r="N186" i="13" s="1"/>
  <c r="M137" i="13"/>
  <c r="N137" i="13" s="1"/>
  <c r="M168" i="13"/>
  <c r="N168" i="13" s="1"/>
  <c r="M138" i="13"/>
  <c r="N138" i="13" s="1"/>
  <c r="M276" i="13"/>
  <c r="N276" i="13" s="1"/>
  <c r="M188" i="13"/>
  <c r="M151" i="13"/>
  <c r="N151" i="13" s="1"/>
  <c r="M307" i="13"/>
  <c r="N307" i="13" s="1"/>
  <c r="M159" i="13"/>
  <c r="N159" i="13" s="1"/>
  <c r="M81" i="13"/>
  <c r="M237" i="13"/>
  <c r="M105" i="13"/>
  <c r="N105" i="13" s="1"/>
  <c r="M142" i="13"/>
  <c r="N142" i="13" s="1"/>
  <c r="M119" i="13"/>
  <c r="N119" i="13" s="1"/>
  <c r="M226" i="13"/>
  <c r="N226" i="13" s="1"/>
  <c r="M288" i="13"/>
  <c r="N288" i="13" s="1"/>
  <c r="M14" i="13"/>
  <c r="N14" i="13" s="1"/>
  <c r="M278" i="13"/>
  <c r="N278" i="13" s="1"/>
  <c r="M292" i="13"/>
  <c r="N292" i="13" s="1"/>
  <c r="M182" i="13"/>
  <c r="N182" i="13" s="1"/>
  <c r="M39" i="13"/>
  <c r="N39" i="13" s="1"/>
  <c r="M252" i="13"/>
  <c r="N252" i="13" s="1"/>
  <c r="M162" i="13"/>
  <c r="N162" i="13" s="1"/>
  <c r="M85" i="13"/>
  <c r="N85" i="13" s="1"/>
  <c r="M300" i="13"/>
  <c r="M118" i="13"/>
  <c r="M263" i="13"/>
  <c r="M144" i="13"/>
  <c r="N144" i="13" s="1"/>
  <c r="M128" i="13"/>
  <c r="N128" i="13" s="1"/>
  <c r="M264" i="13"/>
  <c r="N264" i="13" s="1"/>
  <c r="M203" i="13"/>
  <c r="N203" i="13" s="1"/>
  <c r="M28" i="13"/>
  <c r="N28" i="13" s="1"/>
  <c r="M156" i="13"/>
  <c r="N156" i="13" s="1"/>
  <c r="M320" i="13"/>
  <c r="N320" i="13" s="1"/>
  <c r="M310" i="13"/>
  <c r="N310" i="13" s="1"/>
  <c r="M311" i="13"/>
  <c r="N311" i="13" s="1"/>
  <c r="M36" i="13"/>
  <c r="N36" i="13" s="1"/>
  <c r="M304" i="13"/>
  <c r="N304" i="13" s="1"/>
  <c r="M29" i="13"/>
  <c r="N29" i="13" s="1"/>
  <c r="M19" i="13"/>
  <c r="N19" i="13" s="1"/>
  <c r="M13" i="13"/>
  <c r="M290" i="13"/>
  <c r="M181" i="13"/>
  <c r="N181" i="13" s="1"/>
  <c r="M201" i="13"/>
  <c r="N201" i="13" s="1"/>
  <c r="M112" i="13"/>
  <c r="N112" i="13" s="1"/>
  <c r="M167" i="13"/>
  <c r="N167" i="13" s="1"/>
  <c r="M78" i="13"/>
  <c r="N78" i="13" s="1"/>
  <c r="M90" i="13"/>
  <c r="N90" i="13" s="1"/>
  <c r="M11" i="13"/>
  <c r="N11" i="13" s="1"/>
  <c r="M60" i="13"/>
  <c r="N60" i="13" s="1"/>
  <c r="M229" i="13"/>
  <c r="N229" i="13" s="1"/>
  <c r="M37" i="13"/>
  <c r="N37" i="13" s="1"/>
  <c r="M107" i="13"/>
  <c r="N107" i="13" s="1"/>
  <c r="M210" i="13"/>
  <c r="N210" i="13" s="1"/>
  <c r="M116" i="13"/>
  <c r="N116" i="13" s="1"/>
  <c r="M211" i="13"/>
  <c r="M95" i="13"/>
  <c r="M176" i="13"/>
  <c r="M235" i="13"/>
  <c r="N235" i="13" s="1"/>
  <c r="M67" i="13"/>
  <c r="M69" i="13"/>
  <c r="N69" i="13" s="1"/>
  <c r="M83" i="13"/>
  <c r="N83" i="13" s="1"/>
  <c r="M101" i="13"/>
  <c r="N101" i="13" s="1"/>
  <c r="M322" i="13"/>
  <c r="N322" i="13" s="1"/>
  <c r="M246" i="13"/>
  <c r="N246" i="13" s="1"/>
  <c r="M154" i="13"/>
  <c r="M165" i="13"/>
  <c r="M132" i="13"/>
  <c r="M272" i="13"/>
  <c r="M294" i="13"/>
  <c r="N294" i="13" s="1"/>
  <c r="M100" i="13"/>
  <c r="N100" i="13" s="1"/>
  <c r="M214" i="13"/>
  <c r="N214" i="13" s="1"/>
  <c r="M56" i="13"/>
  <c r="N56" i="13" s="1"/>
  <c r="M254" i="13"/>
  <c r="N254" i="13" s="1"/>
  <c r="M58" i="13"/>
  <c r="M215" i="13"/>
  <c r="M217" i="13"/>
  <c r="M158" i="13"/>
  <c r="N158" i="13" s="1"/>
  <c r="M166" i="13"/>
  <c r="M212" i="13"/>
  <c r="N212" i="13" s="1"/>
  <c r="M293" i="13"/>
  <c r="N293" i="13" s="1"/>
  <c r="M205" i="13"/>
  <c r="N205" i="13" s="1"/>
  <c r="M230" i="13"/>
  <c r="N230" i="13" s="1"/>
  <c r="M249" i="13"/>
  <c r="N249" i="13" s="1"/>
  <c r="M172" i="13"/>
  <c r="N172" i="13" s="1"/>
  <c r="M248" i="13"/>
  <c r="N248" i="13" s="1"/>
  <c r="M247" i="13"/>
  <c r="N247" i="13" s="1"/>
  <c r="M89" i="13"/>
  <c r="M145" i="13"/>
  <c r="N145" i="13" s="1"/>
  <c r="M271" i="13"/>
  <c r="N271" i="13" s="1"/>
  <c r="M192" i="13"/>
  <c r="N192" i="13" s="1"/>
  <c r="M86" i="13"/>
  <c r="N86" i="13" s="1"/>
  <c r="M266" i="13"/>
  <c r="N266" i="13" s="1"/>
  <c r="M66" i="13"/>
  <c r="N66" i="13" s="1"/>
  <c r="M204" i="13"/>
  <c r="N204" i="13" s="1"/>
  <c r="M309" i="13"/>
  <c r="N309" i="13" s="1"/>
  <c r="M33" i="13"/>
  <c r="N33" i="13" s="1"/>
  <c r="M6" i="13"/>
  <c r="N6" i="13" s="1"/>
  <c r="M99" i="13"/>
  <c r="N99" i="13" s="1"/>
  <c r="M20" i="13"/>
  <c r="N20" i="13" s="1"/>
  <c r="M50" i="13"/>
  <c r="N50" i="13" s="1"/>
  <c r="M35" i="13"/>
  <c r="N35" i="13" s="1"/>
  <c r="M74" i="13"/>
  <c r="N74" i="13" s="1"/>
  <c r="M282" i="13"/>
  <c r="M125" i="13"/>
  <c r="M52" i="13"/>
  <c r="N52" i="13" s="1"/>
  <c r="M169" i="13"/>
  <c r="N169" i="13" s="1"/>
  <c r="M287" i="13"/>
  <c r="N287" i="13" s="1"/>
  <c r="M268" i="13"/>
  <c r="N268" i="13" s="1"/>
  <c r="M202" i="13"/>
  <c r="N202" i="13" s="1"/>
  <c r="M77" i="13"/>
  <c r="N77" i="13" s="1"/>
  <c r="M314" i="13"/>
  <c r="N314" i="13" s="1"/>
  <c r="M185" i="13"/>
  <c r="N185" i="13" s="1"/>
  <c r="M5" i="13"/>
  <c r="N5" i="13" s="1"/>
  <c r="M131" i="13"/>
  <c r="N131" i="13" s="1"/>
  <c r="M82" i="13"/>
  <c r="N82" i="13" s="1"/>
  <c r="M259" i="13"/>
  <c r="N259" i="13" s="1"/>
  <c r="M234" i="13"/>
  <c r="N234" i="13" s="1"/>
  <c r="M153" i="13"/>
  <c r="M97" i="13"/>
  <c r="M94" i="13"/>
  <c r="N94" i="13" s="1"/>
  <c r="M319" i="13"/>
  <c r="N319" i="13" s="1"/>
  <c r="M16" i="13"/>
  <c r="N16" i="13" s="1"/>
  <c r="M222" i="13"/>
  <c r="N222" i="13" s="1"/>
  <c r="M224" i="13"/>
  <c r="N224" i="13" s="1"/>
  <c r="M299" i="13"/>
  <c r="N299" i="13" s="1"/>
  <c r="M161" i="13"/>
  <c r="N161" i="13" s="1"/>
  <c r="M228" i="13"/>
  <c r="N228" i="13" s="1"/>
  <c r="M134" i="13"/>
  <c r="N134" i="13" s="1"/>
  <c r="M8" i="13"/>
  <c r="N8" i="13" s="1"/>
  <c r="M189" i="13"/>
  <c r="N189" i="13" s="1"/>
  <c r="M98" i="13"/>
  <c r="N98" i="13" s="1"/>
  <c r="M32" i="13"/>
  <c r="N32" i="13" s="1"/>
  <c r="M283" i="13"/>
  <c r="N283" i="13" s="1"/>
  <c r="M84" i="13"/>
  <c r="M87" i="13"/>
  <c r="M114" i="13"/>
  <c r="N114" i="13" s="1"/>
  <c r="M126" i="13"/>
  <c r="M295" i="13"/>
  <c r="N295" i="13" s="1"/>
  <c r="M93" i="13"/>
  <c r="N93" i="13" s="1"/>
  <c r="M103" i="13"/>
  <c r="N103" i="13" s="1"/>
  <c r="M213" i="13"/>
  <c r="N213" i="13" s="1"/>
  <c r="M27" i="13"/>
  <c r="M312" i="13"/>
  <c r="M219" i="13"/>
  <c r="M285" i="13"/>
  <c r="M133" i="13"/>
  <c r="M275" i="13"/>
  <c r="N275" i="13" s="1"/>
  <c r="M178" i="13"/>
  <c r="N178" i="13" s="1"/>
  <c r="M318" i="13"/>
  <c r="N318" i="13" s="1"/>
  <c r="M48" i="13"/>
  <c r="N48" i="13" s="1"/>
  <c r="M298" i="13"/>
  <c r="M71" i="13"/>
  <c r="N71" i="13" s="1"/>
  <c r="M281" i="13"/>
  <c r="N281" i="13" s="1"/>
  <c r="M195" i="13"/>
  <c r="N195" i="13" s="1"/>
  <c r="M171" i="13"/>
  <c r="N171" i="13" s="1"/>
  <c r="M174" i="13"/>
  <c r="N174" i="13" s="1"/>
  <c r="M257" i="13"/>
  <c r="N257" i="13" s="1"/>
  <c r="M191" i="13"/>
  <c r="N191" i="13" s="1"/>
  <c r="M96" i="13"/>
  <c r="N96" i="13" s="1"/>
  <c r="R266" i="5"/>
  <c r="J57" i="6"/>
  <c r="J59" i="6"/>
  <c r="R248" i="5"/>
  <c r="R253" i="5"/>
  <c r="J37" i="6"/>
  <c r="R242" i="5"/>
  <c r="J38" i="6"/>
  <c r="R250" i="5"/>
  <c r="J51" i="6"/>
  <c r="R273" i="5"/>
  <c r="J62" i="6"/>
  <c r="R252" i="5"/>
  <c r="J39" i="6"/>
  <c r="J45" i="6"/>
  <c r="R274" i="5"/>
  <c r="R263" i="5"/>
  <c r="J63" i="6"/>
  <c r="R239" i="5"/>
  <c r="J48" i="6"/>
  <c r="R236" i="5"/>
  <c r="J61" i="6"/>
  <c r="R265" i="5"/>
  <c r="J54" i="6"/>
  <c r="J46" i="6"/>
  <c r="R271" i="5"/>
  <c r="R269" i="5"/>
  <c r="J43" i="6"/>
  <c r="R267" i="5"/>
  <c r="J56" i="6"/>
  <c r="R245" i="5"/>
  <c r="J52" i="6"/>
  <c r="J50" i="6"/>
  <c r="R262" i="5"/>
  <c r="R261" i="5"/>
  <c r="J40" i="6"/>
  <c r="J44" i="6"/>
  <c r="R270" i="5"/>
  <c r="R255" i="5"/>
  <c r="J49" i="6"/>
  <c r="Q2" i="5"/>
  <c r="J58" i="6"/>
  <c r="R257" i="5"/>
  <c r="R251" i="5"/>
  <c r="J53" i="6"/>
  <c r="R259" i="5"/>
  <c r="J64" i="6"/>
  <c r="R244" i="5"/>
  <c r="J60" i="6"/>
  <c r="K11" i="14"/>
  <c r="L11" i="14" s="1"/>
  <c r="J11" i="14" s="1"/>
  <c r="K15" i="14"/>
  <c r="L15" i="14" s="1"/>
  <c r="J15" i="14" s="1"/>
  <c r="K124" i="14"/>
  <c r="L124" i="14" s="1"/>
  <c r="J124" i="14" s="1"/>
  <c r="K309" i="14"/>
  <c r="L309" i="14" s="1"/>
  <c r="J309" i="14" s="1"/>
  <c r="K269" i="14"/>
  <c r="L269" i="14" s="1"/>
  <c r="J269" i="14" s="1"/>
  <c r="K233" i="14"/>
  <c r="L233" i="14" s="1"/>
  <c r="J233" i="14" s="1"/>
  <c r="K294" i="14"/>
  <c r="L294" i="14" s="1"/>
  <c r="J294" i="14" s="1"/>
  <c r="K67" i="14"/>
  <c r="L67" i="14" s="1"/>
  <c r="J67" i="14" s="1"/>
  <c r="K41" i="14"/>
  <c r="L41" i="14" s="1"/>
  <c r="J41" i="14" s="1"/>
  <c r="K137" i="14"/>
  <c r="L137" i="14" s="1"/>
  <c r="K64" i="14"/>
  <c r="L64" i="14" s="1"/>
  <c r="J64" i="14" s="1"/>
  <c r="K128" i="14"/>
  <c r="L128" i="14" s="1"/>
  <c r="J128" i="14" s="1"/>
  <c r="K285" i="14"/>
  <c r="L285" i="14" s="1"/>
  <c r="J285" i="14" s="1"/>
  <c r="K138" i="14"/>
  <c r="L138" i="14" s="1"/>
  <c r="J138" i="14" s="1"/>
  <c r="K95" i="14"/>
  <c r="L95" i="14" s="1"/>
  <c r="J95" i="14" s="1"/>
  <c r="K239" i="14"/>
  <c r="L239" i="14" s="1"/>
  <c r="J239" i="14" s="1"/>
  <c r="K186" i="14"/>
  <c r="L186" i="14" s="1"/>
  <c r="J186" i="14" s="1"/>
  <c r="K266" i="14"/>
  <c r="L266" i="14" s="1"/>
  <c r="J266" i="14" s="1"/>
  <c r="K320" i="14"/>
  <c r="L320" i="14" s="1"/>
  <c r="J320" i="14" s="1"/>
  <c r="K76" i="14"/>
  <c r="L76" i="14" s="1"/>
  <c r="J76" i="14" s="1"/>
  <c r="K166" i="14"/>
  <c r="L166" i="14" s="1"/>
  <c r="J166" i="14" s="1"/>
  <c r="K297" i="14"/>
  <c r="L297" i="14" s="1"/>
  <c r="J297" i="14" s="1"/>
  <c r="K308" i="14"/>
  <c r="L308" i="14" s="1"/>
  <c r="J308" i="14" s="1"/>
  <c r="K310" i="14"/>
  <c r="L310" i="14" s="1"/>
  <c r="J310" i="14" s="1"/>
  <c r="K17" i="14"/>
  <c r="L17" i="14" s="1"/>
  <c r="J17" i="14" s="1"/>
  <c r="K29" i="14"/>
  <c r="L29" i="14" s="1"/>
  <c r="J29" i="14" s="1"/>
  <c r="K225" i="14"/>
  <c r="L225" i="14" s="1"/>
  <c r="J225" i="14" s="1"/>
  <c r="K231" i="14"/>
  <c r="L231" i="14" s="1"/>
  <c r="J231" i="14" s="1"/>
  <c r="K52" i="14"/>
  <c r="L52" i="14" s="1"/>
  <c r="J52" i="14" s="1"/>
  <c r="K148" i="14"/>
  <c r="L148" i="14" s="1"/>
  <c r="J148" i="14" s="1"/>
  <c r="K267" i="14"/>
  <c r="L267" i="14" s="1"/>
  <c r="J267" i="14" s="1"/>
  <c r="K126" i="14"/>
  <c r="L126" i="14" s="1"/>
  <c r="J126" i="14" s="1"/>
  <c r="K313" i="14"/>
  <c r="L313" i="14" s="1"/>
  <c r="J313" i="14" s="1"/>
  <c r="K180" i="14"/>
  <c r="L180" i="14" s="1"/>
  <c r="J180" i="14" s="1"/>
  <c r="K265" i="14"/>
  <c r="L265" i="14" s="1"/>
  <c r="J265" i="14" s="1"/>
  <c r="K190" i="14"/>
  <c r="L190" i="14" s="1"/>
  <c r="J190" i="14" s="1"/>
  <c r="K270" i="14"/>
  <c r="L270" i="14" s="1"/>
  <c r="J270" i="14" s="1"/>
  <c r="K69" i="14"/>
  <c r="L69" i="14" s="1"/>
  <c r="J69" i="14" s="1"/>
  <c r="K51" i="14"/>
  <c r="L51" i="14" s="1"/>
  <c r="J51" i="14" s="1"/>
  <c r="K101" i="14"/>
  <c r="L101" i="14" s="1"/>
  <c r="J101" i="14" s="1"/>
  <c r="K57" i="14"/>
  <c r="L57" i="14" s="1"/>
  <c r="J57" i="14" s="1"/>
  <c r="K24" i="14"/>
  <c r="L24" i="14" s="1"/>
  <c r="J24" i="14" s="1"/>
  <c r="K120" i="14"/>
  <c r="L120" i="14" s="1"/>
  <c r="J120" i="14" s="1"/>
  <c r="K229" i="14"/>
  <c r="L229" i="14" s="1"/>
  <c r="J229" i="14" s="1"/>
  <c r="K66" i="14"/>
  <c r="L66" i="14" s="1"/>
  <c r="J66" i="14" s="1"/>
  <c r="K162" i="14"/>
  <c r="L162" i="14" s="1"/>
  <c r="J162" i="14" s="1"/>
  <c r="K264" i="14"/>
  <c r="L264" i="14" s="1"/>
  <c r="J264" i="14" s="1"/>
  <c r="K151" i="14"/>
  <c r="L151" i="14" s="1"/>
  <c r="J151" i="14" s="1"/>
  <c r="K228" i="14"/>
  <c r="L228" i="14" s="1"/>
  <c r="J228" i="14" s="1"/>
  <c r="K194" i="14"/>
  <c r="L194" i="14" s="1"/>
  <c r="J194" i="14" s="1"/>
  <c r="K274" i="14"/>
  <c r="L274" i="14" s="1"/>
  <c r="J274" i="14" s="1"/>
  <c r="K189" i="14"/>
  <c r="L189" i="14" s="1"/>
  <c r="J189" i="14" s="1"/>
  <c r="K193" i="14"/>
  <c r="L193" i="14" s="1"/>
  <c r="J193" i="14" s="1"/>
  <c r="K318" i="14"/>
  <c r="L318" i="14" s="1"/>
  <c r="M104" i="5" s="1"/>
  <c r="K256" i="14"/>
  <c r="L256" i="14" s="1"/>
  <c r="J256" i="14" s="1"/>
  <c r="K315" i="14"/>
  <c r="L315" i="14" s="1"/>
  <c r="J315" i="14" s="1"/>
  <c r="K212" i="14"/>
  <c r="L212" i="14" s="1"/>
  <c r="K206" i="14"/>
  <c r="L206" i="14" s="1"/>
  <c r="J206" i="14" s="1"/>
  <c r="K135" i="14"/>
  <c r="L135" i="14" s="1"/>
  <c r="M63" i="5" s="1"/>
  <c r="K47" i="14"/>
  <c r="L47" i="14" s="1"/>
  <c r="J47" i="14" s="1"/>
  <c r="K150" i="14"/>
  <c r="L150" i="14" s="1"/>
  <c r="J150" i="14" s="1"/>
  <c r="K303" i="14"/>
  <c r="L303" i="14" s="1"/>
  <c r="K204" i="14"/>
  <c r="L204" i="14" s="1"/>
  <c r="K183" i="14"/>
  <c r="L183" i="14" s="1"/>
  <c r="J183" i="14" s="1"/>
  <c r="K271" i="14"/>
  <c r="L271" i="14" s="1"/>
  <c r="J271" i="14" s="1"/>
  <c r="K203" i="14"/>
  <c r="L203" i="14" s="1"/>
  <c r="M53" i="5" s="1"/>
  <c r="K31" i="14"/>
  <c r="L31" i="14" s="1"/>
  <c r="J31" i="14" s="1"/>
  <c r="K133" i="14"/>
  <c r="L133" i="14" s="1"/>
  <c r="J133" i="14" s="1"/>
  <c r="K53" i="14"/>
  <c r="L53" i="14" s="1"/>
  <c r="J53" i="14" s="1"/>
  <c r="K44" i="14"/>
  <c r="L44" i="14" s="1"/>
  <c r="M70" i="5" s="1"/>
  <c r="K268" i="14"/>
  <c r="L268" i="14" s="1"/>
  <c r="M106" i="5" s="1"/>
  <c r="K175" i="14"/>
  <c r="L175" i="14" s="1"/>
  <c r="M129" i="5" s="1"/>
  <c r="K109" i="14"/>
  <c r="L109" i="14" s="1"/>
  <c r="M133" i="5" s="1"/>
  <c r="K39" i="14"/>
  <c r="L39" i="14" s="1"/>
  <c r="M121" i="5" s="1"/>
  <c r="K157" i="14"/>
  <c r="L157" i="14" s="1"/>
  <c r="J157" i="14" s="1"/>
  <c r="K89" i="14"/>
  <c r="L89" i="14" s="1"/>
  <c r="J89" i="14" s="1"/>
  <c r="K152" i="14"/>
  <c r="L152" i="14" s="1"/>
  <c r="K242" i="14"/>
  <c r="L242" i="14" s="1"/>
  <c r="M128" i="5" s="1"/>
  <c r="K163" i="14"/>
  <c r="L163" i="14" s="1"/>
  <c r="M95" i="5" s="1"/>
  <c r="K90" i="14"/>
  <c r="L90" i="14" s="1"/>
  <c r="J90" i="14" s="1"/>
  <c r="K322" i="14"/>
  <c r="L322" i="14" s="1"/>
  <c r="J322" i="14" s="1"/>
  <c r="K173" i="14"/>
  <c r="L173" i="14" s="1"/>
  <c r="J173" i="14" s="1"/>
  <c r="K37" i="14"/>
  <c r="L37" i="14" s="1"/>
  <c r="J37" i="14" s="1"/>
  <c r="K140" i="14"/>
  <c r="L140" i="14" s="1"/>
  <c r="J140" i="14" s="1"/>
  <c r="K54" i="14"/>
  <c r="L54" i="14" s="1"/>
  <c r="J54" i="14" s="1"/>
  <c r="K75" i="14"/>
  <c r="L75" i="14" s="1"/>
  <c r="J75" i="14" s="1"/>
  <c r="K283" i="14"/>
  <c r="L283" i="14" s="1"/>
  <c r="J283" i="14" s="1"/>
  <c r="K199" i="14"/>
  <c r="L199" i="14" s="1"/>
  <c r="J199" i="14" s="1"/>
  <c r="K125" i="14"/>
  <c r="L125" i="14" s="1"/>
  <c r="J125" i="14" s="1"/>
  <c r="K71" i="14"/>
  <c r="L71" i="14" s="1"/>
  <c r="J71" i="14" s="1"/>
  <c r="K209" i="14"/>
  <c r="L209" i="14" s="1"/>
  <c r="J209" i="14" s="1"/>
  <c r="K80" i="14"/>
  <c r="L80" i="14" s="1"/>
  <c r="J80" i="14" s="1"/>
  <c r="K144" i="14"/>
  <c r="L144" i="14" s="1"/>
  <c r="J144" i="14" s="1"/>
  <c r="K58" i="14"/>
  <c r="L58" i="14" s="1"/>
  <c r="J58" i="14" s="1"/>
  <c r="K253" i="14"/>
  <c r="L253" i="14" s="1"/>
  <c r="J253" i="14" s="1"/>
  <c r="K127" i="14"/>
  <c r="L127" i="14" s="1"/>
  <c r="J127" i="14" s="1"/>
  <c r="K316" i="14"/>
  <c r="L316" i="14" s="1"/>
  <c r="J316" i="14" s="1"/>
  <c r="K202" i="14"/>
  <c r="L202" i="14" s="1"/>
  <c r="J202" i="14" s="1"/>
  <c r="K282" i="14"/>
  <c r="L282" i="14" s="1"/>
  <c r="J282" i="14" s="1"/>
  <c r="K63" i="14"/>
  <c r="L63" i="14" s="1"/>
  <c r="J63" i="14" s="1"/>
  <c r="K108" i="14"/>
  <c r="L108" i="14" s="1"/>
  <c r="J108" i="14" s="1"/>
  <c r="K184" i="14"/>
  <c r="L184" i="14" s="1"/>
  <c r="J184" i="14" s="1"/>
  <c r="K123" i="14"/>
  <c r="L123" i="14" s="1"/>
  <c r="J123" i="14" s="1"/>
  <c r="K198" i="14"/>
  <c r="L198" i="14" s="1"/>
  <c r="J198" i="14" s="1"/>
  <c r="K61" i="14"/>
  <c r="L61" i="14" s="1"/>
  <c r="J61" i="14" s="1"/>
  <c r="K73" i="14"/>
  <c r="L73" i="14" s="1"/>
  <c r="J73" i="14" s="1"/>
  <c r="K22" i="14"/>
  <c r="L22" i="14" s="1"/>
  <c r="J22" i="14" s="1"/>
  <c r="K5" i="14"/>
  <c r="L5" i="14" s="1"/>
  <c r="J5" i="14" s="1"/>
  <c r="K4" i="14"/>
  <c r="L4" i="14" s="1"/>
  <c r="J4" i="14" s="1"/>
  <c r="K68" i="14"/>
  <c r="L68" i="14" s="1"/>
  <c r="J68" i="14" s="1"/>
  <c r="K181" i="14"/>
  <c r="L181" i="14" s="1"/>
  <c r="J181" i="14" s="1"/>
  <c r="K293" i="14"/>
  <c r="L293" i="14" s="1"/>
  <c r="J293" i="14" s="1"/>
  <c r="K195" i="14"/>
  <c r="L195" i="14" s="1"/>
  <c r="J195" i="14" s="1"/>
  <c r="K99" i="14"/>
  <c r="L99" i="14" s="1"/>
  <c r="J99" i="14" s="1"/>
  <c r="K201" i="14"/>
  <c r="L201" i="14" s="1"/>
  <c r="J201" i="14" s="1"/>
  <c r="K324" i="14"/>
  <c r="L324" i="14" s="1"/>
  <c r="J324" i="14" s="1"/>
  <c r="K222" i="14"/>
  <c r="L222" i="14" s="1"/>
  <c r="J222" i="14" s="1"/>
  <c r="K286" i="14"/>
  <c r="L286" i="14" s="1"/>
  <c r="J286" i="14" s="1"/>
  <c r="K220" i="14"/>
  <c r="L220" i="14" s="1"/>
  <c r="J220" i="14" s="1"/>
  <c r="K236" i="14"/>
  <c r="L236" i="14" s="1"/>
  <c r="J236" i="14" s="1"/>
  <c r="K165" i="14"/>
  <c r="L165" i="14" s="1"/>
  <c r="J165" i="14" s="1"/>
  <c r="K169" i="14"/>
  <c r="L169" i="14" s="1"/>
  <c r="J169" i="14" s="1"/>
  <c r="K40" i="14"/>
  <c r="L40" i="14" s="1"/>
  <c r="J40" i="14" s="1"/>
  <c r="K168" i="14"/>
  <c r="L168" i="14" s="1"/>
  <c r="J168" i="14" s="1"/>
  <c r="K251" i="14"/>
  <c r="L251" i="14" s="1"/>
  <c r="J251" i="14" s="1"/>
  <c r="K82" i="14"/>
  <c r="L82" i="14" s="1"/>
  <c r="J82" i="14" s="1"/>
  <c r="K179" i="14"/>
  <c r="L179" i="14" s="1"/>
  <c r="J179" i="14" s="1"/>
  <c r="K87" i="14"/>
  <c r="L87" i="14" s="1"/>
  <c r="J87" i="14" s="1"/>
  <c r="K167" i="14"/>
  <c r="L167" i="14" s="1"/>
  <c r="J167" i="14" s="1"/>
  <c r="K279" i="14"/>
  <c r="L279" i="14" s="1"/>
  <c r="J279" i="14" s="1"/>
  <c r="K210" i="14"/>
  <c r="L210" i="14" s="1"/>
  <c r="J210" i="14" s="1"/>
  <c r="K306" i="14"/>
  <c r="L306" i="14" s="1"/>
  <c r="J306" i="14" s="1"/>
  <c r="K273" i="14"/>
  <c r="L273" i="14" s="1"/>
  <c r="J273" i="14" s="1"/>
  <c r="K149" i="14"/>
  <c r="L149" i="14" s="1"/>
  <c r="J149" i="14" s="1"/>
  <c r="K290" i="14"/>
  <c r="L290" i="14" s="1"/>
  <c r="M105" i="5" s="1"/>
  <c r="K260" i="14"/>
  <c r="L260" i="14" s="1"/>
  <c r="J260" i="14" s="1"/>
  <c r="K243" i="14"/>
  <c r="L243" i="14" s="1"/>
  <c r="M47" i="5" s="1"/>
  <c r="K276" i="14"/>
  <c r="L276" i="14" s="1"/>
  <c r="J276" i="14" s="1"/>
  <c r="K177" i="14"/>
  <c r="L177" i="14" s="1"/>
  <c r="M94" i="5" s="1"/>
  <c r="K114" i="14"/>
  <c r="L114" i="14" s="1"/>
  <c r="M131" i="5" s="1"/>
  <c r="K32" i="14"/>
  <c r="L32" i="14" s="1"/>
  <c r="M122" i="5" s="1"/>
  <c r="K110" i="14"/>
  <c r="L110" i="14" s="1"/>
  <c r="M132" i="5" s="1"/>
  <c r="K131" i="14"/>
  <c r="L131" i="14" s="1"/>
  <c r="J131" i="14" s="1"/>
  <c r="K259" i="14"/>
  <c r="L259" i="14" s="1"/>
  <c r="J259" i="14" s="1"/>
  <c r="K241" i="14"/>
  <c r="L241" i="14" s="1"/>
  <c r="M48" i="5" s="1"/>
  <c r="K272" i="14"/>
  <c r="L272" i="14" s="1"/>
  <c r="J272" i="14" s="1"/>
  <c r="K134" i="14"/>
  <c r="L134" i="14" s="1"/>
  <c r="J134" i="14" s="1"/>
  <c r="K12" i="14"/>
  <c r="L12" i="14" s="1"/>
  <c r="M98" i="5" s="1"/>
  <c r="K121" i="14"/>
  <c r="L121" i="14" s="1"/>
  <c r="K261" i="14"/>
  <c r="L261" i="14" s="1"/>
  <c r="J261" i="14" s="1"/>
  <c r="K153" i="14"/>
  <c r="L153" i="14" s="1"/>
  <c r="K246" i="14"/>
  <c r="L246" i="14" s="1"/>
  <c r="M107" i="5" s="1"/>
  <c r="K164" i="14"/>
  <c r="L164" i="14" s="1"/>
  <c r="K91" i="14"/>
  <c r="L91" i="14" s="1"/>
  <c r="M120" i="5" s="1"/>
  <c r="K30" i="14"/>
  <c r="L30" i="14" s="1"/>
  <c r="K111" i="14"/>
  <c r="L111" i="14" s="1"/>
  <c r="K141" i="14"/>
  <c r="L141" i="14" s="1"/>
  <c r="M62" i="5" s="1"/>
  <c r="K289" i="14"/>
  <c r="L289" i="14" s="1"/>
  <c r="M44" i="5" s="1"/>
  <c r="K211" i="14"/>
  <c r="L211" i="14" s="1"/>
  <c r="M93" i="5" s="1"/>
  <c r="K136" i="14"/>
  <c r="L136" i="14" s="1"/>
  <c r="M96" i="5" s="1"/>
  <c r="K74" i="14"/>
  <c r="L74" i="14" s="1"/>
  <c r="J74" i="14" s="1"/>
  <c r="K129" i="14"/>
  <c r="L129" i="14" s="1"/>
  <c r="J129" i="14" s="1"/>
  <c r="K14" i="14"/>
  <c r="L14" i="14" s="1"/>
  <c r="J14" i="14" s="1"/>
  <c r="K60" i="14"/>
  <c r="L60" i="14" s="1"/>
  <c r="J60" i="14" s="1"/>
  <c r="K213" i="14"/>
  <c r="L213" i="14" s="1"/>
  <c r="J213" i="14" s="1"/>
  <c r="K102" i="14"/>
  <c r="L102" i="14" s="1"/>
  <c r="J102" i="14" s="1"/>
  <c r="K107" i="14"/>
  <c r="L107" i="14" s="1"/>
  <c r="J107" i="14" s="1"/>
  <c r="K182" i="14"/>
  <c r="L182" i="14" s="1"/>
  <c r="J182" i="14" s="1"/>
  <c r="K7" i="14"/>
  <c r="L7" i="14" s="1"/>
  <c r="J7" i="14" s="1"/>
  <c r="K280" i="14"/>
  <c r="L280" i="14" s="1"/>
  <c r="J280" i="14" s="1"/>
  <c r="K21" i="14"/>
  <c r="L21" i="14" s="1"/>
  <c r="J21" i="14" s="1"/>
  <c r="K304" i="14"/>
  <c r="L304" i="14" s="1"/>
  <c r="J304" i="14" s="1"/>
  <c r="K96" i="14"/>
  <c r="L96" i="14" s="1"/>
  <c r="J96" i="14" s="1"/>
  <c r="K160" i="14"/>
  <c r="L160" i="14" s="1"/>
  <c r="J160" i="14" s="1"/>
  <c r="K106" i="14"/>
  <c r="L106" i="14" s="1"/>
  <c r="J106" i="14" s="1"/>
  <c r="K305" i="14"/>
  <c r="L305" i="14" s="1"/>
  <c r="J305" i="14" s="1"/>
  <c r="K159" i="14"/>
  <c r="L159" i="14" s="1"/>
  <c r="J159" i="14" s="1"/>
  <c r="K287" i="14"/>
  <c r="L287" i="14" s="1"/>
  <c r="J287" i="14" s="1"/>
  <c r="K218" i="14"/>
  <c r="L218" i="14" s="1"/>
  <c r="J218" i="14" s="1"/>
  <c r="K298" i="14"/>
  <c r="L298" i="14" s="1"/>
  <c r="J298" i="14" s="1"/>
  <c r="K117" i="14"/>
  <c r="L117" i="14" s="1"/>
  <c r="J117" i="14" s="1"/>
  <c r="K277" i="14"/>
  <c r="L277" i="14" s="1"/>
  <c r="J277" i="14" s="1"/>
  <c r="K205" i="14"/>
  <c r="L205" i="14" s="1"/>
  <c r="J205" i="14" s="1"/>
  <c r="K191" i="14"/>
  <c r="L191" i="14" s="1"/>
  <c r="J191" i="14" s="1"/>
  <c r="K230" i="14"/>
  <c r="L230" i="14" s="1"/>
  <c r="J230" i="14" s="1"/>
  <c r="K18" i="14"/>
  <c r="L18" i="14" s="1"/>
  <c r="J18" i="14" s="1"/>
  <c r="K113" i="14"/>
  <c r="L113" i="14" s="1"/>
  <c r="J113" i="14" s="1"/>
  <c r="K312" i="14"/>
  <c r="L312" i="14" s="1"/>
  <c r="J312" i="14" s="1"/>
  <c r="K26" i="14"/>
  <c r="L26" i="14" s="1"/>
  <c r="J26" i="14" s="1"/>
  <c r="K20" i="14"/>
  <c r="L20" i="14" s="1"/>
  <c r="J20" i="14" s="1"/>
  <c r="K100" i="14"/>
  <c r="L100" i="14" s="1"/>
  <c r="J100" i="14" s="1"/>
  <c r="K224" i="14"/>
  <c r="L224" i="14" s="1"/>
  <c r="J224" i="14" s="1"/>
  <c r="K62" i="14"/>
  <c r="L62" i="14" s="1"/>
  <c r="J62" i="14" s="1"/>
  <c r="K216" i="14"/>
  <c r="L216" i="14" s="1"/>
  <c r="J216" i="14" s="1"/>
  <c r="K115" i="14"/>
  <c r="L115" i="14" s="1"/>
  <c r="J115" i="14" s="1"/>
  <c r="K223" i="14"/>
  <c r="L223" i="14" s="1"/>
  <c r="J223" i="14" s="1"/>
  <c r="K291" i="14"/>
  <c r="L291" i="14" s="1"/>
  <c r="J291" i="14" s="1"/>
  <c r="K238" i="14"/>
  <c r="L238" i="14" s="1"/>
  <c r="J238" i="14" s="1"/>
  <c r="K302" i="14"/>
  <c r="L302" i="14" s="1"/>
  <c r="J302" i="14" s="1"/>
  <c r="K6" i="14"/>
  <c r="L6" i="14" s="1"/>
  <c r="J6" i="14" s="1"/>
  <c r="K9" i="14"/>
  <c r="L9" i="14" s="1"/>
  <c r="J9" i="14" s="1"/>
  <c r="K247" i="14"/>
  <c r="L247" i="14" s="1"/>
  <c r="J247" i="14" s="1"/>
  <c r="K252" i="14"/>
  <c r="L252" i="14" s="1"/>
  <c r="J252" i="14" s="1"/>
  <c r="K72" i="14"/>
  <c r="L72" i="14" s="1"/>
  <c r="J72" i="14" s="1"/>
  <c r="K187" i="14"/>
  <c r="L187" i="14" s="1"/>
  <c r="J187" i="14" s="1"/>
  <c r="K301" i="14"/>
  <c r="L301" i="14" s="1"/>
  <c r="J301" i="14" s="1"/>
  <c r="K98" i="14"/>
  <c r="L98" i="14" s="1"/>
  <c r="J98" i="14" s="1"/>
  <c r="K200" i="14"/>
  <c r="L200" i="14" s="1"/>
  <c r="J200" i="14" s="1"/>
  <c r="K103" i="14"/>
  <c r="L103" i="14" s="1"/>
  <c r="J103" i="14" s="1"/>
  <c r="K185" i="14"/>
  <c r="L185" i="14" s="1"/>
  <c r="J185" i="14" s="1"/>
  <c r="K295" i="14"/>
  <c r="L295" i="14" s="1"/>
  <c r="J295" i="14" s="1"/>
  <c r="K226" i="14"/>
  <c r="L226" i="14" s="1"/>
  <c r="J226" i="14" s="1"/>
  <c r="K275" i="14"/>
  <c r="L275" i="14" s="1"/>
  <c r="J275" i="14" s="1"/>
  <c r="K192" i="14"/>
  <c r="L192" i="14" s="1"/>
  <c r="J192" i="14" s="1"/>
  <c r="K33" i="14"/>
  <c r="L33" i="14" s="1"/>
  <c r="J33" i="14" s="1"/>
  <c r="K16" i="14"/>
  <c r="L16" i="14" s="1"/>
  <c r="M74" i="5" s="1"/>
  <c r="K45" i="14"/>
  <c r="L45" i="14" s="1"/>
  <c r="J45" i="14" s="1"/>
  <c r="K262" i="14"/>
  <c r="L262" i="14" s="1"/>
  <c r="J262" i="14" s="1"/>
  <c r="K170" i="14"/>
  <c r="L170" i="14" s="1"/>
  <c r="J170" i="14" s="1"/>
  <c r="K88" i="14"/>
  <c r="L88" i="14" s="1"/>
  <c r="J88" i="14" s="1"/>
  <c r="K23" i="14"/>
  <c r="L23" i="14" s="1"/>
  <c r="M123" i="5" s="1"/>
  <c r="K85" i="14"/>
  <c r="L85" i="14" s="1"/>
  <c r="M110" i="5" s="1"/>
  <c r="K142" i="14"/>
  <c r="L142" i="14" s="1"/>
  <c r="J142" i="14" s="1"/>
  <c r="K196" i="14"/>
  <c r="L196" i="14" s="1"/>
  <c r="K46" i="14"/>
  <c r="L46" i="14" s="1"/>
  <c r="J46" i="14" s="1"/>
  <c r="K257" i="14"/>
  <c r="L257" i="14" s="1"/>
  <c r="M127" i="5" s="1"/>
  <c r="K94" i="14"/>
  <c r="L94" i="14" s="1"/>
  <c r="J94" i="14" s="1"/>
  <c r="K28" i="14"/>
  <c r="L28" i="14" s="1"/>
  <c r="K155" i="14"/>
  <c r="L155" i="14" s="1"/>
  <c r="J155" i="14" s="1"/>
  <c r="K284" i="14"/>
  <c r="L284" i="14" s="1"/>
  <c r="J284" i="14" s="1"/>
  <c r="K299" i="14"/>
  <c r="L299" i="14" s="1"/>
  <c r="J299" i="14" s="1"/>
  <c r="K232" i="14"/>
  <c r="L232" i="14" s="1"/>
  <c r="K143" i="14"/>
  <c r="L143" i="14" s="1"/>
  <c r="K84" i="14"/>
  <c r="L84" i="14" s="1"/>
  <c r="M134" i="5" s="1"/>
  <c r="K292" i="14"/>
  <c r="L292" i="14" s="1"/>
  <c r="K317" i="14"/>
  <c r="L317" i="14" s="1"/>
  <c r="M41" i="5" s="1"/>
  <c r="K83" i="14"/>
  <c r="L83" i="14" s="1"/>
  <c r="M67" i="5" s="1"/>
  <c r="K281" i="14"/>
  <c r="L281" i="14" s="1"/>
  <c r="M45" i="5" s="1"/>
  <c r="K178" i="14"/>
  <c r="L178" i="14" s="1"/>
  <c r="J178" i="14" s="1"/>
  <c r="K118" i="14"/>
  <c r="L118" i="14" s="1"/>
  <c r="K56" i="14"/>
  <c r="L56" i="14" s="1"/>
  <c r="M135" i="5" s="1"/>
  <c r="K97" i="14"/>
  <c r="L97" i="14" s="1"/>
  <c r="J97" i="14" s="1"/>
  <c r="K35" i="14"/>
  <c r="L35" i="14" s="1"/>
  <c r="J35" i="14" s="1"/>
  <c r="K92" i="14"/>
  <c r="L92" i="14" s="1"/>
  <c r="J92" i="14" s="1"/>
  <c r="K235" i="14"/>
  <c r="L235" i="14" s="1"/>
  <c r="J235" i="14" s="1"/>
  <c r="K227" i="14"/>
  <c r="L227" i="14" s="1"/>
  <c r="J227" i="14" s="1"/>
  <c r="K139" i="14"/>
  <c r="L139" i="14" s="1"/>
  <c r="J139" i="14" s="1"/>
  <c r="K214" i="14"/>
  <c r="L214" i="14" s="1"/>
  <c r="J214" i="14" s="1"/>
  <c r="K161" i="14"/>
  <c r="L161" i="14" s="1"/>
  <c r="J161" i="14" s="1"/>
  <c r="K19" i="14"/>
  <c r="L19" i="14" s="1"/>
  <c r="J19" i="14" s="1"/>
  <c r="K42" i="14"/>
  <c r="L42" i="14" s="1"/>
  <c r="J42" i="14" s="1"/>
  <c r="K48" i="14"/>
  <c r="L48" i="14" s="1"/>
  <c r="J48" i="14" s="1"/>
  <c r="K112" i="14"/>
  <c r="L112" i="14" s="1"/>
  <c r="J112" i="14" s="1"/>
  <c r="K219" i="14"/>
  <c r="L219" i="14" s="1"/>
  <c r="J219" i="14" s="1"/>
  <c r="K122" i="14"/>
  <c r="L122" i="14" s="1"/>
  <c r="J122" i="14" s="1"/>
  <c r="K79" i="14"/>
  <c r="L79" i="14" s="1"/>
  <c r="J79" i="14" s="1"/>
  <c r="K217" i="14"/>
  <c r="L217" i="14" s="1"/>
  <c r="J217" i="14" s="1"/>
  <c r="K319" i="14"/>
  <c r="L319" i="14" s="1"/>
  <c r="J319" i="14" s="1"/>
  <c r="K250" i="14"/>
  <c r="L250" i="14" s="1"/>
  <c r="J250" i="14" s="1"/>
  <c r="K314" i="14"/>
  <c r="L314" i="14" s="1"/>
  <c r="J314" i="14" s="1"/>
  <c r="K188" i="14"/>
  <c r="L188" i="14" s="1"/>
  <c r="J188" i="14" s="1"/>
  <c r="K86" i="14"/>
  <c r="L86" i="14" s="1"/>
  <c r="J86" i="14" s="1"/>
  <c r="K248" i="14"/>
  <c r="L248" i="14" s="1"/>
  <c r="J248" i="14" s="1"/>
  <c r="K255" i="14"/>
  <c r="L255" i="14" s="1"/>
  <c r="J255" i="14" s="1"/>
  <c r="K278" i="14"/>
  <c r="L278" i="14" s="1"/>
  <c r="J278" i="14" s="1"/>
  <c r="K81" i="14"/>
  <c r="L81" i="14" s="1"/>
  <c r="J81" i="14" s="1"/>
  <c r="K288" i="14"/>
  <c r="L288" i="14" s="1"/>
  <c r="J288" i="14" s="1"/>
  <c r="K25" i="14"/>
  <c r="L25" i="14" s="1"/>
  <c r="J25" i="14" s="1"/>
  <c r="K49" i="14"/>
  <c r="L49" i="14" s="1"/>
  <c r="J49" i="14" s="1"/>
  <c r="K36" i="14"/>
  <c r="L36" i="14" s="1"/>
  <c r="J36" i="14" s="1"/>
  <c r="K116" i="14"/>
  <c r="L116" i="14" s="1"/>
  <c r="J116" i="14" s="1"/>
  <c r="K245" i="14"/>
  <c r="L245" i="14" s="1"/>
  <c r="J245" i="14" s="1"/>
  <c r="K78" i="14"/>
  <c r="L78" i="14" s="1"/>
  <c r="J78" i="14" s="1"/>
  <c r="K237" i="14"/>
  <c r="L237" i="14" s="1"/>
  <c r="J237" i="14" s="1"/>
  <c r="K147" i="14"/>
  <c r="L147" i="14" s="1"/>
  <c r="J147" i="14" s="1"/>
  <c r="K244" i="14"/>
  <c r="L244" i="14" s="1"/>
  <c r="J244" i="14" s="1"/>
  <c r="K323" i="14"/>
  <c r="L323" i="14" s="1"/>
  <c r="J323" i="14" s="1"/>
  <c r="K254" i="14"/>
  <c r="L254" i="14" s="1"/>
  <c r="J254" i="14" s="1"/>
  <c r="K13" i="14"/>
  <c r="L13" i="14" s="1"/>
  <c r="J13" i="14" s="1"/>
  <c r="K27" i="14"/>
  <c r="L27" i="14" s="1"/>
  <c r="J27" i="14" s="1"/>
  <c r="K55" i="14"/>
  <c r="L55" i="14" s="1"/>
  <c r="J55" i="14" s="1"/>
  <c r="K10" i="14"/>
  <c r="L10" i="14" s="1"/>
  <c r="J10" i="14" s="1"/>
  <c r="K8" i="14"/>
  <c r="L8" i="14" s="1"/>
  <c r="J8" i="14" s="1"/>
  <c r="K104" i="14"/>
  <c r="L104" i="14" s="1"/>
  <c r="J104" i="14" s="1"/>
  <c r="K208" i="14"/>
  <c r="L208" i="14" s="1"/>
  <c r="J208" i="14" s="1"/>
  <c r="K50" i="14"/>
  <c r="L50" i="14" s="1"/>
  <c r="J50" i="14" s="1"/>
  <c r="K146" i="14"/>
  <c r="L146" i="14" s="1"/>
  <c r="J146" i="14" s="1"/>
  <c r="K221" i="14"/>
  <c r="L221" i="14" s="1"/>
  <c r="J221" i="14" s="1"/>
  <c r="K119" i="14"/>
  <c r="L119" i="14" s="1"/>
  <c r="K207" i="14"/>
  <c r="L207" i="14" s="1"/>
  <c r="J207" i="14" s="1"/>
  <c r="K311" i="14"/>
  <c r="L311" i="14" s="1"/>
  <c r="J311" i="14" s="1"/>
  <c r="K258" i="14"/>
  <c r="L258" i="14" s="1"/>
  <c r="J258" i="14" s="1"/>
  <c r="K307" i="14"/>
  <c r="L307" i="14" s="1"/>
  <c r="J307" i="14" s="1"/>
  <c r="K156" i="14"/>
  <c r="L156" i="14" s="1"/>
  <c r="J156" i="14" s="1"/>
  <c r="K296" i="14"/>
  <c r="L296" i="14" s="1"/>
  <c r="J296" i="14" s="1"/>
  <c r="K171" i="14"/>
  <c r="L171" i="14" s="1"/>
  <c r="J171" i="14" s="1"/>
  <c r="K215" i="14"/>
  <c r="L215" i="14" s="1"/>
  <c r="J215" i="14" s="1"/>
  <c r="K240" i="14"/>
  <c r="L240" i="14" s="1"/>
  <c r="M49" i="5" s="1"/>
  <c r="K154" i="14"/>
  <c r="L154" i="14" s="1"/>
  <c r="M109" i="5" s="1"/>
  <c r="K70" i="14"/>
  <c r="L70" i="14" s="1"/>
  <c r="M68" i="5" s="1"/>
  <c r="K176" i="14"/>
  <c r="L176" i="14" s="1"/>
  <c r="M55" i="5" s="1"/>
  <c r="K43" i="14"/>
  <c r="L43" i="14" s="1"/>
  <c r="M71" i="5" s="1"/>
  <c r="K158" i="14"/>
  <c r="L158" i="14" s="1"/>
  <c r="J158" i="14" s="1"/>
  <c r="K174" i="14"/>
  <c r="L174" i="14" s="1"/>
  <c r="M56" i="5" s="1"/>
  <c r="K38" i="14"/>
  <c r="L38" i="14" s="1"/>
  <c r="M72" i="5" s="1"/>
  <c r="K234" i="14"/>
  <c r="L234" i="14" s="1"/>
  <c r="M108" i="5" s="1"/>
  <c r="K65" i="14"/>
  <c r="L65" i="14" s="1"/>
  <c r="M69" i="5" s="1"/>
  <c r="K300" i="14"/>
  <c r="L300" i="14" s="1"/>
  <c r="J300" i="14" s="1"/>
  <c r="K249" i="14"/>
  <c r="L249" i="14" s="1"/>
  <c r="M46" i="5" s="1"/>
  <c r="K132" i="14"/>
  <c r="L132" i="14" s="1"/>
  <c r="M64" i="5" s="1"/>
  <c r="K77" i="14"/>
  <c r="L77" i="14" s="1"/>
  <c r="J77" i="14" s="1"/>
  <c r="K197" i="14"/>
  <c r="L197" i="14" s="1"/>
  <c r="K130" i="14"/>
  <c r="L130" i="14" s="1"/>
  <c r="J130" i="14" s="1"/>
  <c r="K59" i="14"/>
  <c r="L59" i="14" s="1"/>
  <c r="J59" i="14" s="1"/>
  <c r="K93" i="14"/>
  <c r="L93" i="14" s="1"/>
  <c r="J93" i="14" s="1"/>
  <c r="K321" i="14"/>
  <c r="L321" i="14" s="1"/>
  <c r="M40" i="5" s="1"/>
  <c r="K145" i="14"/>
  <c r="L145" i="14" s="1"/>
  <c r="K263" i="14"/>
  <c r="L263" i="14" s="1"/>
  <c r="M117" i="5" s="1"/>
  <c r="K172" i="14"/>
  <c r="L172" i="14" s="1"/>
  <c r="J172" i="14" s="1"/>
  <c r="R57" i="5" s="1"/>
  <c r="K105" i="14"/>
  <c r="L105" i="14" s="1"/>
  <c r="M97" i="5" s="1"/>
  <c r="K34" i="14"/>
  <c r="L34" i="14" s="1"/>
  <c r="J34" i="14" s="1"/>
  <c r="J137" i="14"/>
  <c r="T272" i="21" l="1"/>
  <c r="V272" i="21" s="1"/>
  <c r="T205" i="21"/>
  <c r="V205" i="21" s="1"/>
  <c r="T309" i="21"/>
  <c r="V309" i="21" s="1"/>
  <c r="T225" i="21"/>
  <c r="T208" i="21"/>
  <c r="T195" i="21"/>
  <c r="V195" i="21" s="1"/>
  <c r="T50" i="21"/>
  <c r="T61" i="21"/>
  <c r="V61" i="21" s="1"/>
  <c r="T245" i="21"/>
  <c r="T202" i="21"/>
  <c r="T310" i="21"/>
  <c r="V310" i="21" s="1"/>
  <c r="T114" i="21"/>
  <c r="V114" i="21" s="1"/>
  <c r="T124" i="21"/>
  <c r="V124" i="21" s="1"/>
  <c r="T193" i="21"/>
  <c r="T144" i="21"/>
  <c r="V144" i="21" s="1"/>
  <c r="T110" i="21"/>
  <c r="T59" i="21"/>
  <c r="U189" i="21"/>
  <c r="U187" i="21"/>
  <c r="U58" i="21"/>
  <c r="U193" i="21"/>
  <c r="U118" i="21"/>
  <c r="U308" i="21"/>
  <c r="U270" i="21"/>
  <c r="U41" i="21"/>
  <c r="U261" i="21"/>
  <c r="U178" i="21"/>
  <c r="U52" i="21"/>
  <c r="T248" i="21"/>
  <c r="T308" i="21"/>
  <c r="T274" i="21"/>
  <c r="V274" i="21" s="1"/>
  <c r="T152" i="21"/>
  <c r="V152" i="21" s="1"/>
  <c r="T285" i="21"/>
  <c r="V285" i="21" s="1"/>
  <c r="T55" i="21"/>
  <c r="T243" i="21"/>
  <c r="T132" i="21"/>
  <c r="T21" i="21"/>
  <c r="V21" i="21" s="1"/>
  <c r="T163" i="21"/>
  <c r="V163" i="21" s="1"/>
  <c r="T122" i="21"/>
  <c r="V122" i="21" s="1"/>
  <c r="T135" i="21"/>
  <c r="V135" i="21" s="1"/>
  <c r="T199" i="21"/>
  <c r="V199" i="21" s="1"/>
  <c r="T260" i="21"/>
  <c r="T291" i="21"/>
  <c r="V291" i="21" s="1"/>
  <c r="T41" i="21"/>
  <c r="T230" i="21"/>
  <c r="V230" i="21" s="1"/>
  <c r="T105" i="21"/>
  <c r="V105" i="21" s="1"/>
  <c r="U121" i="21"/>
  <c r="U62" i="21"/>
  <c r="U297" i="21"/>
  <c r="U46" i="21"/>
  <c r="U276" i="21"/>
  <c r="U19" i="21"/>
  <c r="U241" i="21"/>
  <c r="U260" i="21"/>
  <c r="U55" i="21"/>
  <c r="U263" i="21"/>
  <c r="U16" i="21"/>
  <c r="T171" i="21"/>
  <c r="T109" i="21"/>
  <c r="V109" i="21" s="1"/>
  <c r="T129" i="21"/>
  <c r="V129" i="21" s="1"/>
  <c r="T89" i="21"/>
  <c r="V89" i="21" s="1"/>
  <c r="T259" i="21"/>
  <c r="V259" i="21" s="1"/>
  <c r="T31" i="21"/>
  <c r="T139" i="21"/>
  <c r="V139" i="21" s="1"/>
  <c r="T102" i="21"/>
  <c r="V102" i="21" s="1"/>
  <c r="T150" i="21"/>
  <c r="V150" i="21" s="1"/>
  <c r="T123" i="21"/>
  <c r="T12" i="21"/>
  <c r="V12" i="21" s="1"/>
  <c r="T267" i="21"/>
  <c r="V267" i="21" s="1"/>
  <c r="T54" i="21"/>
  <c r="V54" i="21" s="1"/>
  <c r="T227" i="21"/>
  <c r="V227" i="21" s="1"/>
  <c r="T125" i="21"/>
  <c r="T75" i="21"/>
  <c r="T180" i="21"/>
  <c r="V180" i="21" s="1"/>
  <c r="T15" i="21"/>
  <c r="V15" i="21" s="1"/>
  <c r="T246" i="21"/>
  <c r="T118" i="21"/>
  <c r="T119" i="21"/>
  <c r="T166" i="21"/>
  <c r="V166" i="21" s="1"/>
  <c r="T101" i="21"/>
  <c r="V101" i="21" s="1"/>
  <c r="T224" i="21"/>
  <c r="V224" i="21" s="1"/>
  <c r="T231" i="21"/>
  <c r="U151" i="21"/>
  <c r="U188" i="21"/>
  <c r="U288" i="21"/>
  <c r="U153" i="21"/>
  <c r="U306" i="21"/>
  <c r="U74" i="21"/>
  <c r="U183" i="21"/>
  <c r="T164" i="21"/>
  <c r="V164" i="21" s="1"/>
  <c r="T88" i="21"/>
  <c r="V88" i="21" s="1"/>
  <c r="T93" i="21"/>
  <c r="T219" i="21"/>
  <c r="V219" i="21" s="1"/>
  <c r="T278" i="21"/>
  <c r="V278" i="21" s="1"/>
  <c r="T299" i="21"/>
  <c r="V299" i="21" s="1"/>
  <c r="T240" i="21"/>
  <c r="V240" i="21" s="1"/>
  <c r="T206" i="21"/>
  <c r="V206" i="21" s="1"/>
  <c r="T312" i="21"/>
  <c r="V312" i="21" s="1"/>
  <c r="T35" i="21"/>
  <c r="T85" i="21"/>
  <c r="V85" i="21" s="1"/>
  <c r="T194" i="21"/>
  <c r="V194" i="21" s="1"/>
  <c r="T301" i="21"/>
  <c r="V301" i="21" s="1"/>
  <c r="T26" i="21"/>
  <c r="T138" i="21"/>
  <c r="T80" i="21"/>
  <c r="V80" i="21" s="1"/>
  <c r="T175" i="21"/>
  <c r="V175" i="21" s="1"/>
  <c r="T279" i="21"/>
  <c r="V279" i="21" s="1"/>
  <c r="T100" i="21"/>
  <c r="V100" i="21" s="1"/>
  <c r="T297" i="21"/>
  <c r="V297" i="21" s="1"/>
  <c r="T133" i="21"/>
  <c r="V133" i="21" s="1"/>
  <c r="T140" i="21"/>
  <c r="V140" i="21" s="1"/>
  <c r="T49" i="21"/>
  <c r="V49" i="21" s="1"/>
  <c r="T28" i="21"/>
  <c r="V28" i="21" s="1"/>
  <c r="T292" i="21"/>
  <c r="V292" i="21" s="1"/>
  <c r="T154" i="21"/>
  <c r="T106" i="21"/>
  <c r="V106" i="21" s="1"/>
  <c r="T13" i="21"/>
  <c r="V13" i="21" s="1"/>
  <c r="T261" i="21"/>
  <c r="V261" i="21" s="1"/>
  <c r="T16" i="21"/>
  <c r="T58" i="21"/>
  <c r="V58" i="21" s="1"/>
  <c r="T131" i="21"/>
  <c r="V131" i="21" s="1"/>
  <c r="T303" i="21"/>
  <c r="T258" i="21"/>
  <c r="V258" i="21" s="1"/>
  <c r="T270" i="21"/>
  <c r="V270" i="21" s="1"/>
  <c r="T142" i="21"/>
  <c r="T252" i="21"/>
  <c r="V252" i="21" s="1"/>
  <c r="T104" i="21"/>
  <c r="V104" i="21" s="1"/>
  <c r="T298" i="21"/>
  <c r="V298" i="21" s="1"/>
  <c r="T314" i="21"/>
  <c r="V314" i="21" s="1"/>
  <c r="T265" i="21"/>
  <c r="V265" i="21" s="1"/>
  <c r="T253" i="21"/>
  <c r="U225" i="21"/>
  <c r="V225" i="21" s="1"/>
  <c r="U73" i="21"/>
  <c r="U38" i="21"/>
  <c r="U110" i="21"/>
  <c r="U35" i="21"/>
  <c r="U145" i="21"/>
  <c r="U287" i="21"/>
  <c r="U231" i="21"/>
  <c r="U57" i="21"/>
  <c r="U154" i="21"/>
  <c r="U208" i="21"/>
  <c r="U123" i="21"/>
  <c r="U125" i="21"/>
  <c r="V125" i="21" s="1"/>
  <c r="U119" i="21"/>
  <c r="U245" i="21"/>
  <c r="U226" i="21"/>
  <c r="U186" i="21"/>
  <c r="U156" i="21"/>
  <c r="U26" i="21"/>
  <c r="U75" i="21"/>
  <c r="U47" i="21"/>
  <c r="U111" i="21"/>
  <c r="T86" i="21"/>
  <c r="V86" i="21" s="1"/>
  <c r="T71" i="21"/>
  <c r="V71" i="21" s="1"/>
  <c r="U243" i="21"/>
  <c r="U68" i="21"/>
  <c r="U50" i="21"/>
  <c r="U303" i="21"/>
  <c r="U113" i="21"/>
  <c r="U295" i="21"/>
  <c r="U53" i="21"/>
  <c r="U34" i="21"/>
  <c r="U93" i="21"/>
  <c r="T167" i="21"/>
  <c r="V167" i="21" s="1"/>
  <c r="T98" i="21"/>
  <c r="V98" i="21" s="1"/>
  <c r="T30" i="21"/>
  <c r="T215" i="21"/>
  <c r="V215" i="21" s="1"/>
  <c r="T178" i="21"/>
  <c r="V178" i="21" s="1"/>
  <c r="T48" i="21"/>
  <c r="V48" i="21" s="1"/>
  <c r="T257" i="21"/>
  <c r="V257" i="21" s="1"/>
  <c r="T165" i="21"/>
  <c r="V165" i="21" s="1"/>
  <c r="T284" i="21"/>
  <c r="V284" i="21" s="1"/>
  <c r="T107" i="21"/>
  <c r="V107" i="21" s="1"/>
  <c r="T34" i="21"/>
  <c r="V34" i="21" s="1"/>
  <c r="T37" i="21"/>
  <c r="V37" i="21" s="1"/>
  <c r="T153" i="21"/>
  <c r="T22" i="21"/>
  <c r="V22" i="21" s="1"/>
  <c r="T116" i="21"/>
  <c r="V116" i="21" s="1"/>
  <c r="T189" i="21"/>
  <c r="V189" i="21" s="1"/>
  <c r="T156" i="21"/>
  <c r="V156" i="21" s="1"/>
  <c r="T24" i="21"/>
  <c r="T44" i="21"/>
  <c r="V44" i="21" s="1"/>
  <c r="T151" i="21"/>
  <c r="T29" i="21"/>
  <c r="V29" i="21" s="1"/>
  <c r="T176" i="21"/>
  <c r="V176" i="21" s="1"/>
  <c r="T60" i="21"/>
  <c r="V60" i="21" s="1"/>
  <c r="T99" i="21"/>
  <c r="V99" i="21" s="1"/>
  <c r="T311" i="21"/>
  <c r="V311" i="21" s="1"/>
  <c r="T222" i="21"/>
  <c r="V222" i="21" s="1"/>
  <c r="T10" i="21"/>
  <c r="V10" i="21" s="1"/>
  <c r="U138" i="21"/>
  <c r="U246" i="21"/>
  <c r="U235" i="21"/>
  <c r="U30" i="21"/>
  <c r="U84" i="21"/>
  <c r="T184" i="21"/>
  <c r="V184" i="21" s="1"/>
  <c r="T188" i="21"/>
  <c r="T46" i="21"/>
  <c r="T286" i="21"/>
  <c r="V286" i="21" s="1"/>
  <c r="T182" i="21"/>
  <c r="V182" i="21" s="1"/>
  <c r="T14" i="21"/>
  <c r="V14" i="21" s="1"/>
  <c r="T126" i="21"/>
  <c r="T72" i="21"/>
  <c r="V72" i="21" s="1"/>
  <c r="T162" i="21"/>
  <c r="V162" i="21" s="1"/>
  <c r="T197" i="21"/>
  <c r="V197" i="21" s="1"/>
  <c r="T185" i="21"/>
  <c r="T221" i="21"/>
  <c r="V221" i="21" s="1"/>
  <c r="T95" i="21"/>
  <c r="V95" i="21" s="1"/>
  <c r="T96" i="21"/>
  <c r="T226" i="21"/>
  <c r="T111" i="21"/>
  <c r="T220" i="21"/>
  <c r="V220" i="21" s="1"/>
  <c r="T73" i="21"/>
  <c r="T27" i="21"/>
  <c r="V27" i="21" s="1"/>
  <c r="T300" i="21"/>
  <c r="V300" i="21" s="1"/>
  <c r="T196" i="21"/>
  <c r="V196" i="21" s="1"/>
  <c r="T155" i="21"/>
  <c r="V155" i="21" s="1"/>
  <c r="T283" i="21"/>
  <c r="V283" i="21" s="1"/>
  <c r="T145" i="21"/>
  <c r="T161" i="21"/>
  <c r="V161" i="21" s="1"/>
  <c r="T70" i="21"/>
  <c r="V70" i="21" s="1"/>
  <c r="T20" i="21"/>
  <c r="V20" i="21" s="1"/>
  <c r="T277" i="21"/>
  <c r="V277" i="21" s="1"/>
  <c r="T56" i="21"/>
  <c r="V56" i="21" s="1"/>
  <c r="T244" i="21"/>
  <c r="V244" i="21" s="1"/>
  <c r="T74" i="21"/>
  <c r="T117" i="21"/>
  <c r="V117" i="21" s="1"/>
  <c r="T143" i="21"/>
  <c r="V143" i="21" s="1"/>
  <c r="T229" i="21"/>
  <c r="V229" i="21" s="1"/>
  <c r="T183" i="21"/>
  <c r="T288" i="21"/>
  <c r="T192" i="21"/>
  <c r="V192" i="21" s="1"/>
  <c r="T32" i="21"/>
  <c r="V32" i="21" s="1"/>
  <c r="T130" i="21"/>
  <c r="V130" i="21" s="1"/>
  <c r="T313" i="21"/>
  <c r="V313" i="21" s="1"/>
  <c r="T271" i="21"/>
  <c r="V271" i="21" s="1"/>
  <c r="T134" i="21"/>
  <c r="V134" i="21" s="1"/>
  <c r="T172" i="21"/>
  <c r="T241" i="21"/>
  <c r="T19" i="21"/>
  <c r="T108" i="21"/>
  <c r="V108" i="21" s="1"/>
  <c r="T43" i="21"/>
  <c r="V43" i="21" s="1"/>
  <c r="T242" i="21"/>
  <c r="V242" i="21" s="1"/>
  <c r="T103" i="21"/>
  <c r="V103" i="21" s="1"/>
  <c r="U24" i="21"/>
  <c r="V24" i="21" s="1"/>
  <c r="U90" i="21"/>
  <c r="U146" i="21"/>
  <c r="U202" i="21"/>
  <c r="U234" i="21"/>
  <c r="U132" i="21"/>
  <c r="U248" i="21"/>
  <c r="U31" i="21"/>
  <c r="V31" i="21" s="1"/>
  <c r="U211" i="21"/>
  <c r="U253" i="21"/>
  <c r="V253" i="21" s="1"/>
  <c r="U59" i="21"/>
  <c r="U172" i="21"/>
  <c r="U96" i="21"/>
  <c r="U159" i="21"/>
  <c r="U142" i="21"/>
  <c r="U207" i="21"/>
  <c r="U214" i="21"/>
  <c r="U171" i="21"/>
  <c r="U168" i="21"/>
  <c r="U185" i="21"/>
  <c r="U126" i="21"/>
  <c r="V226" i="21"/>
  <c r="T4" i="21"/>
  <c r="V4" i="21" s="1"/>
  <c r="L1" i="17"/>
  <c r="M60" i="5"/>
  <c r="J145" i="14"/>
  <c r="J143" i="14"/>
  <c r="M61" i="5"/>
  <c r="J164" i="14"/>
  <c r="M119" i="5"/>
  <c r="J121" i="14"/>
  <c r="M65" i="5"/>
  <c r="J152" i="14"/>
  <c r="M59" i="5"/>
  <c r="J212" i="14"/>
  <c r="M51" i="5"/>
  <c r="J32" i="14"/>
  <c r="R122" i="5" s="1"/>
  <c r="J132" i="14"/>
  <c r="R64" i="5" s="1"/>
  <c r="J56" i="14"/>
  <c r="R135" i="5" s="1"/>
  <c r="J38" i="14"/>
  <c r="R72" i="5" s="1"/>
  <c r="J321" i="14"/>
  <c r="R40" i="5" s="1"/>
  <c r="J84" i="14"/>
  <c r="R134" i="5" s="1"/>
  <c r="N133" i="13"/>
  <c r="M103" i="5"/>
  <c r="N27" i="13"/>
  <c r="M168" i="5"/>
  <c r="N84" i="13"/>
  <c r="N153" i="13"/>
  <c r="N166" i="13"/>
  <c r="N58" i="13"/>
  <c r="N165" i="13"/>
  <c r="M172" i="5"/>
  <c r="N263" i="13"/>
  <c r="N237" i="13"/>
  <c r="N155" i="13"/>
  <c r="N4" i="13"/>
  <c r="N194" i="13"/>
  <c r="N54" i="13"/>
  <c r="N258" i="13"/>
  <c r="N73" i="13"/>
  <c r="N40" i="13"/>
  <c r="N41" i="13"/>
  <c r="N244" i="13"/>
  <c r="M118" i="5"/>
  <c r="J197" i="14"/>
  <c r="J118" i="14"/>
  <c r="R130" i="5" s="1"/>
  <c r="M130" i="5"/>
  <c r="J232" i="14"/>
  <c r="M50" i="5"/>
  <c r="J28" i="14"/>
  <c r="M73" i="5"/>
  <c r="J196" i="14"/>
  <c r="M54" i="5"/>
  <c r="J111" i="14"/>
  <c r="M66" i="5"/>
  <c r="J44" i="14"/>
  <c r="R70" i="5" s="1"/>
  <c r="J318" i="14"/>
  <c r="R104" i="5" s="1"/>
  <c r="J240" i="14"/>
  <c r="R49" i="5" s="1"/>
  <c r="J177" i="14"/>
  <c r="R94" i="5" s="1"/>
  <c r="J249" i="14"/>
  <c r="R46" i="5" s="1"/>
  <c r="J119" i="14"/>
  <c r="J289" i="14"/>
  <c r="R44" i="5" s="1"/>
  <c r="J281" i="14"/>
  <c r="R45" i="5" s="1"/>
  <c r="J242" i="14"/>
  <c r="R128" i="5" s="1"/>
  <c r="J243" i="14"/>
  <c r="R47" i="5" s="1"/>
  <c r="J65" i="14"/>
  <c r="R69" i="5" s="1"/>
  <c r="J211" i="14"/>
  <c r="R93" i="5" s="1"/>
  <c r="N285" i="13"/>
  <c r="N126" i="13"/>
  <c r="N154" i="13"/>
  <c r="N176" i="13"/>
  <c r="M161" i="5"/>
  <c r="N290" i="13"/>
  <c r="N118" i="13"/>
  <c r="N81" i="13"/>
  <c r="N188" i="13"/>
  <c r="N305" i="13"/>
  <c r="N296" i="13"/>
  <c r="N245" i="13"/>
  <c r="N152" i="13"/>
  <c r="N218" i="13"/>
  <c r="N184" i="13"/>
  <c r="M174" i="5"/>
  <c r="N177" i="13"/>
  <c r="M162" i="5"/>
  <c r="N9" i="13"/>
  <c r="N243" i="13"/>
  <c r="J109" i="14"/>
  <c r="R133" i="5" s="1"/>
  <c r="J16" i="14"/>
  <c r="R74" i="5" s="1"/>
  <c r="J292" i="14"/>
  <c r="M43" i="5"/>
  <c r="J30" i="14"/>
  <c r="M136" i="5"/>
  <c r="J153" i="14"/>
  <c r="M58" i="5"/>
  <c r="M52" i="5"/>
  <c r="J204" i="14"/>
  <c r="J110" i="14"/>
  <c r="R132" i="5" s="1"/>
  <c r="J234" i="14"/>
  <c r="R108" i="5" s="1"/>
  <c r="J257" i="14"/>
  <c r="R127" i="5" s="1"/>
  <c r="J263" i="14"/>
  <c r="R117" i="5" s="1"/>
  <c r="J12" i="14"/>
  <c r="R98" i="5" s="1"/>
  <c r="J83" i="14"/>
  <c r="R67" i="5" s="1"/>
  <c r="J246" i="14"/>
  <c r="R107" i="5" s="1"/>
  <c r="J70" i="14"/>
  <c r="R68" i="5" s="1"/>
  <c r="J43" i="14"/>
  <c r="R71" i="5" s="1"/>
  <c r="J290" i="14"/>
  <c r="R105" i="5" s="1"/>
  <c r="J91" i="14"/>
  <c r="R120" i="5" s="1"/>
  <c r="J105" i="14"/>
  <c r="R97" i="5" s="1"/>
  <c r="N219" i="13"/>
  <c r="N125" i="13"/>
  <c r="M101" i="5"/>
  <c r="N217" i="13"/>
  <c r="M82" i="5"/>
  <c r="N272" i="13"/>
  <c r="N95" i="13"/>
  <c r="N13" i="13"/>
  <c r="N300" i="13"/>
  <c r="M90" i="5"/>
  <c r="N62" i="13"/>
  <c r="N316" i="13"/>
  <c r="N197" i="13"/>
  <c r="N193" i="13"/>
  <c r="J175" i="14"/>
  <c r="R129" i="5" s="1"/>
  <c r="J141" i="14"/>
  <c r="R62" i="5" s="1"/>
  <c r="J303" i="14"/>
  <c r="M42" i="5"/>
  <c r="J174" i="14"/>
  <c r="R56" i="5" s="1"/>
  <c r="J203" i="14"/>
  <c r="R53" i="5" s="1"/>
  <c r="J154" i="14"/>
  <c r="R109" i="5" s="1"/>
  <c r="J23" i="14"/>
  <c r="R123" i="5" s="1"/>
  <c r="J135" i="14"/>
  <c r="R63" i="5" s="1"/>
  <c r="J114" i="14"/>
  <c r="R131" i="5" s="1"/>
  <c r="J136" i="14"/>
  <c r="R96" i="5" s="1"/>
  <c r="J317" i="14"/>
  <c r="R41" i="5" s="1"/>
  <c r="J39" i="14"/>
  <c r="R121" i="5" s="1"/>
  <c r="J163" i="14"/>
  <c r="R95" i="5" s="1"/>
  <c r="J176" i="14"/>
  <c r="R55" i="5" s="1"/>
  <c r="J85" i="14"/>
  <c r="R110" i="5" s="1"/>
  <c r="N298" i="13"/>
  <c r="M175" i="5"/>
  <c r="N312" i="13"/>
  <c r="N87" i="13"/>
  <c r="N97" i="13"/>
  <c r="M176" i="5"/>
  <c r="N282" i="13"/>
  <c r="N89" i="13"/>
  <c r="N215" i="13"/>
  <c r="N132" i="13"/>
  <c r="M102" i="5"/>
  <c r="N67" i="13"/>
  <c r="N211" i="13"/>
  <c r="M178" i="5"/>
  <c r="N175" i="13"/>
  <c r="N88" i="13"/>
  <c r="N49" i="13"/>
  <c r="N289" i="13"/>
  <c r="N117" i="13"/>
  <c r="M171" i="5"/>
  <c r="N208" i="13"/>
  <c r="M81" i="5"/>
  <c r="N38" i="13"/>
  <c r="M151" i="5"/>
  <c r="N284" i="13"/>
  <c r="N223" i="13"/>
  <c r="J268" i="14"/>
  <c r="R106" i="5" s="1"/>
  <c r="J241" i="14"/>
  <c r="R48" i="5" s="1"/>
  <c r="V183" i="21" l="1"/>
  <c r="V75" i="21"/>
  <c r="V16" i="21"/>
  <c r="V188" i="21"/>
  <c r="V93" i="21"/>
  <c r="V171" i="21"/>
  <c r="V132" i="21"/>
  <c r="V202" i="21"/>
  <c r="V19" i="21"/>
  <c r="V74" i="21"/>
  <c r="V46" i="21"/>
  <c r="V153" i="21"/>
  <c r="V110" i="21"/>
  <c r="V119" i="21"/>
  <c r="V231" i="21"/>
  <c r="V123" i="21"/>
  <c r="V245" i="21"/>
  <c r="V208" i="21"/>
  <c r="V142" i="21"/>
  <c r="V59" i="21"/>
  <c r="V248" i="21"/>
  <c r="V241" i="21"/>
  <c r="V288" i="21"/>
  <c r="V151" i="21"/>
  <c r="V303" i="21"/>
  <c r="V145" i="21"/>
  <c r="V73" i="21"/>
  <c r="V111" i="21"/>
  <c r="V41" i="21"/>
  <c r="V308" i="21"/>
  <c r="V118" i="21"/>
  <c r="V193" i="21"/>
  <c r="T263" i="21"/>
  <c r="V263" i="21" s="1"/>
  <c r="T146" i="21"/>
  <c r="V146" i="21" s="1"/>
  <c r="T52" i="21"/>
  <c r="V52" i="21" s="1"/>
  <c r="T214" i="21"/>
  <c r="V214" i="21" s="1"/>
  <c r="T280" i="21"/>
  <c r="V280" i="21" s="1"/>
  <c r="T306" i="21"/>
  <c r="V306" i="21" s="1"/>
  <c r="T11" i="21"/>
  <c r="V11" i="21" s="1"/>
  <c r="T211" i="21"/>
  <c r="V211" i="21" s="1"/>
  <c r="T234" i="21"/>
  <c r="V234" i="21" s="1"/>
  <c r="T51" i="21"/>
  <c r="V51" i="21" s="1"/>
  <c r="T181" i="21"/>
  <c r="V181" i="21" s="1"/>
  <c r="T121" i="21"/>
  <c r="V121" i="21" s="1"/>
  <c r="T38" i="21"/>
  <c r="V38" i="21" s="1"/>
  <c r="T187" i="21"/>
  <c r="V187" i="21" s="1"/>
  <c r="T159" i="21"/>
  <c r="V159" i="21" s="1"/>
  <c r="V96" i="21"/>
  <c r="V138" i="21"/>
  <c r="V246" i="21"/>
  <c r="V260" i="21"/>
  <c r="V55" i="21"/>
  <c r="T168" i="21"/>
  <c r="V168" i="21" s="1"/>
  <c r="T190" i="21"/>
  <c r="V190" i="21" s="1"/>
  <c r="T39" i="21"/>
  <c r="V39" i="21" s="1"/>
  <c r="T53" i="21"/>
  <c r="V53" i="21" s="1"/>
  <c r="T47" i="21"/>
  <c r="V47" i="21" s="1"/>
  <c r="T207" i="21"/>
  <c r="V207" i="21" s="1"/>
  <c r="T57" i="21"/>
  <c r="V57" i="21" s="1"/>
  <c r="T9" i="21"/>
  <c r="V9" i="21" s="1"/>
  <c r="T7" i="21"/>
  <c r="V7" i="21" s="1"/>
  <c r="T236" i="21"/>
  <c r="V236" i="21" s="1"/>
  <c r="T76" i="21"/>
  <c r="V76" i="21" s="1"/>
  <c r="T276" i="21"/>
  <c r="V276" i="21" s="1"/>
  <c r="T68" i="21"/>
  <c r="V68" i="21" s="1"/>
  <c r="T81" i="21"/>
  <c r="V81" i="21" s="1"/>
  <c r="T147" i="21"/>
  <c r="V147" i="21" s="1"/>
  <c r="T273" i="21"/>
  <c r="V273" i="21" s="1"/>
  <c r="T302" i="21"/>
  <c r="V302" i="21" s="1"/>
  <c r="T295" i="21"/>
  <c r="V295" i="21" s="1"/>
  <c r="T281" i="21"/>
  <c r="V281" i="21" s="1"/>
  <c r="T33" i="21"/>
  <c r="V33" i="21" s="1"/>
  <c r="T228" i="21"/>
  <c r="V228" i="21" s="1"/>
  <c r="T275" i="21"/>
  <c r="V275" i="21" s="1"/>
  <c r="T83" i="21"/>
  <c r="V83" i="21" s="1"/>
  <c r="T62" i="21"/>
  <c r="V62" i="21" s="1"/>
  <c r="T84" i="21"/>
  <c r="V84" i="21" s="1"/>
  <c r="T82" i="21"/>
  <c r="V82" i="21" s="1"/>
  <c r="T186" i="21"/>
  <c r="V186" i="21" s="1"/>
  <c r="T90" i="21"/>
  <c r="V90" i="21" s="1"/>
  <c r="T210" i="21"/>
  <c r="V210" i="21" s="1"/>
  <c r="T287" i="21"/>
  <c r="V287" i="21" s="1"/>
  <c r="T113" i="21"/>
  <c r="V113" i="21" s="1"/>
  <c r="T148" i="21"/>
  <c r="V148" i="21" s="1"/>
  <c r="T235" i="21"/>
  <c r="V235" i="21" s="1"/>
  <c r="T249" i="21"/>
  <c r="V249" i="21" s="1"/>
  <c r="T149" i="21"/>
  <c r="V149" i="21" s="1"/>
  <c r="T79" i="21"/>
  <c r="V79" i="21" s="1"/>
  <c r="V172" i="21"/>
  <c r="V185" i="21"/>
  <c r="V126" i="21"/>
  <c r="V30" i="21"/>
  <c r="V154" i="21"/>
  <c r="V26" i="21"/>
  <c r="V35" i="21"/>
  <c r="V243" i="21"/>
  <c r="V50" i="21"/>
  <c r="M124" i="5"/>
  <c r="M125" i="5"/>
  <c r="M157" i="5"/>
  <c r="M166" i="5"/>
  <c r="M116" i="5"/>
  <c r="M147" i="5"/>
  <c r="M140" i="5"/>
  <c r="M79" i="5"/>
  <c r="M113" i="5"/>
  <c r="M143" i="5"/>
  <c r="M170" i="5"/>
  <c r="M139" i="5"/>
  <c r="M154" i="5"/>
  <c r="M169" i="5"/>
  <c r="M164" i="5"/>
  <c r="M111" i="5"/>
  <c r="M179" i="5"/>
  <c r="M100" i="5"/>
  <c r="M167" i="5"/>
  <c r="M144" i="5"/>
  <c r="M87" i="5"/>
  <c r="M156" i="5"/>
  <c r="M114" i="5"/>
  <c r="M150" i="5"/>
  <c r="M158" i="5"/>
  <c r="M146" i="5"/>
  <c r="M155" i="5"/>
  <c r="M142" i="5"/>
  <c r="M153" i="5"/>
  <c r="M83" i="5"/>
  <c r="M115" i="5"/>
  <c r="M159" i="5"/>
  <c r="M173" i="5"/>
  <c r="M112" i="5"/>
  <c r="M165" i="5"/>
  <c r="M163" i="5"/>
  <c r="M149" i="5"/>
  <c r="M141" i="5"/>
  <c r="M152" i="5"/>
  <c r="M99" i="5"/>
  <c r="M137" i="5"/>
  <c r="M160" i="5"/>
  <c r="M177" i="5"/>
  <c r="M148" i="5"/>
  <c r="M85" i="5"/>
  <c r="M126" i="5"/>
  <c r="M145" i="5"/>
  <c r="M138" i="5"/>
  <c r="T191" i="21"/>
  <c r="V191" i="21" s="1"/>
  <c r="R2" i="5"/>
  <c r="S2" i="5" s="1"/>
  <c r="M86" i="5" l="1"/>
  <c r="T254" i="21"/>
  <c r="V254" i="21" s="1"/>
  <c r="V1" i="21" s="1"/>
  <c r="P1" i="13"/>
  <c r="M4" i="14" l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M84" i="14" s="1"/>
  <c r="M85" i="14" s="1"/>
  <c r="M86" i="14" s="1"/>
  <c r="M87" i="14" s="1"/>
  <c r="M88" i="14" s="1"/>
  <c r="M89" i="14" s="1"/>
  <c r="M90" i="14" s="1"/>
  <c r="M91" i="14" s="1"/>
  <c r="M92" i="14" s="1"/>
  <c r="M93" i="14" s="1"/>
  <c r="M94" i="14" s="1"/>
  <c r="M95" i="14" s="1"/>
  <c r="M96" i="14" s="1"/>
  <c r="M97" i="14" s="1"/>
  <c r="M98" i="14" s="1"/>
  <c r="M99" i="14" s="1"/>
  <c r="M100" i="14" s="1"/>
  <c r="M101" i="14" s="1"/>
  <c r="M102" i="14" s="1"/>
  <c r="M103" i="14" s="1"/>
  <c r="M104" i="14" s="1"/>
  <c r="M105" i="14" s="1"/>
  <c r="M106" i="14" s="1"/>
  <c r="M107" i="14" s="1"/>
  <c r="M108" i="14" s="1"/>
  <c r="M109" i="14" s="1"/>
  <c r="M110" i="14" s="1"/>
  <c r="M111" i="14" s="1"/>
  <c r="M112" i="14" s="1"/>
  <c r="M113" i="14" s="1"/>
  <c r="M114" i="14" s="1"/>
  <c r="M115" i="14" s="1"/>
  <c r="M116" i="14" s="1"/>
  <c r="M117" i="14" s="1"/>
  <c r="M118" i="14" s="1"/>
  <c r="M119" i="14" s="1"/>
  <c r="M120" i="14" s="1"/>
  <c r="M121" i="14" s="1"/>
  <c r="M122" i="14" s="1"/>
  <c r="M123" i="14" s="1"/>
  <c r="M124" i="14" s="1"/>
  <c r="M125" i="14" s="1"/>
  <c r="M126" i="14" s="1"/>
  <c r="M127" i="14" s="1"/>
  <c r="M128" i="14" s="1"/>
  <c r="M129" i="14" s="1"/>
  <c r="M130" i="14" s="1"/>
  <c r="M131" i="14" s="1"/>
  <c r="M132" i="14" s="1"/>
  <c r="M133" i="14" s="1"/>
  <c r="M134" i="14" s="1"/>
  <c r="M135" i="14" s="1"/>
  <c r="M136" i="14" s="1"/>
  <c r="M137" i="14" s="1"/>
  <c r="M138" i="14" s="1"/>
  <c r="M139" i="14" s="1"/>
  <c r="M140" i="14" s="1"/>
  <c r="M141" i="14" s="1"/>
  <c r="M142" i="14" s="1"/>
  <c r="M143" i="14" s="1"/>
  <c r="M144" i="14" s="1"/>
  <c r="M145" i="14" s="1"/>
  <c r="M146" i="14" s="1"/>
  <c r="M147" i="14" s="1"/>
  <c r="M148" i="14" s="1"/>
  <c r="M149" i="14" s="1"/>
  <c r="M150" i="14" s="1"/>
  <c r="M151" i="14" s="1"/>
  <c r="M152" i="14" s="1"/>
  <c r="M153" i="14" s="1"/>
  <c r="M154" i="14" s="1"/>
  <c r="M155" i="14" s="1"/>
  <c r="M156" i="14" s="1"/>
  <c r="M157" i="14" s="1"/>
  <c r="M158" i="14" s="1"/>
  <c r="M159" i="14" s="1"/>
  <c r="M160" i="14" s="1"/>
  <c r="M161" i="14" s="1"/>
  <c r="M162" i="14" s="1"/>
  <c r="M163" i="14" s="1"/>
  <c r="M164" i="14" s="1"/>
  <c r="M165" i="14" s="1"/>
  <c r="M166" i="14" s="1"/>
  <c r="M167" i="14" s="1"/>
  <c r="M168" i="14" s="1"/>
  <c r="M169" i="14" s="1"/>
  <c r="M170" i="14" s="1"/>
  <c r="M171" i="14" s="1"/>
  <c r="M172" i="14" s="1"/>
  <c r="M173" i="14" s="1"/>
  <c r="M174" i="14" s="1"/>
  <c r="M175" i="14" s="1"/>
  <c r="M176" i="14" s="1"/>
  <c r="M177" i="14" s="1"/>
  <c r="M178" i="14" s="1"/>
  <c r="M179" i="14" s="1"/>
  <c r="M180" i="14" s="1"/>
  <c r="M181" i="14" s="1"/>
  <c r="M182" i="14" s="1"/>
  <c r="M183" i="14" s="1"/>
  <c r="M184" i="14" s="1"/>
  <c r="M185" i="14" s="1"/>
  <c r="M186" i="14" s="1"/>
  <c r="M187" i="14" s="1"/>
  <c r="M188" i="14" s="1"/>
  <c r="M189" i="14" s="1"/>
  <c r="M190" i="14" s="1"/>
  <c r="M191" i="14" s="1"/>
  <c r="M192" i="14" s="1"/>
  <c r="M193" i="14" s="1"/>
  <c r="M194" i="14" s="1"/>
  <c r="M195" i="14" s="1"/>
  <c r="M196" i="14" s="1"/>
  <c r="M197" i="14" s="1"/>
  <c r="M198" i="14" s="1"/>
  <c r="M199" i="14" s="1"/>
  <c r="M200" i="14" s="1"/>
  <c r="M201" i="14" s="1"/>
  <c r="M202" i="14" s="1"/>
  <c r="M203" i="14" s="1"/>
  <c r="M204" i="14" s="1"/>
  <c r="M205" i="14" s="1"/>
  <c r="M206" i="14" s="1"/>
  <c r="M207" i="14" s="1"/>
  <c r="M208" i="14" s="1"/>
  <c r="M209" i="14" s="1"/>
  <c r="M210" i="14" s="1"/>
  <c r="M211" i="14" s="1"/>
  <c r="M212" i="14" s="1"/>
  <c r="M213" i="14" s="1"/>
  <c r="M214" i="14" s="1"/>
  <c r="M215" i="14" s="1"/>
  <c r="M216" i="14" s="1"/>
  <c r="M217" i="14" s="1"/>
  <c r="M218" i="14" s="1"/>
  <c r="M219" i="14" s="1"/>
  <c r="M220" i="14" s="1"/>
  <c r="M221" i="14" s="1"/>
  <c r="M222" i="14" s="1"/>
  <c r="M223" i="14" s="1"/>
  <c r="M224" i="14" s="1"/>
  <c r="M225" i="14" s="1"/>
  <c r="M226" i="14" s="1"/>
  <c r="M227" i="14" s="1"/>
  <c r="M228" i="14" s="1"/>
  <c r="M229" i="14" s="1"/>
  <c r="M230" i="14" s="1"/>
  <c r="M231" i="14" s="1"/>
  <c r="M232" i="14" s="1"/>
  <c r="M233" i="14" s="1"/>
  <c r="M234" i="14" s="1"/>
  <c r="M235" i="14" s="1"/>
  <c r="M236" i="14" s="1"/>
  <c r="M237" i="14" s="1"/>
  <c r="M238" i="14" s="1"/>
  <c r="M239" i="14" s="1"/>
  <c r="M240" i="14" s="1"/>
  <c r="M241" i="14" s="1"/>
  <c r="M242" i="14" s="1"/>
  <c r="M243" i="14" s="1"/>
  <c r="M244" i="14" s="1"/>
  <c r="M245" i="14" s="1"/>
  <c r="M246" i="14" s="1"/>
  <c r="M247" i="14" s="1"/>
  <c r="M248" i="14" s="1"/>
  <c r="M249" i="14" s="1"/>
  <c r="M250" i="14" s="1"/>
  <c r="M251" i="14" s="1"/>
  <c r="M252" i="14" s="1"/>
  <c r="M253" i="14" s="1"/>
  <c r="M254" i="14" s="1"/>
  <c r="M255" i="14" s="1"/>
  <c r="M256" i="14" s="1"/>
  <c r="M257" i="14" s="1"/>
  <c r="M258" i="14" s="1"/>
  <c r="M259" i="14" s="1"/>
  <c r="M260" i="14" s="1"/>
  <c r="M261" i="14" s="1"/>
  <c r="M262" i="14" s="1"/>
  <c r="M263" i="14" s="1"/>
  <c r="M264" i="14" s="1"/>
  <c r="M265" i="14" s="1"/>
  <c r="M266" i="14" s="1"/>
  <c r="M267" i="14" s="1"/>
  <c r="M268" i="14" s="1"/>
  <c r="M269" i="14" s="1"/>
  <c r="M270" i="14" s="1"/>
  <c r="M271" i="14" s="1"/>
  <c r="M272" i="14" s="1"/>
  <c r="M273" i="14" s="1"/>
  <c r="M274" i="14" s="1"/>
  <c r="M275" i="14" s="1"/>
  <c r="M276" i="14" s="1"/>
  <c r="M277" i="14" s="1"/>
  <c r="M278" i="14" s="1"/>
  <c r="M279" i="14" s="1"/>
  <c r="M280" i="14" s="1"/>
  <c r="M281" i="14" s="1"/>
  <c r="M282" i="14" s="1"/>
  <c r="M283" i="14" s="1"/>
  <c r="M284" i="14" s="1"/>
  <c r="M285" i="14" s="1"/>
  <c r="M286" i="14" s="1"/>
  <c r="M287" i="14" s="1"/>
  <c r="M288" i="14" s="1"/>
  <c r="M289" i="14" s="1"/>
  <c r="M290" i="14" s="1"/>
  <c r="M291" i="14" s="1"/>
  <c r="M292" i="14" s="1"/>
  <c r="M293" i="14" s="1"/>
  <c r="M294" i="14" s="1"/>
  <c r="M295" i="14" s="1"/>
  <c r="M296" i="14" s="1"/>
  <c r="M297" i="14" s="1"/>
  <c r="M298" i="14" s="1"/>
  <c r="M299" i="14" s="1"/>
  <c r="M300" i="14" s="1"/>
  <c r="M301" i="14" s="1"/>
  <c r="M302" i="14" s="1"/>
  <c r="M303" i="14" s="1"/>
  <c r="M304" i="14" s="1"/>
  <c r="M305" i="14" s="1"/>
  <c r="M306" i="14" s="1"/>
  <c r="M307" i="14" s="1"/>
  <c r="M308" i="14" s="1"/>
  <c r="M309" i="14" s="1"/>
  <c r="M310" i="14" s="1"/>
  <c r="M311" i="14" s="1"/>
  <c r="M312" i="14" s="1"/>
  <c r="M313" i="14" s="1"/>
  <c r="M314" i="14" s="1"/>
  <c r="M315" i="14" s="1"/>
  <c r="M316" i="14" s="1"/>
  <c r="M317" i="14" s="1"/>
  <c r="M318" i="14" s="1"/>
  <c r="M319" i="14" s="1"/>
  <c r="M320" i="14" s="1"/>
  <c r="M321" i="14" s="1"/>
  <c r="M322" i="14" s="1"/>
  <c r="M323" i="14" s="1"/>
  <c r="M324" i="14" s="1"/>
  <c r="N4" i="19"/>
  <c r="N5" i="19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N84" i="19" s="1"/>
  <c r="N85" i="19" s="1"/>
  <c r="N86" i="19" s="1"/>
  <c r="N87" i="19" s="1"/>
  <c r="N88" i="19" s="1"/>
  <c r="N89" i="19" s="1"/>
  <c r="N90" i="19" s="1"/>
  <c r="N91" i="19" s="1"/>
  <c r="N92" i="19" s="1"/>
  <c r="N93" i="19" s="1"/>
  <c r="N94" i="19" s="1"/>
  <c r="N95" i="19" s="1"/>
  <c r="N96" i="19" s="1"/>
  <c r="N97" i="19" s="1"/>
  <c r="N98" i="19" s="1"/>
  <c r="N99" i="19" s="1"/>
  <c r="N100" i="19" s="1"/>
  <c r="N101" i="19" s="1"/>
  <c r="N102" i="19" s="1"/>
  <c r="N103" i="19" s="1"/>
  <c r="N104" i="19" s="1"/>
  <c r="N105" i="19" s="1"/>
  <c r="N106" i="19" s="1"/>
  <c r="N107" i="19" s="1"/>
  <c r="N108" i="19" s="1"/>
  <c r="N109" i="19" s="1"/>
  <c r="N110" i="19" s="1"/>
  <c r="N111" i="19" s="1"/>
  <c r="N112" i="19" s="1"/>
  <c r="N113" i="19" s="1"/>
  <c r="N114" i="19" s="1"/>
  <c r="N115" i="19" s="1"/>
  <c r="N116" i="19" s="1"/>
  <c r="N117" i="19" s="1"/>
  <c r="N118" i="19" s="1"/>
  <c r="N119" i="19" s="1"/>
  <c r="N120" i="19" s="1"/>
  <c r="N121" i="19" s="1"/>
  <c r="N122" i="19" s="1"/>
  <c r="N123" i="19" s="1"/>
  <c r="N124" i="19" s="1"/>
  <c r="N125" i="19" s="1"/>
  <c r="N126" i="19" s="1"/>
  <c r="N127" i="19" s="1"/>
  <c r="N128" i="19" s="1"/>
  <c r="N129" i="19" s="1"/>
  <c r="N130" i="19" s="1"/>
  <c r="N131" i="19" s="1"/>
  <c r="N132" i="19" s="1"/>
  <c r="N133" i="19" s="1"/>
  <c r="N134" i="19" s="1"/>
  <c r="N135" i="19" s="1"/>
  <c r="N136" i="19" s="1"/>
  <c r="N137" i="19" s="1"/>
  <c r="N138" i="19" s="1"/>
  <c r="N139" i="19" s="1"/>
  <c r="N140" i="19" s="1"/>
  <c r="N141" i="19" s="1"/>
  <c r="N142" i="19" s="1"/>
  <c r="N143" i="19" s="1"/>
  <c r="N144" i="19" s="1"/>
  <c r="N145" i="19" s="1"/>
  <c r="N146" i="19" s="1"/>
  <c r="N147" i="19" s="1"/>
  <c r="N148" i="19" s="1"/>
  <c r="N149" i="19" s="1"/>
  <c r="N150" i="19" s="1"/>
  <c r="N151" i="19" s="1"/>
  <c r="N152" i="19" s="1"/>
  <c r="N153" i="19" s="1"/>
  <c r="N154" i="19" s="1"/>
  <c r="N155" i="19" s="1"/>
  <c r="N156" i="19" s="1"/>
  <c r="N157" i="19" s="1"/>
  <c r="N158" i="19" s="1"/>
  <c r="N159" i="19" s="1"/>
  <c r="N160" i="19" s="1"/>
  <c r="N161" i="19" s="1"/>
  <c r="N162" i="19" s="1"/>
  <c r="N163" i="19" s="1"/>
  <c r="N164" i="19" s="1"/>
  <c r="N165" i="19" s="1"/>
  <c r="N166" i="19" s="1"/>
  <c r="N167" i="19" s="1"/>
  <c r="N168" i="19" s="1"/>
  <c r="N169" i="19" s="1"/>
  <c r="N170" i="19" s="1"/>
  <c r="N171" i="19" s="1"/>
  <c r="N172" i="19" s="1"/>
  <c r="N173" i="19" s="1"/>
  <c r="N174" i="19" s="1"/>
  <c r="N175" i="19" s="1"/>
  <c r="N176" i="19" s="1"/>
  <c r="N177" i="19" s="1"/>
  <c r="N178" i="19" s="1"/>
  <c r="N179" i="19" s="1"/>
  <c r="N180" i="19" s="1"/>
  <c r="N181" i="19" s="1"/>
  <c r="N182" i="19" s="1"/>
  <c r="N183" i="19" s="1"/>
  <c r="N184" i="19" s="1"/>
  <c r="N185" i="19" s="1"/>
  <c r="N186" i="19" s="1"/>
  <c r="N187" i="19" s="1"/>
  <c r="N188" i="19" s="1"/>
  <c r="N189" i="19" s="1"/>
  <c r="N190" i="19" s="1"/>
  <c r="N191" i="19" s="1"/>
  <c r="N192" i="19" s="1"/>
  <c r="N193" i="19" s="1"/>
  <c r="N194" i="19" s="1"/>
  <c r="N195" i="19" s="1"/>
  <c r="N196" i="19" s="1"/>
  <c r="N197" i="19" s="1"/>
  <c r="N198" i="19" s="1"/>
  <c r="N199" i="19" s="1"/>
  <c r="N200" i="19" s="1"/>
  <c r="N201" i="19" s="1"/>
  <c r="N202" i="19" s="1"/>
  <c r="N203" i="19" s="1"/>
  <c r="N204" i="19" s="1"/>
  <c r="N205" i="19" s="1"/>
  <c r="N206" i="19" s="1"/>
  <c r="N207" i="19" s="1"/>
  <c r="N208" i="19" s="1"/>
  <c r="N209" i="19" s="1"/>
  <c r="N210" i="19" s="1"/>
  <c r="N211" i="19" s="1"/>
  <c r="N212" i="19" s="1"/>
  <c r="N213" i="19" s="1"/>
  <c r="N214" i="19" s="1"/>
  <c r="N215" i="19" s="1"/>
  <c r="N216" i="19" s="1"/>
  <c r="N217" i="19" s="1"/>
  <c r="N218" i="19" s="1"/>
  <c r="N219" i="19" s="1"/>
  <c r="N220" i="19" s="1"/>
  <c r="N221" i="19" s="1"/>
  <c r="N222" i="19" s="1"/>
  <c r="N223" i="19" s="1"/>
  <c r="N224" i="19" s="1"/>
  <c r="N225" i="19" s="1"/>
  <c r="N226" i="19" s="1"/>
  <c r="N227" i="19" s="1"/>
  <c r="N228" i="19" s="1"/>
  <c r="N229" i="19" s="1"/>
  <c r="N230" i="19" s="1"/>
  <c r="N231" i="19" s="1"/>
  <c r="N232" i="19" s="1"/>
  <c r="N233" i="19" s="1"/>
  <c r="N234" i="19" s="1"/>
  <c r="N235" i="19" s="1"/>
  <c r="N236" i="19" s="1"/>
  <c r="N237" i="19" s="1"/>
  <c r="N238" i="19" s="1"/>
  <c r="N239" i="19" s="1"/>
  <c r="N240" i="19" s="1"/>
  <c r="N241" i="19" s="1"/>
  <c r="N242" i="19" s="1"/>
  <c r="N243" i="19" s="1"/>
  <c r="N244" i="19" s="1"/>
  <c r="N245" i="19" s="1"/>
  <c r="N246" i="19" s="1"/>
  <c r="N247" i="19" s="1"/>
  <c r="N248" i="19" s="1"/>
  <c r="N249" i="19" s="1"/>
  <c r="N250" i="19" s="1"/>
  <c r="N251" i="19" s="1"/>
  <c r="N252" i="19" s="1"/>
  <c r="N253" i="19" s="1"/>
  <c r="N254" i="19" s="1"/>
  <c r="N255" i="19" s="1"/>
  <c r="N256" i="19" s="1"/>
  <c r="N257" i="19" s="1"/>
  <c r="N258" i="19" s="1"/>
  <c r="N259" i="19" s="1"/>
  <c r="N260" i="19" s="1"/>
  <c r="N261" i="19" s="1"/>
  <c r="N262" i="19" s="1"/>
  <c r="N263" i="19" s="1"/>
  <c r="N264" i="19" s="1"/>
  <c r="N265" i="19" s="1"/>
  <c r="N266" i="19" s="1"/>
  <c r="N267" i="19" s="1"/>
  <c r="N268" i="19" s="1"/>
  <c r="N269" i="19" s="1"/>
  <c r="N270" i="19" s="1"/>
  <c r="N271" i="19" s="1"/>
  <c r="N272" i="19" s="1"/>
  <c r="N273" i="19" s="1"/>
  <c r="N274" i="19" s="1"/>
  <c r="N275" i="19" s="1"/>
  <c r="N276" i="19" s="1"/>
  <c r="N277" i="19" s="1"/>
  <c r="N278" i="19" s="1"/>
  <c r="N279" i="19" s="1"/>
  <c r="N280" i="19" s="1"/>
  <c r="N281" i="19" s="1"/>
  <c r="N282" i="19" s="1"/>
  <c r="N283" i="19" s="1"/>
  <c r="N284" i="19" s="1"/>
  <c r="N285" i="19" s="1"/>
  <c r="N286" i="19" s="1"/>
  <c r="N287" i="19" s="1"/>
  <c r="N288" i="19" s="1"/>
  <c r="N289" i="19" s="1"/>
  <c r="N290" i="19" s="1"/>
  <c r="N291" i="19" s="1"/>
  <c r="N292" i="19" s="1"/>
  <c r="N293" i="19" s="1"/>
  <c r="N294" i="19" s="1"/>
  <c r="N295" i="19" s="1"/>
  <c r="N296" i="19" s="1"/>
  <c r="N297" i="19" s="1"/>
  <c r="N298" i="19" s="1"/>
  <c r="N299" i="19" s="1"/>
  <c r="N300" i="19" s="1"/>
  <c r="N301" i="19" s="1"/>
  <c r="N302" i="19" s="1"/>
  <c r="N303" i="19" s="1"/>
  <c r="N304" i="19" s="1"/>
  <c r="N305" i="19" s="1"/>
  <c r="N306" i="19" s="1"/>
  <c r="N307" i="19" s="1"/>
  <c r="N308" i="19" s="1"/>
  <c r="N309" i="19" s="1"/>
  <c r="N310" i="19" s="1"/>
  <c r="N311" i="19" s="1"/>
  <c r="N312" i="19" s="1"/>
  <c r="N313" i="19" s="1"/>
  <c r="N314" i="19" s="1"/>
  <c r="N315" i="19" s="1"/>
  <c r="N316" i="19" s="1"/>
  <c r="N317" i="19" s="1"/>
  <c r="N318" i="19" s="1"/>
  <c r="N319" i="19" s="1"/>
  <c r="N320" i="19" s="1"/>
  <c r="N321" i="19" s="1"/>
  <c r="N322" i="19" s="1"/>
  <c r="N323" i="19" s="1"/>
  <c r="N324" i="19" s="1"/>
  <c r="O4" i="13" l="1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O84" i="13" s="1"/>
  <c r="O85" i="13" s="1"/>
  <c r="O86" i="13" s="1"/>
  <c r="O87" i="13" s="1"/>
  <c r="O88" i="13" s="1"/>
  <c r="O89" i="13" s="1"/>
  <c r="O90" i="13" s="1"/>
  <c r="O91" i="13" s="1"/>
  <c r="O92" i="13" s="1"/>
  <c r="O93" i="13" s="1"/>
  <c r="O94" i="13" s="1"/>
  <c r="O95" i="13" s="1"/>
  <c r="O96" i="13" s="1"/>
  <c r="O97" i="13" s="1"/>
  <c r="O98" i="13" s="1"/>
  <c r="O99" i="13" s="1"/>
  <c r="O100" i="13" s="1"/>
  <c r="O101" i="13" s="1"/>
  <c r="O102" i="13" s="1"/>
  <c r="O103" i="13" s="1"/>
  <c r="O104" i="13" s="1"/>
  <c r="O105" i="13" s="1"/>
  <c r="O106" i="13" s="1"/>
  <c r="O107" i="13" s="1"/>
  <c r="O108" i="13" s="1"/>
  <c r="O109" i="13" s="1"/>
  <c r="O110" i="13" s="1"/>
  <c r="O111" i="13" s="1"/>
  <c r="O112" i="13" s="1"/>
  <c r="O113" i="13" s="1"/>
  <c r="O114" i="13" s="1"/>
  <c r="O115" i="13" s="1"/>
  <c r="O116" i="13" s="1"/>
  <c r="O117" i="13" s="1"/>
  <c r="O118" i="13" s="1"/>
  <c r="O119" i="13" s="1"/>
  <c r="O120" i="13" s="1"/>
  <c r="O121" i="13" s="1"/>
  <c r="O122" i="13" s="1"/>
  <c r="O123" i="13" s="1"/>
  <c r="O124" i="13" s="1"/>
  <c r="O125" i="13" s="1"/>
  <c r="O126" i="13" s="1"/>
  <c r="O127" i="13" s="1"/>
  <c r="O128" i="13" s="1"/>
  <c r="O129" i="13" s="1"/>
  <c r="O130" i="13" s="1"/>
  <c r="O131" i="13" s="1"/>
  <c r="O132" i="13" s="1"/>
  <c r="O133" i="13" s="1"/>
  <c r="O134" i="13" s="1"/>
  <c r="O135" i="13" s="1"/>
  <c r="O136" i="13" s="1"/>
  <c r="O137" i="13" s="1"/>
  <c r="O138" i="13" s="1"/>
  <c r="O139" i="13" s="1"/>
  <c r="O140" i="13" s="1"/>
  <c r="O141" i="13" s="1"/>
  <c r="O142" i="13" s="1"/>
  <c r="O143" i="13" s="1"/>
  <c r="O144" i="13" s="1"/>
  <c r="O145" i="13" s="1"/>
  <c r="O146" i="13" s="1"/>
  <c r="O147" i="13" s="1"/>
  <c r="O148" i="13" s="1"/>
  <c r="O149" i="13" s="1"/>
  <c r="O150" i="13" s="1"/>
  <c r="O151" i="13" s="1"/>
  <c r="O152" i="13" s="1"/>
  <c r="O153" i="13" s="1"/>
  <c r="O154" i="13" s="1"/>
  <c r="O155" i="13" s="1"/>
  <c r="O156" i="13" s="1"/>
  <c r="O157" i="13" s="1"/>
  <c r="O158" i="13" s="1"/>
  <c r="O159" i="13" s="1"/>
  <c r="O160" i="13" s="1"/>
  <c r="O161" i="13" s="1"/>
  <c r="O162" i="13" s="1"/>
  <c r="O163" i="13" s="1"/>
  <c r="O164" i="13" s="1"/>
  <c r="O165" i="13" s="1"/>
  <c r="O166" i="13" s="1"/>
  <c r="O167" i="13" s="1"/>
  <c r="O168" i="13" s="1"/>
  <c r="O169" i="13" s="1"/>
  <c r="O170" i="13" s="1"/>
  <c r="O171" i="13" s="1"/>
  <c r="O172" i="13" s="1"/>
  <c r="O173" i="13" s="1"/>
  <c r="O174" i="13" s="1"/>
  <c r="O175" i="13" s="1"/>
  <c r="O176" i="13" s="1"/>
  <c r="O177" i="13" s="1"/>
  <c r="O178" i="13" s="1"/>
  <c r="O179" i="13" s="1"/>
  <c r="O180" i="13" s="1"/>
  <c r="O181" i="13" s="1"/>
  <c r="O182" i="13" s="1"/>
  <c r="O183" i="13" s="1"/>
  <c r="O184" i="13" s="1"/>
  <c r="O185" i="13" s="1"/>
  <c r="O186" i="13" s="1"/>
  <c r="O187" i="13" s="1"/>
  <c r="O188" i="13" s="1"/>
  <c r="O189" i="13" s="1"/>
  <c r="O190" i="13" s="1"/>
  <c r="O191" i="13" s="1"/>
  <c r="O192" i="13" s="1"/>
  <c r="O193" i="13" s="1"/>
  <c r="O194" i="13" s="1"/>
  <c r="O195" i="13" s="1"/>
  <c r="O196" i="13" s="1"/>
  <c r="O197" i="13" s="1"/>
  <c r="O198" i="13" s="1"/>
  <c r="O199" i="13" s="1"/>
  <c r="O200" i="13" s="1"/>
  <c r="O201" i="13" s="1"/>
  <c r="O202" i="13" s="1"/>
  <c r="O203" i="13" s="1"/>
  <c r="O204" i="13" s="1"/>
  <c r="O205" i="13" s="1"/>
  <c r="O206" i="13" s="1"/>
  <c r="O207" i="13" s="1"/>
  <c r="O208" i="13" s="1"/>
  <c r="O209" i="13" s="1"/>
  <c r="O210" i="13" s="1"/>
  <c r="O211" i="13" s="1"/>
  <c r="O212" i="13" s="1"/>
  <c r="O213" i="13" s="1"/>
  <c r="O214" i="13" s="1"/>
  <c r="O215" i="13" s="1"/>
  <c r="O216" i="13" s="1"/>
  <c r="O217" i="13" s="1"/>
  <c r="O218" i="13" s="1"/>
  <c r="O219" i="13" s="1"/>
  <c r="O220" i="13" s="1"/>
  <c r="O221" i="13" s="1"/>
  <c r="O222" i="13" s="1"/>
  <c r="O223" i="13" s="1"/>
  <c r="O224" i="13" s="1"/>
  <c r="O225" i="13" s="1"/>
  <c r="O226" i="13" s="1"/>
  <c r="O227" i="13" s="1"/>
  <c r="O228" i="13" s="1"/>
  <c r="O229" i="13" s="1"/>
  <c r="O230" i="13" s="1"/>
  <c r="O231" i="13" s="1"/>
  <c r="O232" i="13" s="1"/>
  <c r="O233" i="13" s="1"/>
  <c r="O234" i="13" s="1"/>
  <c r="O235" i="13" s="1"/>
  <c r="O236" i="13" s="1"/>
  <c r="O237" i="13" s="1"/>
  <c r="O238" i="13" s="1"/>
  <c r="O239" i="13" s="1"/>
  <c r="O240" i="13" s="1"/>
  <c r="O241" i="13" s="1"/>
  <c r="O242" i="13" s="1"/>
  <c r="O243" i="13" s="1"/>
  <c r="O244" i="13" s="1"/>
  <c r="O245" i="13" s="1"/>
  <c r="O246" i="13" s="1"/>
  <c r="O247" i="13" s="1"/>
  <c r="O248" i="13" s="1"/>
  <c r="O249" i="13" s="1"/>
  <c r="O250" i="13" s="1"/>
  <c r="O251" i="13" s="1"/>
  <c r="O252" i="13" s="1"/>
  <c r="O253" i="13" s="1"/>
  <c r="O254" i="13" s="1"/>
  <c r="O255" i="13" s="1"/>
  <c r="O256" i="13" s="1"/>
  <c r="O257" i="13" s="1"/>
  <c r="O258" i="13" s="1"/>
  <c r="O259" i="13" s="1"/>
  <c r="O260" i="13" s="1"/>
  <c r="O261" i="13" s="1"/>
  <c r="O262" i="13" s="1"/>
  <c r="O263" i="13" s="1"/>
  <c r="O264" i="13" s="1"/>
  <c r="O265" i="13" s="1"/>
  <c r="O266" i="13" s="1"/>
  <c r="O267" i="13" s="1"/>
  <c r="O268" i="13" s="1"/>
  <c r="O269" i="13" s="1"/>
  <c r="O270" i="13" s="1"/>
  <c r="O271" i="13" s="1"/>
  <c r="O272" i="13" s="1"/>
  <c r="O273" i="13" s="1"/>
  <c r="O274" i="13" s="1"/>
  <c r="O275" i="13" s="1"/>
  <c r="O276" i="13" s="1"/>
  <c r="O277" i="13" s="1"/>
  <c r="O278" i="13" s="1"/>
  <c r="O279" i="13" s="1"/>
  <c r="O280" i="13" s="1"/>
  <c r="O281" i="13" s="1"/>
  <c r="O282" i="13" s="1"/>
  <c r="O283" i="13" s="1"/>
  <c r="O284" i="13" s="1"/>
  <c r="O285" i="13" s="1"/>
  <c r="O286" i="13" s="1"/>
  <c r="O287" i="13" s="1"/>
  <c r="O288" i="13" s="1"/>
  <c r="O289" i="13" s="1"/>
  <c r="O290" i="13" s="1"/>
  <c r="O291" i="13" s="1"/>
  <c r="O292" i="13" s="1"/>
  <c r="O293" i="13" s="1"/>
  <c r="O294" i="13" s="1"/>
  <c r="O295" i="13" s="1"/>
  <c r="O296" i="13" s="1"/>
  <c r="O297" i="13" s="1"/>
  <c r="O298" i="13" s="1"/>
  <c r="O299" i="13" s="1"/>
  <c r="O300" i="13" s="1"/>
  <c r="O301" i="13" s="1"/>
  <c r="O302" i="13" s="1"/>
  <c r="O303" i="13" s="1"/>
  <c r="O304" i="13" s="1"/>
  <c r="O305" i="13" s="1"/>
  <c r="O306" i="13" s="1"/>
  <c r="O307" i="13" s="1"/>
  <c r="O308" i="13" s="1"/>
  <c r="O309" i="13" s="1"/>
  <c r="O310" i="13" s="1"/>
  <c r="O311" i="13" s="1"/>
  <c r="O312" i="13" s="1"/>
  <c r="O313" i="13" s="1"/>
  <c r="O314" i="13" s="1"/>
  <c r="O315" i="13" s="1"/>
  <c r="O316" i="13" s="1"/>
  <c r="O317" i="13" s="1"/>
  <c r="O318" i="13" s="1"/>
  <c r="O319" i="13" s="1"/>
  <c r="O320" i="13" s="1"/>
  <c r="O321" i="13" s="1"/>
  <c r="O322" i="13" s="1"/>
  <c r="O323" i="13" s="1"/>
  <c r="O324" i="13" s="1"/>
</calcChain>
</file>

<file path=xl/sharedStrings.xml><?xml version="1.0" encoding="utf-8"?>
<sst xmlns="http://schemas.openxmlformats.org/spreadsheetml/2006/main" count="5880" uniqueCount="489">
  <si>
    <t>completed costs</t>
  </si>
  <si>
    <t>known costs</t>
  </si>
  <si>
    <t>future costs</t>
  </si>
  <si>
    <t>Count</t>
  </si>
  <si>
    <t>needs to be edited</t>
  </si>
  <si>
    <t>BOROUGH</t>
  </si>
  <si>
    <t>PROGRAM AREA</t>
  </si>
  <si>
    <t>DEVELOPMENT</t>
  </si>
  <si>
    <t>NRR</t>
  </si>
  <si>
    <t>Priority Level</t>
  </si>
  <si>
    <t>RAD/PACT</t>
  </si>
  <si>
    <t>WORK TYPE</t>
  </si>
  <si>
    <t>FUNDING SOURCE</t>
  </si>
  <si>
    <t>CITY FUNDS</t>
  </si>
  <si>
    <t>FEDERAL FUNDS</t>
  </si>
  <si>
    <t>TOTAL FUNDS</t>
  </si>
  <si>
    <t xml:space="preserve">FUND YEAR </t>
  </si>
  <si>
    <t>CALENDAR YEAR</t>
  </si>
  <si>
    <t>FISCAL YEAR</t>
  </si>
  <si>
    <t>STATUS</t>
  </si>
  <si>
    <t>COMPLETED</t>
  </si>
  <si>
    <t>COST</t>
  </si>
  <si>
    <t>ESTIMATES</t>
  </si>
  <si>
    <t>RESOURCE</t>
  </si>
  <si>
    <t>Notes</t>
  </si>
  <si>
    <t xml:space="preserve">Waste Management </t>
  </si>
  <si>
    <t>BUSHWICK</t>
  </si>
  <si>
    <t>Enlarge Hopper Door</t>
  </si>
  <si>
    <t>City Expense</t>
  </si>
  <si>
    <t>IN-CONSTRUCTION</t>
  </si>
  <si>
    <t>JOCS CONTRACTS</t>
  </si>
  <si>
    <t>BUTLER</t>
  </si>
  <si>
    <t>CLAREMONT REHAB (GROUP 3)</t>
  </si>
  <si>
    <t>NYCHA Operating</t>
  </si>
  <si>
    <t>CLAREMONT REHAB (GROUP 4)</t>
  </si>
  <si>
    <t>JACKSON</t>
  </si>
  <si>
    <t>LA GUARDIA</t>
  </si>
  <si>
    <t>LAFAYETTE</t>
  </si>
  <si>
    <t>MARCY</t>
  </si>
  <si>
    <t>MELROSE</t>
  </si>
  <si>
    <t>MORRIS I</t>
  </si>
  <si>
    <t>MORRISANIA AIR RIGHTS</t>
  </si>
  <si>
    <t>ROOSEVELT I</t>
  </si>
  <si>
    <t>RUTGERS</t>
  </si>
  <si>
    <t>SMITH</t>
  </si>
  <si>
    <t>SUMNER</t>
  </si>
  <si>
    <t>TOMPKINS</t>
  </si>
  <si>
    <t>WEBSTER</t>
  </si>
  <si>
    <t>BARUCH HOUSES ADDITION</t>
  </si>
  <si>
    <t>Food Waste Disposer</t>
  </si>
  <si>
    <t>MELTZER TOWER</t>
  </si>
  <si>
    <t>TWO BRIDGES URA (SITE 7)</t>
  </si>
  <si>
    <t>Cardboard Baler</t>
  </si>
  <si>
    <t>UP-COMING</t>
  </si>
  <si>
    <t>FROM BALER INSTALL</t>
  </si>
  <si>
    <t>RIIS</t>
  </si>
  <si>
    <t>VLADECK</t>
  </si>
  <si>
    <t>45 ALLEN STREET</t>
  </si>
  <si>
    <t>BARUCH</t>
  </si>
  <si>
    <t>BRACETTI PLAZA</t>
  </si>
  <si>
    <t>CAMPOS PLAZA II</t>
  </si>
  <si>
    <t>GOMPERS</t>
  </si>
  <si>
    <t>LOWER EAST SIDE I INFILL</t>
  </si>
  <si>
    <t>LOWER EAST SIDE II</t>
  </si>
  <si>
    <t>LOWER EAST SIDE REHAB (GROUP 5)</t>
  </si>
  <si>
    <t>SEWARD PARK EXTENSION</t>
  </si>
  <si>
    <t>WALD</t>
  </si>
  <si>
    <t>131 SAINT NICHOLAS AVENUE</t>
  </si>
  <si>
    <t>Exterior Compactors</t>
  </si>
  <si>
    <t>335 EAST 111TH STREET</t>
  </si>
  <si>
    <t>AUDUBON</t>
  </si>
  <si>
    <t>BETHUNE GARDENS</t>
  </si>
  <si>
    <t>BORINQUEN PLAZA II</t>
  </si>
  <si>
    <t>BRONX RIVER</t>
  </si>
  <si>
    <t>CORSI HOUSES</t>
  </si>
  <si>
    <t>DOUGLASS ADDITION</t>
  </si>
  <si>
    <t>DOUGLASS II</t>
  </si>
  <si>
    <t>DREW-HAMILTON</t>
  </si>
  <si>
    <t>EAST RIVER</t>
  </si>
  <si>
    <t>FORT WASHINGTON AVENUE REHAB</t>
  </si>
  <si>
    <t>GRAMPION</t>
  </si>
  <si>
    <t>GRANT</t>
  </si>
  <si>
    <t>HARLEM RIVER II</t>
  </si>
  <si>
    <t>JOHNSON</t>
  </si>
  <si>
    <t>KINGSBOROUGH</t>
  </si>
  <si>
    <t>Federal</t>
  </si>
  <si>
    <t>WMP JOCS SOW SELECTION</t>
  </si>
  <si>
    <t>MANHATTANVILLE REHAB (GROUP 2)</t>
  </si>
  <si>
    <t>MANHATTANVILLE REHAB (GROUP 3)</t>
  </si>
  <si>
    <t>MARSHALL PLAZA</t>
  </si>
  <si>
    <t>METRO NORTH PLAZA</t>
  </si>
  <si>
    <t>MOORE</t>
  </si>
  <si>
    <t>MORRIS PARK SENIOR CITIZENS HOME</t>
  </si>
  <si>
    <t>PARK AVENUE-EAST 122ND, 123RD STREETS</t>
  </si>
  <si>
    <t>PUBLIC SCHOOL 139 (CONVERSION)</t>
  </si>
  <si>
    <t>SAMUEL (CITY)</t>
  </si>
  <si>
    <t>SOUTH BRONX AREA (SITE 402)</t>
  </si>
  <si>
    <t>STEBBINS AVENUE-HEWITT PLACE</t>
  </si>
  <si>
    <t>UNION AVENUE-EAST 163RD STREET</t>
  </si>
  <si>
    <t>UNION AVENUE-EAST 166TH STREET</t>
  </si>
  <si>
    <t>UPACA (SITE 6)</t>
  </si>
  <si>
    <t>WASHINGTON HEIGHTS REHAB PHASE III</t>
  </si>
  <si>
    <t>WHITE</t>
  </si>
  <si>
    <t>LA GUARDIA ADDITION</t>
  </si>
  <si>
    <t>RIIS II</t>
  </si>
  <si>
    <t>DAVIDSON</t>
  </si>
  <si>
    <t>Interior Compactors</t>
  </si>
  <si>
    <t>ROBINSON</t>
  </si>
  <si>
    <t>VLADECK II</t>
  </si>
  <si>
    <t>Bulk Crusher</t>
  </si>
  <si>
    <t>Need to speak to Real Estate about relocating compactors</t>
  </si>
  <si>
    <t>FULTON</t>
  </si>
  <si>
    <t>JEFFERSON</t>
  </si>
  <si>
    <t>LINCOLN</t>
  </si>
  <si>
    <t>MONROE</t>
  </si>
  <si>
    <t>RANGEL</t>
  </si>
  <si>
    <t>WILSON</t>
  </si>
  <si>
    <t>HARLEM RIVER</t>
  </si>
  <si>
    <t>303 VERNON AVENUE</t>
  </si>
  <si>
    <t>BORINQUEN PLAZA I</t>
  </si>
  <si>
    <t>CARVER</t>
  </si>
  <si>
    <t>EAST 180TH STREET-MONTEREY AVENUE</t>
  </si>
  <si>
    <t>MANHATTANVILLE</t>
  </si>
  <si>
    <t>SAINT MARY'S PARK</t>
  </si>
  <si>
    <t>CLAREMONT PARKWAY-FRANKLIN AVENUE</t>
  </si>
  <si>
    <t>LEXINGTON</t>
  </si>
  <si>
    <t>UPACA (SITE 5)</t>
  </si>
  <si>
    <t>WAGNER</t>
  </si>
  <si>
    <t>TAFT</t>
  </si>
  <si>
    <t>CLINTON</t>
  </si>
  <si>
    <t>DOUGLASS I</t>
  </si>
  <si>
    <t>KING TOWERS</t>
  </si>
  <si>
    <t>PATTERSON</t>
  </si>
  <si>
    <t>POLO GROUNDS TOWERS</t>
  </si>
  <si>
    <t>QUEENSBRIDGE NORTH</t>
  </si>
  <si>
    <t>QUEENSBRIDGE SOUTH</t>
  </si>
  <si>
    <t>SAINT NICHOLAS</t>
  </si>
  <si>
    <t>WASHINGTON</t>
  </si>
  <si>
    <t>TWIN PARKS EAST (SITE 9)</t>
  </si>
  <si>
    <t>HYLAN</t>
  </si>
  <si>
    <t>MORRIS II</t>
  </si>
  <si>
    <t>Electric Tilt Truck</t>
  </si>
  <si>
    <t>BEDFORD-STUYVESANT REHAB</t>
  </si>
  <si>
    <t>CLAREMONT REHAB (GROUP 2)</t>
  </si>
  <si>
    <t>CLAREMONT REHAB (GROUP 5)</t>
  </si>
  <si>
    <t>COLLEGE AVENUE-EAST 165TH STREET</t>
  </si>
  <si>
    <t>LEHMAN VILLAGE</t>
  </si>
  <si>
    <t>MORRISANIA</t>
  </si>
  <si>
    <t>ROOSEVELT II</t>
  </si>
  <si>
    <t>TELLER AVENUE-EAST 166TH STREET</t>
  </si>
  <si>
    <t>Mattress Recycling</t>
  </si>
  <si>
    <t>Secondary collection areas</t>
  </si>
  <si>
    <t>Is RAD/PACT w/in 5yr</t>
  </si>
  <si>
    <t>FWD Estimate</t>
  </si>
  <si>
    <t>EHD Estimate</t>
  </si>
  <si>
    <t>Interior Compactor Estimate</t>
  </si>
  <si>
    <t>Waste Yard Estimate</t>
  </si>
  <si>
    <t>SUM per Development</t>
  </si>
  <si>
    <t>1010 EAST 178TH STREET</t>
  </si>
  <si>
    <t>104-14 TAPSCOTT STREET</t>
  </si>
  <si>
    <t>1162-1176 WASHINGTON AVENUE</t>
  </si>
  <si>
    <t>1471 WATSON AVENUE</t>
  </si>
  <si>
    <t>154 WEST 84TH STREET</t>
  </si>
  <si>
    <t>344 EAST 28TH STREET</t>
  </si>
  <si>
    <t>572 WARREN STREET</t>
  </si>
  <si>
    <t>830 AMSTERDAM AVENUE</t>
  </si>
  <si>
    <t>ADAMS</t>
  </si>
  <si>
    <t>ALBANY</t>
  </si>
  <si>
    <t>ALBANY II</t>
  </si>
  <si>
    <t>AMSTERDAM</t>
  </si>
  <si>
    <t>AMSTERDAM ADDITION</t>
  </si>
  <si>
    <t>ARMSTRONG I</t>
  </si>
  <si>
    <t>ARMSTRONG II</t>
  </si>
  <si>
    <t>ASTORIA</t>
  </si>
  <si>
    <t>ATLANTIC TERMINAL SITE 4B</t>
  </si>
  <si>
    <t>BAILEY AVENUE-WEST 193RD STREET</t>
  </si>
  <si>
    <t>BAISLEY PARK</t>
  </si>
  <si>
    <t>BAY VIEW</t>
  </si>
  <si>
    <t>BEACH 41ST STREET-BEACH CHANNEL DRIVE</t>
  </si>
  <si>
    <t>BELMONT-SUTTER AREA</t>
  </si>
  <si>
    <t>BERRY</t>
  </si>
  <si>
    <t>BERRY STREET-SOUTH 9TH STREET</t>
  </si>
  <si>
    <t>BLAND</t>
  </si>
  <si>
    <t>BOSTON ROAD PLAZA</t>
  </si>
  <si>
    <t>BOSTON SECOR</t>
  </si>
  <si>
    <t>BOULEVARD</t>
  </si>
  <si>
    <t>BOYNTON AVENUE REHAB</t>
  </si>
  <si>
    <t>BREUKELEN</t>
  </si>
  <si>
    <t>BREVOORT</t>
  </si>
  <si>
    <t>BRONX RIVER ADDITION</t>
  </si>
  <si>
    <t>BROWN</t>
  </si>
  <si>
    <t>BROWNSVILLE</t>
  </si>
  <si>
    <t>BRYANT AVENUE-EAST 174TH STREET</t>
  </si>
  <si>
    <t>CAREY GARDENS</t>
  </si>
  <si>
    <t>CARLETON MANOR</t>
  </si>
  <si>
    <t>CASSIDY-LAFAYETTE</t>
  </si>
  <si>
    <t>CASTLE HILL</t>
  </si>
  <si>
    <t>CHELSEA</t>
  </si>
  <si>
    <t>CHELSEA ADDITION</t>
  </si>
  <si>
    <t>CLASON POINT GARDENS</t>
  </si>
  <si>
    <t>CONEY ISLAND</t>
  </si>
  <si>
    <t>CONEY ISLAND I (SITE 1B)</t>
  </si>
  <si>
    <t>CONEY ISLAND I (SITE 8)</t>
  </si>
  <si>
    <t>CONEY ISLAND I (SITES 4 &amp; 5)</t>
  </si>
  <si>
    <t>CONLON LIHFE TOWER</t>
  </si>
  <si>
    <t>COOPER PARK</t>
  </si>
  <si>
    <t>CROWN HEIGHTS</t>
  </si>
  <si>
    <t>CYPRESS HILLS</t>
  </si>
  <si>
    <t>DE HOSTOS APARTMENTS</t>
  </si>
  <si>
    <t>DYCKMAN</t>
  </si>
  <si>
    <t>EAGLE AVENUE-EAST 163RD STREET</t>
  </si>
  <si>
    <t>EAST 152ND STREET-COURTLANDT AVENUE</t>
  </si>
  <si>
    <t>EAST 165TH STREET-BRYANT AVENUE</t>
  </si>
  <si>
    <t>EAST 173RD STREET-VYSE AVENUE</t>
  </si>
  <si>
    <t>EAST NEW YORK CITY LINE</t>
  </si>
  <si>
    <t>EASTCHESTER GARDENS</t>
  </si>
  <si>
    <t>EDENWALD</t>
  </si>
  <si>
    <t>ELLIOTT</t>
  </si>
  <si>
    <t>FARRAGUT</t>
  </si>
  <si>
    <t>FENIMORE-LEFFERTS</t>
  </si>
  <si>
    <t>FHA REPOSSESSED HOUSES (GROUP I)</t>
  </si>
  <si>
    <t>FHA REPOSSESSED HOUSES (GROUP II)</t>
  </si>
  <si>
    <t>FHA REPOSSESSED HOUSES (GROUP III)</t>
  </si>
  <si>
    <t>FHA REPOSSESSED HOUSES (GROUP IV)</t>
  </si>
  <si>
    <t>FHA REPOSSESSED HOUSES (GROUP IX)</t>
  </si>
  <si>
    <t>FHA REPOSSESSED HOUSES (GROUP V)</t>
  </si>
  <si>
    <t>FHA REPOSSESSED HOUSES (GROUP VI)</t>
  </si>
  <si>
    <t>FHA REPOSSESSED HOUSES (GROUP VII)</t>
  </si>
  <si>
    <t>FHA REPOSSESSED HOUSES (GROUP VIII)</t>
  </si>
  <si>
    <t>FHA REPOSSESSED HOUSES (GROUP X)</t>
  </si>
  <si>
    <t>FIORENTINO PLAZA</t>
  </si>
  <si>
    <t>FIRST HOUSES</t>
  </si>
  <si>
    <t>FOREST</t>
  </si>
  <si>
    <t>FORT INDEPENDENCE STREET-HEATH AVENUE</t>
  </si>
  <si>
    <t>GARVEY (GROUP A)</t>
  </si>
  <si>
    <t>GLEBE AVENUE-WESTCHESTER AVENUE</t>
  </si>
  <si>
    <t>GLENMORE PLAZA</t>
  </si>
  <si>
    <t>GLENWOOD</t>
  </si>
  <si>
    <t>GOWANUS</t>
  </si>
  <si>
    <t>GRAVESEND</t>
  </si>
  <si>
    <t>GUN HILL</t>
  </si>
  <si>
    <t>HABER</t>
  </si>
  <si>
    <t>HAMMEL</t>
  </si>
  <si>
    <t>HARBORVIEW TERRACE</t>
  </si>
  <si>
    <t>HARRISON AVENUE REHAB (GROUP A)</t>
  </si>
  <si>
    <t>HARRISON AVENUE REHAB (GROUP B)</t>
  </si>
  <si>
    <t>HERNANDEZ</t>
  </si>
  <si>
    <t>HIGHBRIDGE GARDENS</t>
  </si>
  <si>
    <t>HOE AVENUE-EAST 173RD STREET</t>
  </si>
  <si>
    <t>HOLMES TOWERS</t>
  </si>
  <si>
    <t>HOWARD</t>
  </si>
  <si>
    <t>HOWARD AVENUE</t>
  </si>
  <si>
    <t>HOWARD AVENUE-PARK PLACE</t>
  </si>
  <si>
    <t>HUGHES APARTMENTS</t>
  </si>
  <si>
    <t>HUNTS POINT AVENUE REHAB</t>
  </si>
  <si>
    <t>INDEPENDENCE</t>
  </si>
  <si>
    <t>INGERSOLL</t>
  </si>
  <si>
    <t>INTERNATIONAL TOWER</t>
  </si>
  <si>
    <t>ISAACS</t>
  </si>
  <si>
    <t>KINGSBOROUGH EXTENSION</t>
  </si>
  <si>
    <t>LATIMER GARDENS</t>
  </si>
  <si>
    <t>LEAVITT STREET-34TH AVENUE</t>
  </si>
  <si>
    <t>LENOX ROAD-ROCKAWAY PARKWAY</t>
  </si>
  <si>
    <t>LINDEN</t>
  </si>
  <si>
    <t>LONG ISLAND BAPTIST HOUSES</t>
  </si>
  <si>
    <t>LONGFELLOW AVENUE REHAB</t>
  </si>
  <si>
    <t>LOW HOUSES</t>
  </si>
  <si>
    <t>LOWER EAST SIDE III</t>
  </si>
  <si>
    <t>MARBLE HILL</t>
  </si>
  <si>
    <t>MARCY AVENUE-GREENE AVENUE SITE A</t>
  </si>
  <si>
    <t>MARCY AVENUE-GREENE AVENUE SITE B</t>
  </si>
  <si>
    <t>MARINER'S HARBOR</t>
  </si>
  <si>
    <t>MARLBORO</t>
  </si>
  <si>
    <t>MCKINLEY</t>
  </si>
  <si>
    <t>MIDDLETOWN PLAZA</t>
  </si>
  <si>
    <t>MILL BROOK</t>
  </si>
  <si>
    <t>MILL BROOK EXTENSION</t>
  </si>
  <si>
    <t>MITCHEL</t>
  </si>
  <si>
    <t>MOTT HAVEN</t>
  </si>
  <si>
    <t>NEW LANE AREA</t>
  </si>
  <si>
    <t>NOSTRAND</t>
  </si>
  <si>
    <t>OCEAN BAY APARTMENTS (OCEANSIDE)</t>
  </si>
  <si>
    <t>OCEAN HILL APARTMENTS</t>
  </si>
  <si>
    <t>OCEAN HILL-BROWNSVILLE</t>
  </si>
  <si>
    <t>O'DWYER GARDENS</t>
  </si>
  <si>
    <t>PARK ROCK REHAB</t>
  </si>
  <si>
    <t>PARKSIDE</t>
  </si>
  <si>
    <t>PELHAM PARKWAY</t>
  </si>
  <si>
    <t>PENNSYLVANIA AVENUE-WORTMAN AVENUE</t>
  </si>
  <si>
    <t>PINK</t>
  </si>
  <si>
    <t>POMONOK</t>
  </si>
  <si>
    <t>RALPH AVENUE REHAB</t>
  </si>
  <si>
    <t>RANDALL AVENUE-BALCOM AVENUE</t>
  </si>
  <si>
    <t>RAVENSWOOD</t>
  </si>
  <si>
    <t>RED HOOK EAST</t>
  </si>
  <si>
    <t>RED HOOK WEST</t>
  </si>
  <si>
    <t>REDFERN</t>
  </si>
  <si>
    <t>REHAB PROGRAM (COLLEGE POINT)</t>
  </si>
  <si>
    <t>REHAB PROGRAM (DOUGLASS REHABS)</t>
  </si>
  <si>
    <t>REHAB PROGRAM (TAFT REHABS)</t>
  </si>
  <si>
    <t>REHAB PROGRAM (WISE REHAB)</t>
  </si>
  <si>
    <t>REID APARTMENTS</t>
  </si>
  <si>
    <t>RICHMOND TERRACE</t>
  </si>
  <si>
    <t>ROBBINS PLAZA</t>
  </si>
  <si>
    <t>RUTLAND TOWERS</t>
  </si>
  <si>
    <t>SACK WERN</t>
  </si>
  <si>
    <t>SAMUEL (MHOP) I</t>
  </si>
  <si>
    <t>SAMUEL (MHOP) II</t>
  </si>
  <si>
    <t>SAMUEL (MHOP) III</t>
  </si>
  <si>
    <t>SARATOGA VILLAGE</t>
  </si>
  <si>
    <t>SEDGWICK</t>
  </si>
  <si>
    <t>SHEEPSHEAD BAY</t>
  </si>
  <si>
    <t>SHELTON HOUSE</t>
  </si>
  <si>
    <t>SOTOMAYOR HOUSES</t>
  </si>
  <si>
    <t>SOUNDVIEW</t>
  </si>
  <si>
    <t>SOUTH BEACH</t>
  </si>
  <si>
    <t>SOUTH JAMAICA I</t>
  </si>
  <si>
    <t>SOUTH JAMAICA II</t>
  </si>
  <si>
    <t>STANTON STREET</t>
  </si>
  <si>
    <t>STAPLETON</t>
  </si>
  <si>
    <t>STERLING PLACE REHABS (SAINT JOHNS-STERLING)</t>
  </si>
  <si>
    <t>STERLING PLACE REHABS (STERLING-BUFFALO)</t>
  </si>
  <si>
    <t>STRAUS</t>
  </si>
  <si>
    <t>STUYVESANT GARDENS I</t>
  </si>
  <si>
    <t>STUYVESANT GARDENS II</t>
  </si>
  <si>
    <t>SURFSIDE GARDENS</t>
  </si>
  <si>
    <t>SUTTER AVENUE-UNION STREET</t>
  </si>
  <si>
    <t>TAPSCOTT STREET REHAB</t>
  </si>
  <si>
    <t>TAYLOR STREET-WYTHE AVENUE</t>
  </si>
  <si>
    <t>THOMAS APARTMENTS</t>
  </si>
  <si>
    <t>THROGGS NECK</t>
  </si>
  <si>
    <t>THROGGS NECK ADDITION</t>
  </si>
  <si>
    <t>TILDEN</t>
  </si>
  <si>
    <t>TODT HILL</t>
  </si>
  <si>
    <t>UNITY PLAZA (SITES 17,24,25A)</t>
  </si>
  <si>
    <t>UNITY PLAZA (SITES 4-27)</t>
  </si>
  <si>
    <t>UNIVERSITY AVENUE REHAB</t>
  </si>
  <si>
    <t>VAN DYKE I</t>
  </si>
  <si>
    <t>VAN DYKE II</t>
  </si>
  <si>
    <t>VANDALIA AVENUE</t>
  </si>
  <si>
    <t>WASHINGTON HEIGHTS REHAB (GROUPS 1&amp;2)</t>
  </si>
  <si>
    <t>WASHINGTON HEIGHTS REHAB PHASE III (FORT WASHINGTON)</t>
  </si>
  <si>
    <t>WASHINGTON HEIGHTS REHAB PHASE III (HARLEM RIVER)</t>
  </si>
  <si>
    <t>WASHINGTON HEIGHTS REHAB PHASE IV (C)</t>
  </si>
  <si>
    <t>WASHINGTON HEIGHTS REHAB PHASE IV (D)</t>
  </si>
  <si>
    <t>WEEKSVILLE GARDENS</t>
  </si>
  <si>
    <t>WEST BRIGHTON I</t>
  </si>
  <si>
    <t>WEST BRIGHTON II</t>
  </si>
  <si>
    <t>WEST FARMS ROAD REHAB</t>
  </si>
  <si>
    <t>WEST FARMS SQUARE CONVENTIONAL</t>
  </si>
  <si>
    <t>WEST TREMONT AVENUE-SEDGWICK AVENUE AREA</t>
  </si>
  <si>
    <t>WHITMAN</t>
  </si>
  <si>
    <t>WILLIAMS PLAZA</t>
  </si>
  <si>
    <t>WILLIAMSBURG</t>
  </si>
  <si>
    <t>WISE TOWERS</t>
  </si>
  <si>
    <t>WOODSIDE</t>
  </si>
  <si>
    <t>WOODSON</t>
  </si>
  <si>
    <t>WSUR (BROWNSTONES)</t>
  </si>
  <si>
    <t>WSUR (SITE A) 120 WEST 94TH STREET</t>
  </si>
  <si>
    <t>WSUR (SITE B) 74 WEST 92ND STREET</t>
  </si>
  <si>
    <t>WSUR (SITE C) 589 AMSTERDAM AVENUE</t>
  </si>
  <si>
    <t>WYCKOFF GARDENS</t>
  </si>
  <si>
    <t>Data Source:</t>
  </si>
  <si>
    <t>2,4</t>
  </si>
  <si>
    <t>1,4</t>
  </si>
  <si>
    <t>TDS</t>
  </si>
  <si>
    <t>DUs</t>
  </si>
  <si>
    <t># Buildings</t>
  </si>
  <si>
    <t># Interior Compactors</t>
  </si>
  <si>
    <t># Interior Compactors to Replace</t>
  </si>
  <si>
    <t># Exterior Compactors</t>
  </si>
  <si>
    <t># Exterior Compactors to Replace</t>
  </si>
  <si>
    <t># Bulk Crushers</t>
  </si>
  <si>
    <t># Bulk Crushers to Install</t>
  </si>
  <si>
    <t>Dwelling Units</t>
  </si>
  <si>
    <t>ESTIMATE</t>
  </si>
  <si>
    <t>Running Cost/Yr</t>
  </si>
  <si>
    <t>IN PROGRESS</t>
  </si>
  <si>
    <t>BUSHWICK II (GROUPS A &amp; C)</t>
  </si>
  <si>
    <t>BUSHWICK II (GROUPS B &amp; D)</t>
  </si>
  <si>
    <t>BUSHWICK II CDA (GROUP E)</t>
  </si>
  <si>
    <t>HOPE GARDENS</t>
  </si>
  <si>
    <t>LAVANBURG HOMES</t>
  </si>
  <si>
    <t>PALMETTO GARDENS</t>
  </si>
  <si>
    <t># Hopper Doors</t>
  </si>
  <si>
    <t>DOUGLASS</t>
  </si>
  <si>
    <t>PSS GRANDPARENT FAMILY APARTMENTS</t>
  </si>
  <si>
    <t>RANDOLPH SOUTH</t>
  </si>
  <si>
    <t># Ext. Compactors to Replace</t>
  </si>
  <si>
    <t>E&amp;S Priority</t>
  </si>
  <si>
    <t>RAD/PACT by 2025</t>
  </si>
  <si>
    <t>ext comp age?</t>
  </si>
  <si>
    <t>Estimate</t>
  </si>
  <si>
    <t>est. Year</t>
  </si>
  <si>
    <t>HUD Waste Management Action Plan pilot</t>
  </si>
  <si>
    <t>FHA handles their own waste</t>
  </si>
  <si>
    <t>Need to ask Real Estate about yard location</t>
  </si>
  <si>
    <t>Pt III</t>
  </si>
  <si>
    <t>Pt II</t>
  </si>
  <si>
    <t>total sum</t>
  </si>
  <si>
    <t>Row Labels</t>
  </si>
  <si>
    <t>Sum of COST</t>
  </si>
  <si>
    <t>Sum of ESTIMATES</t>
  </si>
  <si>
    <t>Grand Total</t>
  </si>
  <si>
    <t>total</t>
  </si>
  <si>
    <t>Bronx</t>
  </si>
  <si>
    <t>Brooklyn</t>
  </si>
  <si>
    <t>BRONX</t>
  </si>
  <si>
    <t>Manhattan</t>
  </si>
  <si>
    <t>Queens</t>
  </si>
  <si>
    <t>Staten Island</t>
  </si>
  <si>
    <t>BROOKLYN</t>
  </si>
  <si>
    <t>MANHATTAN</t>
  </si>
  <si>
    <t>QUEENS</t>
  </si>
  <si>
    <t>sum</t>
  </si>
  <si>
    <t>NRR Pt I</t>
  </si>
  <si>
    <t>Harlem Ext.</t>
  </si>
  <si>
    <t>Pt I</t>
  </si>
  <si>
    <t>NRR Ext.</t>
  </si>
  <si>
    <t xml:space="preserve">inflation </t>
  </si>
  <si>
    <t># Int. Compactors to Replace</t>
  </si>
  <si>
    <t>AGE (2019) (Y)</t>
  </si>
  <si>
    <t># to Replace</t>
  </si>
  <si>
    <t>inflation</t>
  </si>
  <si>
    <t>Cost per Development</t>
  </si>
  <si>
    <t>DSNY Priority</t>
  </si>
  <si>
    <t>DSNY Comments</t>
  </si>
  <si>
    <t>Waste Management</t>
  </si>
  <si>
    <t>CPD PROJECT MANAGEMENT</t>
  </si>
  <si>
    <t>Bulk Crushers</t>
  </si>
  <si>
    <t>Exterior Compactors (New)</t>
  </si>
  <si>
    <t>Exterior Compactors (Replacement)</t>
  </si>
  <si>
    <t>LES II</t>
  </si>
  <si>
    <t>Work Type</t>
  </si>
  <si>
    <t>Unit Cost</t>
  </si>
  <si>
    <t>Funding</t>
  </si>
  <si>
    <t>capital</t>
  </si>
  <si>
    <t>expense</t>
  </si>
  <si>
    <t>per year</t>
  </si>
  <si>
    <t>Tilt Trucks</t>
  </si>
  <si>
    <t>Trash Cans</t>
  </si>
  <si>
    <t>New Waste Yard v1</t>
  </si>
  <si>
    <t>2 auger compactors</t>
  </si>
  <si>
    <t>New Waste Yard v2</t>
  </si>
  <si>
    <t>1 bulk auger compactor</t>
  </si>
  <si>
    <t>New Waste Yard v3</t>
  </si>
  <si>
    <t>3 auger compactors</t>
  </si>
  <si>
    <t>New Waste Yard v4</t>
  </si>
  <si>
    <t>4 auger compactors</t>
  </si>
  <si>
    <t>New Waste Yard v5</t>
  </si>
  <si>
    <t>5 auger compactors</t>
  </si>
  <si>
    <t>New Waste Yard v6</t>
  </si>
  <si>
    <t>6 auger compactors</t>
  </si>
  <si>
    <t>New Waste Yard v7</t>
  </si>
  <si>
    <t>7 auger compactors</t>
  </si>
  <si>
    <t>Managed By</t>
  </si>
  <si>
    <t># Stairhalls</t>
  </si>
  <si>
    <t>Int. Compactor Install</t>
  </si>
  <si>
    <t>Ext. Compactor Install</t>
  </si>
  <si>
    <t>Secondary Collection Areas</t>
  </si>
  <si>
    <t>DSNY - # ext affected</t>
  </si>
  <si>
    <t>DSNY - replacement/new</t>
  </si>
  <si>
    <t>DSNY - notes</t>
  </si>
  <si>
    <t>Newtown Creek</t>
  </si>
  <si>
    <t>PNA Ext.</t>
  </si>
  <si>
    <t>PNA Int.</t>
  </si>
  <si>
    <t>Bulk Install Date</t>
  </si>
  <si>
    <t># Ext RUL &lt;=5</t>
  </si>
  <si>
    <t># Int RUL &lt;=5</t>
  </si>
  <si>
    <t>311 Developments</t>
  </si>
  <si>
    <t>Zone 2</t>
  </si>
  <si>
    <t>$</t>
  </si>
  <si>
    <t>Zone 1</t>
  </si>
  <si>
    <t>Yes</t>
  </si>
  <si>
    <t>Zone 3</t>
  </si>
  <si>
    <t>$$</t>
  </si>
  <si>
    <t>Zone 4</t>
  </si>
  <si>
    <t>$$$$</t>
  </si>
  <si>
    <t>$$$</t>
  </si>
  <si>
    <t>Data Source</t>
  </si>
  <si>
    <t>Data</t>
  </si>
  <si>
    <t>2017 PNA</t>
  </si>
  <si>
    <t>Interior/exterior compactor count, RUL</t>
  </si>
  <si>
    <t>MRST Interior/Exterior Compactor List</t>
  </si>
  <si>
    <t>PAIS Prioritization</t>
  </si>
  <si>
    <t>NYCHA Development Data Book 2019</t>
  </si>
  <si>
    <t>Investment Continuum</t>
  </si>
  <si>
    <t>MANAGED BY</t>
  </si>
  <si>
    <t>Is in the Newtown Creek Watershed?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</si>
</sst>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6" formatCode="_(* #,##0_);_(* \(#,##0\);_(* &quot;-&quot;??_);_(@_)"/>
    <numFmt numFmtId="167" formatCode="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44" fontId="0" fillId="0" borderId="1" xfId="1" applyFont="1" applyBorder="1"/>
    <xf numFmtId="44" fontId="1" fillId="0" borderId="1" xfId="1" applyFont="1" applyBorder="1"/>
    <xf numFmtId="44" fontId="0" fillId="0" borderId="0" xfId="1" applyFont="1"/>
    <xf numFmtId="0" fontId="0" fillId="0" borderId="1" xfId="0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44" fontId="0" fillId="0" borderId="1" xfId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4" xfId="0" applyBorder="1"/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  <xf numFmtId="44" fontId="2" fillId="0" borderId="0" xfId="1" applyFont="1"/>
    <xf numFmtId="0" fontId="3" fillId="0" borderId="1" xfId="0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164" fontId="3" fillId="0" borderId="1" xfId="1" applyNumberFormat="1" applyFont="1" applyBorder="1" applyAlignment="1">
      <alignment horizontal="left" vertical="top" wrapText="1"/>
    </xf>
    <xf numFmtId="44" fontId="3" fillId="0" borderId="1" xfId="1" applyFont="1" applyBorder="1" applyAlignment="1">
      <alignment horizontal="left" vertical="top" wrapText="1"/>
    </xf>
    <xf numFmtId="44" fontId="3" fillId="0" borderId="1" xfId="1" applyFont="1" applyFill="1" applyBorder="1" applyAlignment="1" applyProtection="1">
      <alignment horizontal="left" vertical="top"/>
      <protection locked="0"/>
    </xf>
    <xf numFmtId="49" fontId="3" fillId="0" borderId="1" xfId="0" applyNumberFormat="1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44" fontId="3" fillId="0" borderId="1" xfId="1" applyFont="1" applyBorder="1" applyAlignment="1" applyProtection="1">
      <alignment horizontal="left" vertical="top" wrapText="1"/>
      <protection locked="0"/>
    </xf>
    <xf numFmtId="44" fontId="3" fillId="0" borderId="1" xfId="1" applyFont="1" applyBorder="1" applyAlignment="1">
      <alignment horizontal="left" vertical="top"/>
    </xf>
    <xf numFmtId="0" fontId="0" fillId="0" borderId="2" xfId="0" applyFill="1" applyBorder="1"/>
    <xf numFmtId="44" fontId="0" fillId="0" borderId="2" xfId="1" applyFont="1" applyFill="1" applyBorder="1"/>
    <xf numFmtId="0" fontId="0" fillId="6" borderId="1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5" fillId="0" borderId="0" xfId="4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3" applyNumberFormat="1" applyFont="1" applyFill="1" applyBorder="1"/>
    <xf numFmtId="0" fontId="5" fillId="0" borderId="0" xfId="4" applyFont="1" applyFill="1" applyBorder="1"/>
    <xf numFmtId="0" fontId="5" fillId="0" borderId="0" xfId="4" applyFont="1" applyFill="1" applyBorder="1" applyAlignment="1">
      <alignment vertical="center" wrapText="1"/>
    </xf>
    <xf numFmtId="0" fontId="2" fillId="0" borderId="0" xfId="0" applyFont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44" fontId="2" fillId="3" borderId="3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5" fillId="0" borderId="1" xfId="1" applyNumberFormat="1" applyFont="1" applyFill="1" applyBorder="1" applyAlignment="1">
      <alignment horizontal="center"/>
    </xf>
    <xf numFmtId="1" fontId="0" fillId="0" borderId="2" xfId="1" applyNumberFormat="1" applyFont="1" applyBorder="1" applyAlignment="1">
      <alignment horizontal="center"/>
    </xf>
    <xf numFmtId="164" fontId="0" fillId="0" borderId="2" xfId="1" applyNumberFormat="1" applyFont="1" applyBorder="1"/>
    <xf numFmtId="44" fontId="0" fillId="0" borderId="2" xfId="1" applyFont="1" applyBorder="1"/>
    <xf numFmtId="0" fontId="0" fillId="0" borderId="2" xfId="0" applyFill="1" applyBorder="1" applyAlignment="1">
      <alignment horizontal="center"/>
    </xf>
    <xf numFmtId="0" fontId="0" fillId="0" borderId="0" xfId="0" applyAlignment="1"/>
    <xf numFmtId="0" fontId="2" fillId="3" borderId="5" xfId="0" applyFont="1" applyFill="1" applyBorder="1" applyAlignment="1"/>
    <xf numFmtId="0" fontId="2" fillId="3" borderId="3" xfId="0" applyFont="1" applyFill="1" applyBorder="1" applyAlignment="1"/>
    <xf numFmtId="44" fontId="0" fillId="0" borderId="1" xfId="0" applyNumberFormat="1" applyBorder="1"/>
    <xf numFmtId="0" fontId="0" fillId="0" borderId="9" xfId="0" applyBorder="1"/>
    <xf numFmtId="0" fontId="0" fillId="0" borderId="0" xfId="0" applyFill="1"/>
    <xf numFmtId="0" fontId="0" fillId="0" borderId="1" xfId="0" applyNumberFormat="1" applyFill="1" applyBorder="1"/>
    <xf numFmtId="0" fontId="0" fillId="0" borderId="1" xfId="0" applyNumberFormat="1" applyBorder="1"/>
    <xf numFmtId="0" fontId="0" fillId="0" borderId="2" xfId="0" applyNumberFormat="1" applyFill="1" applyBorder="1"/>
    <xf numFmtId="44" fontId="0" fillId="0" borderId="2" xfId="0" applyNumberFormat="1" applyBorder="1"/>
    <xf numFmtId="14" fontId="2" fillId="3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2" fillId="0" borderId="0" xfId="1" applyNumberFormat="1" applyFont="1"/>
    <xf numFmtId="0" fontId="0" fillId="6" borderId="1" xfId="0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164" fontId="2" fillId="5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2" xfId="0" applyNumberFormat="1" applyBorder="1"/>
    <xf numFmtId="44" fontId="2" fillId="3" borderId="6" xfId="1" applyFont="1" applyFill="1" applyBorder="1" applyAlignment="1"/>
    <xf numFmtId="44" fontId="0" fillId="0" borderId="7" xfId="1" applyFont="1" applyBorder="1"/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3" fillId="0" borderId="4" xfId="0" applyFont="1" applyFill="1" applyBorder="1"/>
    <xf numFmtId="44" fontId="0" fillId="0" borderId="8" xfId="1" applyFont="1" applyBorder="1"/>
    <xf numFmtId="44" fontId="0" fillId="0" borderId="7" xfId="1" applyNumberFormat="1" applyFont="1" applyBorder="1"/>
    <xf numFmtId="0" fontId="0" fillId="0" borderId="9" xfId="0" applyFill="1" applyBorder="1"/>
    <xf numFmtId="0" fontId="0" fillId="0" borderId="1" xfId="1" applyNumberFormat="1" applyFont="1" applyBorder="1"/>
    <xf numFmtId="44" fontId="0" fillId="0" borderId="6" xfId="1" applyFont="1" applyBorder="1"/>
    <xf numFmtId="0" fontId="0" fillId="0" borderId="1" xfId="0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8" xfId="0" applyBorder="1"/>
    <xf numFmtId="44" fontId="6" fillId="0" borderId="1" xfId="1" applyFont="1" applyBorder="1"/>
    <xf numFmtId="0" fontId="6" fillId="0" borderId="1" xfId="0" applyFont="1" applyBorder="1"/>
    <xf numFmtId="167" fontId="0" fillId="0" borderId="0" xfId="0" applyNumberFormat="1" applyAlignment="1">
      <alignment horizontal="center"/>
    </xf>
    <xf numFmtId="167" fontId="2" fillId="3" borderId="1" xfId="0" applyNumberFormat="1" applyFont="1" applyFill="1" applyBorder="1" applyAlignment="1">
      <alignment horizontal="left"/>
    </xf>
    <xf numFmtId="167" fontId="0" fillId="0" borderId="0" xfId="0" applyNumberFormat="1"/>
    <xf numFmtId="44" fontId="2" fillId="3" borderId="3" xfId="1" applyFont="1" applyFill="1" applyBorder="1" applyAlignment="1"/>
    <xf numFmtId="0" fontId="2" fillId="3" borderId="6" xfId="0" applyFont="1" applyFill="1" applyBorder="1" applyAlignment="1"/>
    <xf numFmtId="44" fontId="0" fillId="0" borderId="1" xfId="1" applyNumberFormat="1" applyFont="1" applyBorder="1"/>
    <xf numFmtId="44" fontId="0" fillId="0" borderId="2" xfId="1" applyNumberFormat="1" applyFont="1" applyBorder="1"/>
    <xf numFmtId="0" fontId="0" fillId="0" borderId="1" xfId="0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1" fontId="2" fillId="3" borderId="3" xfId="1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4" fontId="0" fillId="0" borderId="7" xfId="0" applyNumberFormat="1" applyBorder="1"/>
    <xf numFmtId="44" fontId="0" fillId="0" borderId="8" xfId="0" applyNumberFormat="1" applyBorder="1"/>
    <xf numFmtId="44" fontId="1" fillId="0" borderId="2" xfId="1" applyFont="1" applyBorder="1"/>
    <xf numFmtId="0" fontId="0" fillId="0" borderId="5" xfId="0" applyFill="1" applyBorder="1"/>
    <xf numFmtId="0" fontId="0" fillId="0" borderId="3" xfId="0" applyBorder="1"/>
    <xf numFmtId="0" fontId="0" fillId="0" borderId="3" xfId="0" applyFill="1" applyBorder="1"/>
    <xf numFmtId="44" fontId="0" fillId="0" borderId="3" xfId="1" applyFont="1" applyBorder="1"/>
    <xf numFmtId="0" fontId="2" fillId="3" borderId="1" xfId="0" applyFont="1" applyFill="1" applyBorder="1" applyAlignment="1"/>
    <xf numFmtId="44" fontId="2" fillId="3" borderId="1" xfId="1" applyFont="1" applyFill="1" applyBorder="1" applyAlignment="1"/>
    <xf numFmtId="0" fontId="0" fillId="0" borderId="9" xfId="0" applyBorder="1" applyAlignment="1">
      <alignment vertical="center" wrapText="1"/>
    </xf>
    <xf numFmtId="44" fontId="0" fillId="0" borderId="3" xfId="0" applyNumberFormat="1" applyBorder="1"/>
    <xf numFmtId="44" fontId="0" fillId="0" borderId="6" xfId="0" applyNumberFormat="1" applyBorder="1"/>
    <xf numFmtId="0" fontId="0" fillId="0" borderId="3" xfId="1" applyNumberFormat="1" applyFont="1" applyBorder="1"/>
    <xf numFmtId="0" fontId="2" fillId="3" borderId="3" xfId="0" applyFont="1" applyFill="1" applyBorder="1" applyAlignment="1">
      <alignment horizontal="left"/>
    </xf>
    <xf numFmtId="0" fontId="0" fillId="0" borderId="5" xfId="0" applyBorder="1"/>
    <xf numFmtId="44" fontId="2" fillId="0" borderId="0" xfId="0" applyNumberFormat="1" applyFont="1"/>
    <xf numFmtId="44" fontId="0" fillId="0" borderId="8" xfId="1" applyNumberFormat="1" applyFont="1" applyBorder="1"/>
    <xf numFmtId="1" fontId="0" fillId="0" borderId="0" xfId="0" applyNumberFormat="1" applyAlignment="1">
      <alignment horizontal="center" vertical="center"/>
    </xf>
    <xf numFmtId="167" fontId="0" fillId="0" borderId="0" xfId="1" applyNumberFormat="1" applyFont="1"/>
    <xf numFmtId="167" fontId="2" fillId="3" borderId="3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/>
    <xf numFmtId="0" fontId="2" fillId="0" borderId="0" xfId="0" applyFont="1" applyAlignment="1">
      <alignment horizontal="left" vertical="center"/>
    </xf>
  </cellXfs>
  <cellStyles count="5">
    <cellStyle name="Comma" xfId="3" builtinId="3"/>
    <cellStyle name="Currency" xfId="1" builtinId="4"/>
    <cellStyle name="Normal" xfId="0" builtinId="0"/>
    <cellStyle name="Normal 2 2" xfId="4" xr:uid="{B384EC10-AA6E-4EE0-9D82-52C91061304D}"/>
    <cellStyle name="Normal 5" xfId="2" xr:uid="{09B2C1D7-87BC-47A9-BE78-A1044DA4A7EE}"/>
  </cellStyles>
  <dxfs count="238"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  <alignment horizontal="right" vertical="bottom" textRotation="0" indent="0" justifyLastLine="0" shrinkToFit="0" readingOrder="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0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MP%20Unit%20Co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WMPImplementation/Shared%20Documents/3.%20Data%20&amp;%20Analysis/NYCHA_Development_Data_Book%202019J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WMPImplementation/Shared%20Documents/3.%20Data%20&amp;%20Analysis/Cheat-She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WMPImplementation/Shared%20Documents/3.%20Data%20&amp;%20Analysis/00-IC_new%20categories_06212019%20Ver2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WMPImplementation/Shared%20Documents/HUD%20Action%20Plan%20-%20INTERNAL/NEW%20INTERIOR-EXT.%20COMPACTORS_MR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WMPImplementation/Shared%20Documents/3.%20Data%20&amp;%20Analysis/DSNY%20Compactor%20Not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WMPImplementation/Shared%20Documents/3.%20Data%20&amp;%20Analysis/2017%20PNA_Interior%20and%20Exterior%20compactors_3-3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Team7050/Shared%20Documents/WMP%20Leadership%20Council/Background%20Docs_Meagan/Data/Developments_0815201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s"/>
      <sheetName val="Table format"/>
      <sheetName val="Unit Costs 6-3-19"/>
      <sheetName val="WMP Unit Cost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CHA_Development_Data_Book 201"/>
    </sheetNames>
    <sheetDataSet>
      <sheetData sheetId="0">
        <row r="2">
          <cell r="B2" t="str">
            <v>1010 EAST 178TH STREET</v>
          </cell>
          <cell r="C2" t="str">
            <v>NY005011330</v>
          </cell>
          <cell r="D2">
            <v>180</v>
          </cell>
          <cell r="E2">
            <v>180</v>
          </cell>
          <cell r="F2">
            <v>289</v>
          </cell>
          <cell r="G2">
            <v>289</v>
          </cell>
          <cell r="H2" t="str">
            <v>NY005090</v>
          </cell>
          <cell r="I2" t="str">
            <v>FEDERAL</v>
          </cell>
          <cell r="J2" t="str">
            <v>CONVENTIONAL</v>
          </cell>
          <cell r="K2" t="str">
            <v>NEW CONST</v>
          </cell>
          <cell r="M2">
            <v>218</v>
          </cell>
          <cell r="N2">
            <v>220</v>
          </cell>
          <cell r="O2">
            <v>918</v>
          </cell>
          <cell r="P2">
            <v>4.21</v>
          </cell>
          <cell r="R2">
            <v>450</v>
          </cell>
          <cell r="S2">
            <v>450</v>
          </cell>
          <cell r="T2">
            <v>89</v>
          </cell>
          <cell r="U2">
            <v>0.41799999999999998</v>
          </cell>
          <cell r="V2">
            <v>1</v>
          </cell>
          <cell r="W2">
            <v>0</v>
          </cell>
          <cell r="X2">
            <v>1</v>
          </cell>
          <cell r="Y2">
            <v>21</v>
          </cell>
          <cell r="Z2">
            <v>88172</v>
          </cell>
          <cell r="AA2">
            <v>2.02</v>
          </cell>
          <cell r="AB2">
            <v>88172</v>
          </cell>
          <cell r="AC2">
            <v>2.02</v>
          </cell>
          <cell r="AD2">
            <v>14961</v>
          </cell>
          <cell r="AE2">
            <v>1841787</v>
          </cell>
          <cell r="AF2">
            <v>0.16969999999999999</v>
          </cell>
          <cell r="AG2">
            <v>223</v>
          </cell>
          <cell r="AH2">
            <v>5031405</v>
          </cell>
          <cell r="AI2">
            <v>5341</v>
          </cell>
          <cell r="AJ2">
            <v>503</v>
          </cell>
          <cell r="AK2" t="str">
            <v>E TREMONT AVE</v>
          </cell>
          <cell r="AL2" t="str">
            <v>BRYANT AVE</v>
          </cell>
          <cell r="AM2" t="str">
            <v>E 178TH ST</v>
          </cell>
          <cell r="AN2" t="str">
            <v>BOSTON RD</v>
          </cell>
          <cell r="AO2" t="str">
            <v>BRONX</v>
          </cell>
          <cell r="AP2">
            <v>6</v>
          </cell>
          <cell r="AQ2">
            <v>15</v>
          </cell>
          <cell r="AR2">
            <v>32</v>
          </cell>
          <cell r="AS2">
            <v>87</v>
          </cell>
          <cell r="AT2">
            <v>15</v>
          </cell>
          <cell r="AU2">
            <v>26023</v>
          </cell>
        </row>
        <row r="3">
          <cell r="B3" t="str">
            <v>104-14 TAPSCOTT STREET</v>
          </cell>
          <cell r="C3" t="str">
            <v>NY005011670</v>
          </cell>
          <cell r="D3">
            <v>242</v>
          </cell>
          <cell r="E3">
            <v>167</v>
          </cell>
          <cell r="F3">
            <v>361</v>
          </cell>
          <cell r="G3">
            <v>283</v>
          </cell>
          <cell r="H3" t="str">
            <v>NY005174</v>
          </cell>
          <cell r="I3" t="str">
            <v>FEDERAL</v>
          </cell>
          <cell r="J3" t="str">
            <v>TURNKEY</v>
          </cell>
          <cell r="K3" t="str">
            <v>NEW CONST</v>
          </cell>
          <cell r="M3">
            <v>30</v>
          </cell>
          <cell r="N3">
            <v>30</v>
          </cell>
          <cell r="O3">
            <v>131</v>
          </cell>
          <cell r="P3">
            <v>4.37</v>
          </cell>
          <cell r="R3">
            <v>65</v>
          </cell>
          <cell r="S3">
            <v>65</v>
          </cell>
          <cell r="T3">
            <v>5</v>
          </cell>
          <cell r="U3">
            <v>0.17199999999999999</v>
          </cell>
          <cell r="V3">
            <v>1</v>
          </cell>
          <cell r="W3">
            <v>0</v>
          </cell>
          <cell r="X3">
            <v>1</v>
          </cell>
          <cell r="Y3">
            <v>4</v>
          </cell>
          <cell r="Z3">
            <v>10000</v>
          </cell>
          <cell r="AA3">
            <v>0.23</v>
          </cell>
          <cell r="AB3">
            <v>10000</v>
          </cell>
          <cell r="AC3">
            <v>0.23</v>
          </cell>
          <cell r="AD3">
            <v>6983</v>
          </cell>
          <cell r="AE3">
            <v>351238</v>
          </cell>
          <cell r="AF3">
            <v>0.69830000000000003</v>
          </cell>
          <cell r="AG3">
            <v>283</v>
          </cell>
          <cell r="AH3">
            <v>839110</v>
          </cell>
          <cell r="AI3">
            <v>6505</v>
          </cell>
          <cell r="AJ3">
            <v>643</v>
          </cell>
          <cell r="AK3" t="str">
            <v>TAPSCOTT ST</v>
          </cell>
          <cell r="AL3" t="str">
            <v>UNION ST</v>
          </cell>
          <cell r="AM3" t="str">
            <v>SUTTER AVE</v>
          </cell>
          <cell r="AN3" t="str">
            <v>BLAKE AVE</v>
          </cell>
          <cell r="AO3" t="str">
            <v>BROOKLYN</v>
          </cell>
          <cell r="AP3">
            <v>16</v>
          </cell>
          <cell r="AQ3">
            <v>9</v>
          </cell>
          <cell r="AR3">
            <v>20</v>
          </cell>
          <cell r="AS3">
            <v>55</v>
          </cell>
          <cell r="AT3">
            <v>41</v>
          </cell>
          <cell r="AU3">
            <v>26603</v>
          </cell>
        </row>
        <row r="4">
          <cell r="B4" t="str">
            <v>1162-1176 WASHINGTON AVENUE</v>
          </cell>
          <cell r="C4" t="str">
            <v>NY005013080</v>
          </cell>
          <cell r="D4">
            <v>233</v>
          </cell>
          <cell r="E4">
            <v>308</v>
          </cell>
          <cell r="F4">
            <v>354</v>
          </cell>
          <cell r="G4">
            <v>344</v>
          </cell>
          <cell r="H4" t="str">
            <v>NY005138</v>
          </cell>
          <cell r="I4" t="str">
            <v>FEDERAL</v>
          </cell>
          <cell r="J4" t="str">
            <v>TURNKEY</v>
          </cell>
          <cell r="K4" t="str">
            <v>REHAB</v>
          </cell>
          <cell r="M4">
            <v>65</v>
          </cell>
          <cell r="N4">
            <v>66</v>
          </cell>
          <cell r="O4">
            <v>293.5</v>
          </cell>
          <cell r="P4">
            <v>4.5199999999999996</v>
          </cell>
          <cell r="R4">
            <v>170</v>
          </cell>
          <cell r="S4">
            <v>170</v>
          </cell>
          <cell r="T4">
            <v>21</v>
          </cell>
          <cell r="U4">
            <v>0.32800000000000001</v>
          </cell>
          <cell r="V4">
            <v>1</v>
          </cell>
          <cell r="W4">
            <v>0</v>
          </cell>
          <cell r="X4">
            <v>1</v>
          </cell>
          <cell r="Y4">
            <v>6</v>
          </cell>
          <cell r="Z4">
            <v>18987</v>
          </cell>
          <cell r="AA4">
            <v>0.44</v>
          </cell>
          <cell r="AB4">
            <v>18987</v>
          </cell>
          <cell r="AC4">
            <v>0.44</v>
          </cell>
          <cell r="AD4">
            <v>12231</v>
          </cell>
          <cell r="AE4">
            <v>851926</v>
          </cell>
          <cell r="AF4">
            <v>0.64419999999999999</v>
          </cell>
          <cell r="AG4">
            <v>386</v>
          </cell>
          <cell r="AH4">
            <v>2205187</v>
          </cell>
          <cell r="AI4">
            <v>7302</v>
          </cell>
          <cell r="AJ4">
            <v>440</v>
          </cell>
          <cell r="AK4" t="str">
            <v>E 167TH ST</v>
          </cell>
          <cell r="AL4" t="str">
            <v>E 168TH ST</v>
          </cell>
          <cell r="AM4" t="str">
            <v>THIRD AVE</v>
          </cell>
          <cell r="AN4" t="str">
            <v>WASHINGTON AVE</v>
          </cell>
          <cell r="AO4" t="str">
            <v>BRONX</v>
          </cell>
          <cell r="AP4">
            <v>3</v>
          </cell>
          <cell r="AQ4">
            <v>15</v>
          </cell>
          <cell r="AR4">
            <v>32</v>
          </cell>
          <cell r="AS4">
            <v>79</v>
          </cell>
          <cell r="AT4">
            <v>16</v>
          </cell>
          <cell r="AU4">
            <v>27759</v>
          </cell>
        </row>
        <row r="5">
          <cell r="B5" t="str">
            <v>131 SAINT NICHOLAS AVENUE</v>
          </cell>
          <cell r="C5" t="str">
            <v>NY005010970</v>
          </cell>
          <cell r="D5">
            <v>154</v>
          </cell>
          <cell r="E5">
            <v>97</v>
          </cell>
          <cell r="F5">
            <v>264</v>
          </cell>
          <cell r="G5">
            <v>261</v>
          </cell>
          <cell r="H5" t="str">
            <v>NY005065</v>
          </cell>
          <cell r="I5" t="str">
            <v>FEDERAL</v>
          </cell>
          <cell r="J5" t="str">
            <v>CONVENTIONAL</v>
          </cell>
          <cell r="K5" t="str">
            <v>NEW CONST</v>
          </cell>
          <cell r="M5">
            <v>98</v>
          </cell>
          <cell r="N5">
            <v>100</v>
          </cell>
          <cell r="O5">
            <v>386</v>
          </cell>
          <cell r="P5">
            <v>3.94</v>
          </cell>
          <cell r="R5">
            <v>165</v>
          </cell>
          <cell r="S5">
            <v>165</v>
          </cell>
          <cell r="T5">
            <v>41</v>
          </cell>
          <cell r="U5">
            <v>0.42699999999999999</v>
          </cell>
          <cell r="V5">
            <v>1</v>
          </cell>
          <cell r="W5">
            <v>0</v>
          </cell>
          <cell r="X5">
            <v>1</v>
          </cell>
          <cell r="Y5">
            <v>17</v>
          </cell>
          <cell r="Z5">
            <v>29359</v>
          </cell>
          <cell r="AA5">
            <v>0.67</v>
          </cell>
          <cell r="AB5">
            <v>29359</v>
          </cell>
          <cell r="AC5">
            <v>0.67</v>
          </cell>
          <cell r="AD5">
            <v>5759</v>
          </cell>
          <cell r="AE5">
            <v>771591</v>
          </cell>
          <cell r="AF5">
            <v>0.19620000000000001</v>
          </cell>
          <cell r="AG5">
            <v>246</v>
          </cell>
          <cell r="AH5">
            <v>1880013</v>
          </cell>
          <cell r="AI5">
            <v>4694</v>
          </cell>
          <cell r="AJ5">
            <v>529</v>
          </cell>
          <cell r="AK5" t="str">
            <v>SAINT NICHOLAS AVE</v>
          </cell>
          <cell r="AL5" t="str">
            <v>W 116TH ST</v>
          </cell>
          <cell r="AM5" t="str">
            <v>W 117TH ST</v>
          </cell>
          <cell r="AO5" t="str">
            <v>MANHATTAN</v>
          </cell>
          <cell r="AP5">
            <v>10</v>
          </cell>
          <cell r="AQ5">
            <v>13</v>
          </cell>
          <cell r="AR5">
            <v>30</v>
          </cell>
          <cell r="AS5">
            <v>70</v>
          </cell>
          <cell r="AT5">
            <v>9</v>
          </cell>
          <cell r="AU5">
            <v>23832</v>
          </cell>
        </row>
        <row r="6">
          <cell r="B6" t="str">
            <v>1471 WATSON AVENUE</v>
          </cell>
          <cell r="C6" t="str">
            <v>NY005010670</v>
          </cell>
          <cell r="D6">
            <v>214</v>
          </cell>
          <cell r="E6">
            <v>67</v>
          </cell>
          <cell r="F6">
            <v>332</v>
          </cell>
          <cell r="G6">
            <v>222</v>
          </cell>
          <cell r="H6" t="str">
            <v>NY005162</v>
          </cell>
          <cell r="I6" t="str">
            <v>FEDERAL</v>
          </cell>
          <cell r="J6" t="str">
            <v>TURNKEY</v>
          </cell>
          <cell r="K6" t="str">
            <v>NEW CONST</v>
          </cell>
          <cell r="M6">
            <v>96</v>
          </cell>
          <cell r="N6">
            <v>96</v>
          </cell>
          <cell r="O6">
            <v>386</v>
          </cell>
          <cell r="P6">
            <v>4.0199999999999996</v>
          </cell>
          <cell r="R6">
            <v>156</v>
          </cell>
          <cell r="S6">
            <v>156</v>
          </cell>
          <cell r="T6">
            <v>47</v>
          </cell>
          <cell r="U6">
            <v>0.505</v>
          </cell>
          <cell r="V6">
            <v>1</v>
          </cell>
          <cell r="W6">
            <v>0</v>
          </cell>
          <cell r="X6">
            <v>1</v>
          </cell>
          <cell r="Y6">
            <v>6</v>
          </cell>
          <cell r="Z6">
            <v>39937</v>
          </cell>
          <cell r="AA6">
            <v>0.92</v>
          </cell>
          <cell r="AB6">
            <v>39937</v>
          </cell>
          <cell r="AC6">
            <v>0.92</v>
          </cell>
          <cell r="AD6">
            <v>13337</v>
          </cell>
          <cell r="AE6">
            <v>810629</v>
          </cell>
          <cell r="AF6">
            <v>0.33400000000000002</v>
          </cell>
          <cell r="AG6">
            <v>170</v>
          </cell>
          <cell r="AH6">
            <v>2278928</v>
          </cell>
          <cell r="AI6">
            <v>5814</v>
          </cell>
          <cell r="AJ6">
            <v>452</v>
          </cell>
          <cell r="AK6" t="str">
            <v>WATSON AVE</v>
          </cell>
          <cell r="AL6" t="str">
            <v>COLGATE AVE</v>
          </cell>
          <cell r="AM6" t="str">
            <v>EVERGREEN AVE</v>
          </cell>
          <cell r="AO6" t="str">
            <v>BRONX</v>
          </cell>
          <cell r="AP6">
            <v>9</v>
          </cell>
          <cell r="AQ6">
            <v>15</v>
          </cell>
          <cell r="AR6">
            <v>32</v>
          </cell>
          <cell r="AS6">
            <v>85</v>
          </cell>
          <cell r="AT6">
            <v>17</v>
          </cell>
          <cell r="AU6">
            <v>25933</v>
          </cell>
        </row>
        <row r="7">
          <cell r="B7" t="str">
            <v>154 WEST 84TH STREET</v>
          </cell>
          <cell r="C7" t="str">
            <v>NY005013590</v>
          </cell>
          <cell r="D7">
            <v>359</v>
          </cell>
          <cell r="E7">
            <v>359</v>
          </cell>
          <cell r="F7">
            <v>840</v>
          </cell>
          <cell r="G7">
            <v>840</v>
          </cell>
          <cell r="H7" t="str">
            <v>NY005270</v>
          </cell>
          <cell r="I7" t="str">
            <v>FEDERAL</v>
          </cell>
          <cell r="J7" t="str">
            <v>TURNKEY</v>
          </cell>
          <cell r="K7" t="str">
            <v>NEW CONST</v>
          </cell>
          <cell r="M7">
            <v>35</v>
          </cell>
          <cell r="N7">
            <v>35</v>
          </cell>
          <cell r="O7">
            <v>157.5</v>
          </cell>
          <cell r="P7">
            <v>4.5</v>
          </cell>
          <cell r="R7">
            <v>74</v>
          </cell>
          <cell r="S7">
            <v>74</v>
          </cell>
          <cell r="T7">
            <v>7</v>
          </cell>
          <cell r="U7">
            <v>0.2</v>
          </cell>
          <cell r="V7">
            <v>1</v>
          </cell>
          <cell r="W7">
            <v>0</v>
          </cell>
          <cell r="X7">
            <v>1</v>
          </cell>
          <cell r="Y7">
            <v>7</v>
          </cell>
          <cell r="Z7">
            <v>9621</v>
          </cell>
          <cell r="AA7">
            <v>0.22</v>
          </cell>
          <cell r="AB7">
            <v>9621</v>
          </cell>
          <cell r="AC7">
            <v>0.22</v>
          </cell>
          <cell r="AD7">
            <v>5774</v>
          </cell>
          <cell r="AE7">
            <v>361857</v>
          </cell>
          <cell r="AF7">
            <v>0.60009999999999997</v>
          </cell>
          <cell r="AG7">
            <v>336</v>
          </cell>
          <cell r="AH7">
            <v>4503296</v>
          </cell>
          <cell r="AI7">
            <v>28412</v>
          </cell>
          <cell r="AJ7">
            <v>644</v>
          </cell>
          <cell r="AK7" t="str">
            <v>AMSTERDAM AVE</v>
          </cell>
          <cell r="AL7" t="str">
            <v>W 84TH ST</v>
          </cell>
          <cell r="AM7" t="str">
            <v>COLUMBUS AVE</v>
          </cell>
          <cell r="AO7" t="str">
            <v>MANHATTAN</v>
          </cell>
          <cell r="AP7">
            <v>7</v>
          </cell>
          <cell r="AQ7">
            <v>10</v>
          </cell>
          <cell r="AR7">
            <v>29</v>
          </cell>
          <cell r="AS7">
            <v>69</v>
          </cell>
          <cell r="AT7">
            <v>6</v>
          </cell>
          <cell r="AU7">
            <v>35155</v>
          </cell>
          <cell r="AX7" t="str">
            <v>YES</v>
          </cell>
          <cell r="AY7" t="str">
            <v>YES</v>
          </cell>
        </row>
        <row r="8">
          <cell r="B8" t="str">
            <v>303 VERNON AVENUE</v>
          </cell>
          <cell r="C8" t="str">
            <v>NY005010730</v>
          </cell>
          <cell r="D8">
            <v>156</v>
          </cell>
          <cell r="E8">
            <v>73</v>
          </cell>
          <cell r="F8">
            <v>267</v>
          </cell>
          <cell r="G8">
            <v>267</v>
          </cell>
          <cell r="H8" t="str">
            <v>NY005068</v>
          </cell>
          <cell r="I8" t="str">
            <v>FEDERAL</v>
          </cell>
          <cell r="J8" t="str">
            <v>CONVENTIONAL</v>
          </cell>
          <cell r="K8" t="str">
            <v>NEW CONST</v>
          </cell>
          <cell r="M8">
            <v>234</v>
          </cell>
          <cell r="N8">
            <v>234</v>
          </cell>
          <cell r="O8">
            <v>1101</v>
          </cell>
          <cell r="P8">
            <v>4.71</v>
          </cell>
          <cell r="R8">
            <v>541</v>
          </cell>
          <cell r="S8">
            <v>541</v>
          </cell>
          <cell r="T8">
            <v>100</v>
          </cell>
          <cell r="U8">
            <v>0.43099999999999999</v>
          </cell>
          <cell r="V8">
            <v>1</v>
          </cell>
          <cell r="W8">
            <v>0</v>
          </cell>
          <cell r="X8">
            <v>1</v>
          </cell>
          <cell r="Y8">
            <v>24</v>
          </cell>
          <cell r="Z8">
            <v>110000</v>
          </cell>
          <cell r="AA8">
            <v>2.5299999999999998</v>
          </cell>
          <cell r="AB8">
            <v>110000</v>
          </cell>
          <cell r="AC8">
            <v>2.5299999999999998</v>
          </cell>
          <cell r="AD8">
            <v>11311</v>
          </cell>
          <cell r="AE8">
            <v>2207369</v>
          </cell>
          <cell r="AF8">
            <v>0.1028</v>
          </cell>
          <cell r="AG8">
            <v>214</v>
          </cell>
          <cell r="AH8">
            <v>4703702</v>
          </cell>
          <cell r="AI8">
            <v>4272</v>
          </cell>
          <cell r="AJ8">
            <v>511</v>
          </cell>
          <cell r="AK8" t="str">
            <v>VERNON AVE</v>
          </cell>
          <cell r="AL8" t="str">
            <v>MARCUS GARVEY BLVD</v>
          </cell>
          <cell r="AM8" t="str">
            <v>MYRTLE AVE</v>
          </cell>
          <cell r="AO8" t="str">
            <v>BROOKLYN</v>
          </cell>
          <cell r="AP8">
            <v>3</v>
          </cell>
          <cell r="AQ8">
            <v>8</v>
          </cell>
          <cell r="AR8">
            <v>18</v>
          </cell>
          <cell r="AS8">
            <v>54</v>
          </cell>
          <cell r="AT8">
            <v>36</v>
          </cell>
          <cell r="AU8">
            <v>24623</v>
          </cell>
        </row>
        <row r="9">
          <cell r="B9" t="str">
            <v>335 EAST 111TH STREET</v>
          </cell>
          <cell r="C9" t="str">
            <v>NY005010640</v>
          </cell>
          <cell r="D9">
            <v>203</v>
          </cell>
          <cell r="E9">
            <v>64</v>
          </cell>
          <cell r="F9">
            <v>320</v>
          </cell>
          <cell r="G9">
            <v>219</v>
          </cell>
          <cell r="H9" t="str">
            <v>NY005126</v>
          </cell>
          <cell r="I9" t="str">
            <v>FEDERAL</v>
          </cell>
          <cell r="J9" t="str">
            <v>TURNKEY</v>
          </cell>
          <cell r="K9" t="str">
            <v>NEW CONST</v>
          </cell>
          <cell r="M9">
            <v>66</v>
          </cell>
          <cell r="N9">
            <v>66</v>
          </cell>
          <cell r="O9">
            <v>259</v>
          </cell>
          <cell r="P9">
            <v>3.92</v>
          </cell>
          <cell r="R9">
            <v>114</v>
          </cell>
          <cell r="S9">
            <v>114</v>
          </cell>
          <cell r="T9">
            <v>33</v>
          </cell>
          <cell r="U9">
            <v>0.5</v>
          </cell>
          <cell r="V9">
            <v>1</v>
          </cell>
          <cell r="W9">
            <v>0</v>
          </cell>
          <cell r="X9">
            <v>1</v>
          </cell>
          <cell r="Y9">
            <v>6</v>
          </cell>
          <cell r="Z9">
            <v>20205</v>
          </cell>
          <cell r="AA9">
            <v>0.46</v>
          </cell>
          <cell r="AB9">
            <v>20205</v>
          </cell>
          <cell r="AC9">
            <v>0.46</v>
          </cell>
          <cell r="AD9">
            <v>9143</v>
          </cell>
          <cell r="AE9">
            <v>530550</v>
          </cell>
          <cell r="AF9">
            <v>0.45250000000000001</v>
          </cell>
          <cell r="AG9">
            <v>248</v>
          </cell>
          <cell r="AH9">
            <v>1241825</v>
          </cell>
          <cell r="AI9">
            <v>4651</v>
          </cell>
          <cell r="AJ9">
            <v>482</v>
          </cell>
          <cell r="AK9" t="str">
            <v>SECOND AVE</v>
          </cell>
          <cell r="AL9" t="str">
            <v>E 111TH ST</v>
          </cell>
          <cell r="AM9" t="str">
            <v>FIRST AVE</v>
          </cell>
          <cell r="AN9" t="str">
            <v>E 112TH ST</v>
          </cell>
          <cell r="AO9" t="str">
            <v>MANHATTAN</v>
          </cell>
          <cell r="AP9">
            <v>11</v>
          </cell>
          <cell r="AQ9">
            <v>13</v>
          </cell>
          <cell r="AR9">
            <v>29</v>
          </cell>
          <cell r="AS9">
            <v>68</v>
          </cell>
          <cell r="AT9">
            <v>8</v>
          </cell>
          <cell r="AU9">
            <v>25384</v>
          </cell>
        </row>
        <row r="10">
          <cell r="B10" t="str">
            <v>344 EAST 28TH STREET</v>
          </cell>
          <cell r="C10" t="str">
            <v>NY005021850</v>
          </cell>
          <cell r="D10">
            <v>185</v>
          </cell>
          <cell r="E10">
            <v>153</v>
          </cell>
          <cell r="F10">
            <v>452</v>
          </cell>
          <cell r="G10">
            <v>452</v>
          </cell>
          <cell r="H10" t="str">
            <v>NY005374</v>
          </cell>
          <cell r="I10" t="str">
            <v>MIXED FINANCE/LLC2</v>
          </cell>
          <cell r="J10" t="str">
            <v>CONVENTIONAL</v>
          </cell>
          <cell r="K10" t="str">
            <v>NEW CONST</v>
          </cell>
          <cell r="L10">
            <v>73</v>
          </cell>
          <cell r="M10">
            <v>225</v>
          </cell>
          <cell r="N10">
            <v>225</v>
          </cell>
          <cell r="O10">
            <v>985.5</v>
          </cell>
          <cell r="P10">
            <v>4.38</v>
          </cell>
          <cell r="Q10">
            <v>146</v>
          </cell>
          <cell r="R10">
            <v>281</v>
          </cell>
          <cell r="S10">
            <v>427</v>
          </cell>
          <cell r="T10">
            <v>111</v>
          </cell>
          <cell r="U10">
            <v>0.502</v>
          </cell>
          <cell r="V10">
            <v>1</v>
          </cell>
          <cell r="W10">
            <v>0</v>
          </cell>
          <cell r="X10">
            <v>1</v>
          </cell>
          <cell r="Y10">
            <v>26</v>
          </cell>
          <cell r="Z10">
            <v>44644</v>
          </cell>
          <cell r="AA10">
            <v>1.02</v>
          </cell>
          <cell r="AB10">
            <v>44644</v>
          </cell>
          <cell r="AC10">
            <v>1.02</v>
          </cell>
          <cell r="AD10">
            <v>7889</v>
          </cell>
          <cell r="AE10">
            <v>1946457</v>
          </cell>
          <cell r="AF10">
            <v>0.1767</v>
          </cell>
          <cell r="AG10">
            <v>419</v>
          </cell>
          <cell r="AH10">
            <v>4980000</v>
          </cell>
          <cell r="AI10">
            <v>5053</v>
          </cell>
          <cell r="AJ10">
            <v>516</v>
          </cell>
          <cell r="AK10" t="str">
            <v>E 27TH ST</v>
          </cell>
          <cell r="AL10" t="str">
            <v>NEW ST</v>
          </cell>
          <cell r="AM10" t="str">
            <v>E 28TH ST</v>
          </cell>
          <cell r="AN10" t="str">
            <v>FIRST AVE</v>
          </cell>
          <cell r="AO10" t="str">
            <v>MANHATTAN</v>
          </cell>
          <cell r="AP10">
            <v>6</v>
          </cell>
          <cell r="AQ10">
            <v>12</v>
          </cell>
          <cell r="AR10">
            <v>27</v>
          </cell>
          <cell r="AS10">
            <v>74</v>
          </cell>
          <cell r="AT10">
            <v>2</v>
          </cell>
          <cell r="AU10">
            <v>26023</v>
          </cell>
        </row>
        <row r="11">
          <cell r="B11" t="str">
            <v>45 ALLEN STREET</v>
          </cell>
          <cell r="C11" t="str">
            <v>NY005011000</v>
          </cell>
          <cell r="D11">
            <v>265</v>
          </cell>
          <cell r="E11">
            <v>100</v>
          </cell>
          <cell r="F11">
            <v>380</v>
          </cell>
          <cell r="G11">
            <v>312</v>
          </cell>
          <cell r="H11" t="str">
            <v>NY005186</v>
          </cell>
          <cell r="I11" t="str">
            <v>FEDERAL</v>
          </cell>
          <cell r="J11" t="str">
            <v>TURNKEY</v>
          </cell>
          <cell r="K11" t="str">
            <v>NEW CONST</v>
          </cell>
          <cell r="M11">
            <v>107</v>
          </cell>
          <cell r="N11">
            <v>107</v>
          </cell>
          <cell r="O11">
            <v>537.5</v>
          </cell>
          <cell r="P11">
            <v>5.0199999999999996</v>
          </cell>
          <cell r="R11">
            <v>237</v>
          </cell>
          <cell r="S11">
            <v>237</v>
          </cell>
          <cell r="T11">
            <v>46</v>
          </cell>
          <cell r="U11">
            <v>0.442</v>
          </cell>
          <cell r="V11">
            <v>1</v>
          </cell>
          <cell r="W11">
            <v>1</v>
          </cell>
          <cell r="X11">
            <v>2</v>
          </cell>
          <cell r="Y11">
            <v>14</v>
          </cell>
          <cell r="Z11">
            <v>39609</v>
          </cell>
          <cell r="AA11">
            <v>0.91</v>
          </cell>
          <cell r="AB11">
            <v>39609</v>
          </cell>
          <cell r="AC11">
            <v>0.91</v>
          </cell>
          <cell r="AD11">
            <v>8031</v>
          </cell>
          <cell r="AE11">
            <v>950162</v>
          </cell>
          <cell r="AF11">
            <v>0.20280000000000001</v>
          </cell>
          <cell r="AG11">
            <v>260</v>
          </cell>
          <cell r="AH11">
            <v>4290021</v>
          </cell>
          <cell r="AI11">
            <v>7981</v>
          </cell>
          <cell r="AJ11">
            <v>687</v>
          </cell>
          <cell r="AK11" t="str">
            <v>GRAND ST</v>
          </cell>
          <cell r="AL11" t="str">
            <v>ALLEN ST</v>
          </cell>
          <cell r="AM11" t="str">
            <v>HESTER ST</v>
          </cell>
          <cell r="AN11" t="str">
            <v>ELDRIDGE ST</v>
          </cell>
          <cell r="AO11" t="str">
            <v>MANHATTAN</v>
          </cell>
          <cell r="AP11">
            <v>3</v>
          </cell>
          <cell r="AQ11">
            <v>7</v>
          </cell>
          <cell r="AR11">
            <v>26</v>
          </cell>
          <cell r="AS11">
            <v>65</v>
          </cell>
          <cell r="AT11">
            <v>1</v>
          </cell>
          <cell r="AU11">
            <v>27241</v>
          </cell>
        </row>
        <row r="12">
          <cell r="B12" t="str">
            <v>572 WARREN STREET</v>
          </cell>
          <cell r="C12" t="str">
            <v>NY005011630</v>
          </cell>
          <cell r="D12">
            <v>196</v>
          </cell>
          <cell r="E12">
            <v>163</v>
          </cell>
          <cell r="F12">
            <v>307</v>
          </cell>
          <cell r="G12">
            <v>272</v>
          </cell>
          <cell r="H12" t="str">
            <v>NY005103</v>
          </cell>
          <cell r="I12" t="str">
            <v>FEDERAL</v>
          </cell>
          <cell r="J12" t="str">
            <v>TURNKEY</v>
          </cell>
          <cell r="K12" t="str">
            <v>NEW CONST</v>
          </cell>
          <cell r="M12">
            <v>200</v>
          </cell>
          <cell r="N12">
            <v>200</v>
          </cell>
          <cell r="O12">
            <v>815</v>
          </cell>
          <cell r="P12">
            <v>4.08</v>
          </cell>
          <cell r="R12">
            <v>375</v>
          </cell>
          <cell r="S12">
            <v>375</v>
          </cell>
          <cell r="T12">
            <v>84</v>
          </cell>
          <cell r="U12">
            <v>0.42</v>
          </cell>
          <cell r="V12">
            <v>1</v>
          </cell>
          <cell r="W12">
            <v>1</v>
          </cell>
          <cell r="X12">
            <v>2</v>
          </cell>
          <cell r="Y12">
            <v>6</v>
          </cell>
          <cell r="Z12">
            <v>81700</v>
          </cell>
          <cell r="AA12">
            <v>1.88</v>
          </cell>
          <cell r="AB12">
            <v>81700</v>
          </cell>
          <cell r="AC12">
            <v>1.88</v>
          </cell>
          <cell r="AD12">
            <v>28530</v>
          </cell>
          <cell r="AE12">
            <v>1726301</v>
          </cell>
          <cell r="AF12">
            <v>0.34920000000000001</v>
          </cell>
          <cell r="AG12">
            <v>199</v>
          </cell>
          <cell r="AH12">
            <v>5984598</v>
          </cell>
          <cell r="AI12">
            <v>7116</v>
          </cell>
          <cell r="AJ12">
            <v>536</v>
          </cell>
          <cell r="AK12" t="str">
            <v>WARREN ST</v>
          </cell>
          <cell r="AL12" t="str">
            <v>BALTIC ST</v>
          </cell>
          <cell r="AM12" t="str">
            <v>THIRD AVE</v>
          </cell>
          <cell r="AN12" t="str">
            <v>FOURTH AVE</v>
          </cell>
          <cell r="AO12" t="str">
            <v>BROOKLYN</v>
          </cell>
          <cell r="AP12">
            <v>6</v>
          </cell>
          <cell r="AQ12">
            <v>7</v>
          </cell>
          <cell r="AR12">
            <v>25</v>
          </cell>
          <cell r="AS12">
            <v>52</v>
          </cell>
          <cell r="AT12">
            <v>33</v>
          </cell>
          <cell r="AU12">
            <v>26542</v>
          </cell>
        </row>
        <row r="13">
          <cell r="B13" t="str">
            <v>830 AMSTERDAM AVENUE</v>
          </cell>
          <cell r="C13" t="str">
            <v>NY005010820</v>
          </cell>
          <cell r="D13">
            <v>150</v>
          </cell>
          <cell r="E13">
            <v>82</v>
          </cell>
          <cell r="F13">
            <v>258</v>
          </cell>
          <cell r="G13">
            <v>258</v>
          </cell>
          <cell r="H13" t="str">
            <v>NY005059</v>
          </cell>
          <cell r="I13" t="str">
            <v>FEDERAL</v>
          </cell>
          <cell r="J13" t="str">
            <v>CONVENTIONAL</v>
          </cell>
          <cell r="K13" t="str">
            <v>NEW CONST</v>
          </cell>
          <cell r="M13">
            <v>158</v>
          </cell>
          <cell r="N13">
            <v>159</v>
          </cell>
          <cell r="O13">
            <v>724</v>
          </cell>
          <cell r="P13">
            <v>4.58</v>
          </cell>
          <cell r="R13">
            <v>351</v>
          </cell>
          <cell r="S13">
            <v>351</v>
          </cell>
          <cell r="T13">
            <v>63</v>
          </cell>
          <cell r="U13">
            <v>0.40400000000000003</v>
          </cell>
          <cell r="V13">
            <v>1</v>
          </cell>
          <cell r="W13">
            <v>0</v>
          </cell>
          <cell r="X13">
            <v>1</v>
          </cell>
          <cell r="Y13">
            <v>20</v>
          </cell>
          <cell r="Z13">
            <v>28690</v>
          </cell>
          <cell r="AA13">
            <v>0.66</v>
          </cell>
          <cell r="AB13">
            <v>28690</v>
          </cell>
          <cell r="AC13">
            <v>0.66</v>
          </cell>
          <cell r="AD13">
            <v>7750</v>
          </cell>
          <cell r="AE13">
            <v>1375740</v>
          </cell>
          <cell r="AF13">
            <v>0.27010000000000001</v>
          </cell>
          <cell r="AG13">
            <v>532</v>
          </cell>
          <cell r="AH13">
            <v>3631814</v>
          </cell>
          <cell r="AI13">
            <v>4992</v>
          </cell>
          <cell r="AJ13">
            <v>492</v>
          </cell>
          <cell r="AK13" t="str">
            <v>W 101ST ST</v>
          </cell>
          <cell r="AL13" t="str">
            <v>AMSTERDAM AVE</v>
          </cell>
          <cell r="AM13" t="str">
            <v>W 100TH ST</v>
          </cell>
          <cell r="AO13" t="str">
            <v>MANHATTAN</v>
          </cell>
          <cell r="AP13">
            <v>7</v>
          </cell>
          <cell r="AQ13">
            <v>10</v>
          </cell>
          <cell r="AR13">
            <v>30</v>
          </cell>
          <cell r="AS13">
            <v>69</v>
          </cell>
          <cell r="AT13">
            <v>7</v>
          </cell>
          <cell r="AU13">
            <v>23985</v>
          </cell>
        </row>
        <row r="14">
          <cell r="B14" t="str">
            <v>ADAMS</v>
          </cell>
          <cell r="C14" t="str">
            <v>NY005001180</v>
          </cell>
          <cell r="D14">
            <v>118</v>
          </cell>
          <cell r="E14">
            <v>118</v>
          </cell>
          <cell r="F14">
            <v>248</v>
          </cell>
          <cell r="G14">
            <v>248</v>
          </cell>
          <cell r="H14" t="str">
            <v>NY005049</v>
          </cell>
          <cell r="I14" t="str">
            <v>FEDERAL</v>
          </cell>
          <cell r="J14" t="str">
            <v>CONVENTIONAL</v>
          </cell>
          <cell r="K14" t="str">
            <v>NEW CONST</v>
          </cell>
          <cell r="M14">
            <v>924</v>
          </cell>
          <cell r="N14">
            <v>925</v>
          </cell>
          <cell r="O14">
            <v>4306</v>
          </cell>
          <cell r="P14">
            <v>4.66</v>
          </cell>
          <cell r="R14">
            <v>2310</v>
          </cell>
          <cell r="S14">
            <v>2310</v>
          </cell>
          <cell r="T14">
            <v>335</v>
          </cell>
          <cell r="U14">
            <v>0.36399999999999999</v>
          </cell>
          <cell r="V14">
            <v>7</v>
          </cell>
          <cell r="W14">
            <v>0</v>
          </cell>
          <cell r="X14">
            <v>7</v>
          </cell>
          <cell r="Y14" t="str">
            <v>15-21</v>
          </cell>
          <cell r="Z14">
            <v>408888</v>
          </cell>
          <cell r="AA14">
            <v>9.39</v>
          </cell>
          <cell r="AB14">
            <v>383068</v>
          </cell>
          <cell r="AC14">
            <v>8.7899999999999991</v>
          </cell>
          <cell r="AD14">
            <v>56283</v>
          </cell>
          <cell r="AE14">
            <v>8181502</v>
          </cell>
          <cell r="AF14">
            <v>0.1376</v>
          </cell>
          <cell r="AG14">
            <v>246</v>
          </cell>
          <cell r="AH14">
            <v>17878818</v>
          </cell>
          <cell r="AI14">
            <v>4149</v>
          </cell>
          <cell r="AJ14">
            <v>497</v>
          </cell>
          <cell r="AK14" t="str">
            <v>WESTCHESTER AVE</v>
          </cell>
          <cell r="AL14" t="str">
            <v>UNION AVE</v>
          </cell>
          <cell r="AM14" t="str">
            <v>E 152ND ST</v>
          </cell>
          <cell r="AO14" t="str">
            <v>BRONX</v>
          </cell>
          <cell r="AP14">
            <v>1</v>
          </cell>
          <cell r="AQ14">
            <v>15</v>
          </cell>
          <cell r="AR14">
            <v>29</v>
          </cell>
          <cell r="AS14">
            <v>84</v>
          </cell>
          <cell r="AT14">
            <v>17</v>
          </cell>
          <cell r="AU14">
            <v>23620</v>
          </cell>
        </row>
        <row r="15">
          <cell r="B15" t="str">
            <v>ALBANY</v>
          </cell>
          <cell r="C15" t="str">
            <v>NY005010310</v>
          </cell>
          <cell r="D15">
            <v>31</v>
          </cell>
          <cell r="E15">
            <v>31</v>
          </cell>
          <cell r="F15">
            <v>524</v>
          </cell>
          <cell r="G15">
            <v>524</v>
          </cell>
          <cell r="H15" t="str">
            <v>NY005216C</v>
          </cell>
          <cell r="I15" t="str">
            <v>FEDERAL</v>
          </cell>
          <cell r="J15" t="str">
            <v>CONVENTIONAL</v>
          </cell>
          <cell r="K15" t="str">
            <v>NEW CONST</v>
          </cell>
          <cell r="M15">
            <v>823</v>
          </cell>
          <cell r="N15">
            <v>829</v>
          </cell>
          <cell r="O15">
            <v>3777.5</v>
          </cell>
          <cell r="P15">
            <v>4.59</v>
          </cell>
          <cell r="R15">
            <v>1886</v>
          </cell>
          <cell r="S15">
            <v>1886</v>
          </cell>
          <cell r="T15">
            <v>267</v>
          </cell>
          <cell r="U15">
            <v>0.32700000000000001</v>
          </cell>
          <cell r="V15">
            <v>6</v>
          </cell>
          <cell r="W15">
            <v>0</v>
          </cell>
          <cell r="X15">
            <v>6</v>
          </cell>
          <cell r="Y15">
            <v>14</v>
          </cell>
          <cell r="Z15">
            <v>388389</v>
          </cell>
          <cell r="AA15">
            <v>8.92</v>
          </cell>
          <cell r="AB15">
            <v>388389</v>
          </cell>
          <cell r="AC15">
            <v>8.92</v>
          </cell>
          <cell r="AD15">
            <v>58455</v>
          </cell>
          <cell r="AE15">
            <v>7082630</v>
          </cell>
          <cell r="AF15">
            <v>0.15049999999999999</v>
          </cell>
          <cell r="AG15">
            <v>211</v>
          </cell>
          <cell r="AH15">
            <v>8951000</v>
          </cell>
          <cell r="AI15">
            <v>2356</v>
          </cell>
          <cell r="AJ15">
            <v>565</v>
          </cell>
          <cell r="AK15" t="str">
            <v>ALBANY AVE</v>
          </cell>
          <cell r="AL15" t="str">
            <v>SAINT MARKS AVE</v>
          </cell>
          <cell r="AM15" t="str">
            <v>TROY AVE</v>
          </cell>
          <cell r="AN15" t="str">
            <v>PARK PL</v>
          </cell>
          <cell r="AO15" t="str">
            <v>BROOKLYN</v>
          </cell>
          <cell r="AP15">
            <v>8</v>
          </cell>
          <cell r="AQ15">
            <v>9</v>
          </cell>
          <cell r="AR15">
            <v>25</v>
          </cell>
          <cell r="AS15">
            <v>56</v>
          </cell>
          <cell r="AT15">
            <v>36</v>
          </cell>
          <cell r="AU15">
            <v>18550</v>
          </cell>
          <cell r="AV15" t="str">
            <v>1978/02/01-ATP 2</v>
          </cell>
        </row>
        <row r="16">
          <cell r="B16" t="str">
            <v>ALBANY II</v>
          </cell>
          <cell r="C16" t="str">
            <v>NY005010310</v>
          </cell>
          <cell r="D16">
            <v>85</v>
          </cell>
          <cell r="E16">
            <v>31</v>
          </cell>
          <cell r="F16">
            <v>524</v>
          </cell>
          <cell r="G16">
            <v>524</v>
          </cell>
          <cell r="H16" t="str">
            <v>NY005216C</v>
          </cell>
          <cell r="I16" t="str">
            <v>FEDERAL</v>
          </cell>
          <cell r="J16" t="str">
            <v>CONVENTIONAL</v>
          </cell>
          <cell r="K16" t="str">
            <v>NEW CONST</v>
          </cell>
          <cell r="M16">
            <v>400</v>
          </cell>
          <cell r="N16">
            <v>400</v>
          </cell>
          <cell r="O16">
            <v>1848</v>
          </cell>
          <cell r="P16">
            <v>4.62</v>
          </cell>
          <cell r="R16">
            <v>985</v>
          </cell>
          <cell r="S16">
            <v>985</v>
          </cell>
          <cell r="T16">
            <v>130</v>
          </cell>
          <cell r="U16">
            <v>0.33100000000000002</v>
          </cell>
          <cell r="V16">
            <v>3</v>
          </cell>
          <cell r="W16">
            <v>0</v>
          </cell>
          <cell r="X16">
            <v>3</v>
          </cell>
          <cell r="Y16" t="str">
            <v>13-14</v>
          </cell>
          <cell r="Z16">
            <v>214594</v>
          </cell>
          <cell r="AA16">
            <v>4.93</v>
          </cell>
          <cell r="AB16">
            <v>214594</v>
          </cell>
          <cell r="AC16">
            <v>4.93</v>
          </cell>
          <cell r="AD16">
            <v>26053</v>
          </cell>
          <cell r="AE16">
            <v>3249689</v>
          </cell>
          <cell r="AF16">
            <v>0.12139999999999999</v>
          </cell>
          <cell r="AG16">
            <v>200</v>
          </cell>
          <cell r="AH16">
            <v>4666000</v>
          </cell>
          <cell r="AI16">
            <v>2540</v>
          </cell>
          <cell r="AJ16">
            <v>542</v>
          </cell>
          <cell r="AK16" t="str">
            <v>BERGEN ST</v>
          </cell>
          <cell r="AL16" t="str">
            <v>TROY AVE</v>
          </cell>
          <cell r="AM16" t="str">
            <v>ALBANY HOUSES</v>
          </cell>
          <cell r="AN16" t="str">
            <v>ALBANY AVE</v>
          </cell>
          <cell r="AO16" t="str">
            <v>BROOKLYN</v>
          </cell>
          <cell r="AP16">
            <v>8</v>
          </cell>
          <cell r="AQ16">
            <v>9</v>
          </cell>
          <cell r="AR16">
            <v>25</v>
          </cell>
          <cell r="AS16">
            <v>56</v>
          </cell>
          <cell r="AT16">
            <v>36</v>
          </cell>
          <cell r="AU16">
            <v>20858</v>
          </cell>
          <cell r="AV16" t="str">
            <v>1978/02/01-ATP 2</v>
          </cell>
        </row>
        <row r="17">
          <cell r="B17" t="str">
            <v>AMSTERDAM</v>
          </cell>
          <cell r="C17" t="str">
            <v>NY005010220</v>
          </cell>
          <cell r="D17">
            <v>22</v>
          </cell>
          <cell r="E17">
            <v>22</v>
          </cell>
          <cell r="F17">
            <v>530</v>
          </cell>
          <cell r="G17">
            <v>530</v>
          </cell>
          <cell r="H17" t="str">
            <v>NY005220A</v>
          </cell>
          <cell r="I17" t="str">
            <v>FEDERAL</v>
          </cell>
          <cell r="J17" t="str">
            <v>CONVENTIONAL</v>
          </cell>
          <cell r="K17" t="str">
            <v>NEW CONST</v>
          </cell>
          <cell r="M17">
            <v>1084</v>
          </cell>
          <cell r="N17">
            <v>1084</v>
          </cell>
          <cell r="O17">
            <v>5129</v>
          </cell>
          <cell r="P17">
            <v>4.7300000000000004</v>
          </cell>
          <cell r="R17">
            <v>2270</v>
          </cell>
          <cell r="S17">
            <v>2270</v>
          </cell>
          <cell r="T17">
            <v>468</v>
          </cell>
          <cell r="U17">
            <v>0.435</v>
          </cell>
          <cell r="V17">
            <v>13</v>
          </cell>
          <cell r="W17">
            <v>0</v>
          </cell>
          <cell r="X17">
            <v>24</v>
          </cell>
          <cell r="Y17">
            <v>43629</v>
          </cell>
          <cell r="Z17">
            <v>446172</v>
          </cell>
          <cell r="AA17">
            <v>10.24</v>
          </cell>
          <cell r="AB17">
            <v>413534</v>
          </cell>
          <cell r="AC17">
            <v>9.49</v>
          </cell>
          <cell r="AD17">
            <v>100358</v>
          </cell>
          <cell r="AE17">
            <v>8233310</v>
          </cell>
          <cell r="AF17">
            <v>0.22489999999999999</v>
          </cell>
          <cell r="AG17">
            <v>222</v>
          </cell>
          <cell r="AH17">
            <v>12262000</v>
          </cell>
          <cell r="AI17">
            <v>2391</v>
          </cell>
          <cell r="AJ17">
            <v>544</v>
          </cell>
          <cell r="AK17" t="str">
            <v>W 61ST ST</v>
          </cell>
          <cell r="AL17" t="str">
            <v>W 64TH ST</v>
          </cell>
          <cell r="AM17" t="str">
            <v>WEST END AVE</v>
          </cell>
          <cell r="AN17" t="str">
            <v>AMSTERDAM AVE</v>
          </cell>
          <cell r="AO17" t="str">
            <v>MANHATTAN</v>
          </cell>
          <cell r="AP17">
            <v>7</v>
          </cell>
          <cell r="AQ17">
            <v>10</v>
          </cell>
          <cell r="AR17">
            <v>31</v>
          </cell>
          <cell r="AS17">
            <v>67</v>
          </cell>
          <cell r="AT17">
            <v>6</v>
          </cell>
          <cell r="AU17">
            <v>17884</v>
          </cell>
          <cell r="AV17" t="str">
            <v>1978/07/01-ATP 3</v>
          </cell>
        </row>
        <row r="18">
          <cell r="B18" t="str">
            <v>AMSTERDAM ADDITION</v>
          </cell>
          <cell r="C18" t="str">
            <v>NY005021870</v>
          </cell>
          <cell r="D18">
            <v>187</v>
          </cell>
          <cell r="E18">
            <v>22</v>
          </cell>
          <cell r="F18">
            <v>453</v>
          </cell>
          <cell r="G18">
            <v>453</v>
          </cell>
          <cell r="H18" t="str">
            <v>NY005366</v>
          </cell>
          <cell r="I18" t="str">
            <v>MIXED FINANCE/LLC1</v>
          </cell>
          <cell r="J18" t="str">
            <v>CONVENTIONAL</v>
          </cell>
          <cell r="K18" t="str">
            <v>NEW CONST</v>
          </cell>
          <cell r="L18">
            <v>26</v>
          </cell>
          <cell r="M18">
            <v>175</v>
          </cell>
          <cell r="N18">
            <v>175</v>
          </cell>
          <cell r="O18">
            <v>762.5</v>
          </cell>
          <cell r="P18">
            <v>4.3600000000000003</v>
          </cell>
          <cell r="Q18">
            <v>66</v>
          </cell>
          <cell r="R18">
            <v>287</v>
          </cell>
          <cell r="S18">
            <v>353</v>
          </cell>
          <cell r="T18">
            <v>97</v>
          </cell>
          <cell r="U18">
            <v>0.55700000000000005</v>
          </cell>
          <cell r="V18">
            <v>1</v>
          </cell>
          <cell r="W18">
            <v>0</v>
          </cell>
          <cell r="X18">
            <v>1</v>
          </cell>
          <cell r="Y18">
            <v>27</v>
          </cell>
          <cell r="Z18">
            <v>36154</v>
          </cell>
          <cell r="AA18">
            <v>0.83</v>
          </cell>
          <cell r="AB18">
            <v>36154</v>
          </cell>
          <cell r="AC18">
            <v>0.83</v>
          </cell>
          <cell r="AD18">
            <v>17562</v>
          </cell>
          <cell r="AE18">
            <v>1825587</v>
          </cell>
          <cell r="AF18">
            <v>0.48580000000000001</v>
          </cell>
          <cell r="AG18">
            <v>425</v>
          </cell>
          <cell r="AH18">
            <v>7053000</v>
          </cell>
          <cell r="AI18">
            <v>9250</v>
          </cell>
          <cell r="AJ18">
            <v>510</v>
          </cell>
          <cell r="AK18" t="str">
            <v>W 64TH ST</v>
          </cell>
          <cell r="AL18" t="str">
            <v>W 65TH ST</v>
          </cell>
          <cell r="AM18" t="str">
            <v>AMSTERDAM AVE</v>
          </cell>
          <cell r="AN18" t="str">
            <v>WEST END AVE</v>
          </cell>
          <cell r="AO18" t="str">
            <v>MANHATTAN</v>
          </cell>
          <cell r="AP18">
            <v>7</v>
          </cell>
          <cell r="AQ18">
            <v>10</v>
          </cell>
          <cell r="AR18">
            <v>31</v>
          </cell>
          <cell r="AS18">
            <v>67</v>
          </cell>
          <cell r="AT18">
            <v>6</v>
          </cell>
          <cell r="AU18">
            <v>27060</v>
          </cell>
        </row>
        <row r="19">
          <cell r="B19" t="str">
            <v>ARMSTRONG I</v>
          </cell>
          <cell r="C19" t="str">
            <v>NY005012100</v>
          </cell>
          <cell r="D19">
            <v>210</v>
          </cell>
          <cell r="E19">
            <v>210</v>
          </cell>
          <cell r="F19">
            <v>325</v>
          </cell>
          <cell r="G19">
            <v>325</v>
          </cell>
          <cell r="H19" t="str">
            <v>NY005120</v>
          </cell>
          <cell r="I19" t="str">
            <v>FEDERAL</v>
          </cell>
          <cell r="J19" t="str">
            <v>CONVENTIONAL</v>
          </cell>
          <cell r="K19" t="str">
            <v>NEW CONST</v>
          </cell>
          <cell r="M19">
            <v>369</v>
          </cell>
          <cell r="N19">
            <v>371</v>
          </cell>
          <cell r="O19">
            <v>1763.5</v>
          </cell>
          <cell r="P19">
            <v>4.78</v>
          </cell>
          <cell r="R19">
            <v>977</v>
          </cell>
          <cell r="S19">
            <v>977</v>
          </cell>
          <cell r="T19">
            <v>143</v>
          </cell>
          <cell r="U19">
            <v>0.39</v>
          </cell>
          <cell r="V19">
            <v>11</v>
          </cell>
          <cell r="W19">
            <v>1</v>
          </cell>
          <cell r="X19">
            <v>58</v>
          </cell>
          <cell r="Y19">
            <v>38780</v>
          </cell>
          <cell r="Z19">
            <v>245481</v>
          </cell>
          <cell r="AA19">
            <v>5.64</v>
          </cell>
          <cell r="AB19">
            <v>245481</v>
          </cell>
          <cell r="AC19">
            <v>5.64</v>
          </cell>
          <cell r="AD19">
            <v>94311</v>
          </cell>
          <cell r="AE19">
            <v>4800020</v>
          </cell>
          <cell r="AF19">
            <v>0.38419999999999999</v>
          </cell>
          <cell r="AG19">
            <v>173</v>
          </cell>
          <cell r="AH19">
            <v>14648872</v>
          </cell>
          <cell r="AI19">
            <v>8129</v>
          </cell>
          <cell r="AJ19">
            <v>581</v>
          </cell>
          <cell r="AK19" t="str">
            <v>CLIFTON PL</v>
          </cell>
          <cell r="AL19" t="str">
            <v>MARCY AVE</v>
          </cell>
          <cell r="AM19" t="str">
            <v>GATES AVE</v>
          </cell>
          <cell r="AN19" t="str">
            <v>BEDFORD AVE</v>
          </cell>
          <cell r="AO19" t="str">
            <v>BROOKLYN</v>
          </cell>
          <cell r="AP19">
            <v>3</v>
          </cell>
          <cell r="AQ19">
            <v>8</v>
          </cell>
          <cell r="AR19">
            <v>25</v>
          </cell>
          <cell r="AS19" t="str">
            <v>56, 57</v>
          </cell>
          <cell r="AT19">
            <v>36</v>
          </cell>
          <cell r="AU19">
            <v>26815</v>
          </cell>
          <cell r="AW19" t="str">
            <v>PARTIALLY</v>
          </cell>
        </row>
        <row r="20">
          <cell r="B20" t="str">
            <v>ARMSTRONG II</v>
          </cell>
          <cell r="C20" t="str">
            <v>NY005012100</v>
          </cell>
          <cell r="D20">
            <v>228</v>
          </cell>
          <cell r="E20">
            <v>210</v>
          </cell>
          <cell r="F20">
            <v>355</v>
          </cell>
          <cell r="G20">
            <v>325</v>
          </cell>
          <cell r="H20" t="str">
            <v>NY005116</v>
          </cell>
          <cell r="I20" t="str">
            <v>FEDERAL</v>
          </cell>
          <cell r="J20" t="str">
            <v>TURNKEY</v>
          </cell>
          <cell r="K20" t="str">
            <v>NEW CONST</v>
          </cell>
          <cell r="M20">
            <v>248</v>
          </cell>
          <cell r="N20">
            <v>248</v>
          </cell>
          <cell r="O20">
            <v>1276</v>
          </cell>
          <cell r="P20">
            <v>5.15</v>
          </cell>
          <cell r="R20">
            <v>702</v>
          </cell>
          <cell r="S20">
            <v>702</v>
          </cell>
          <cell r="T20">
            <v>58</v>
          </cell>
          <cell r="U20">
            <v>0.23799999999999999</v>
          </cell>
          <cell r="V20">
            <v>5</v>
          </cell>
          <cell r="W20">
            <v>1</v>
          </cell>
          <cell r="X20">
            <v>17</v>
          </cell>
          <cell r="Y20">
            <v>4</v>
          </cell>
          <cell r="Z20">
            <v>162118</v>
          </cell>
          <cell r="AA20">
            <v>3.72</v>
          </cell>
          <cell r="AB20">
            <v>162118</v>
          </cell>
          <cell r="AC20">
            <v>3.72</v>
          </cell>
          <cell r="AD20">
            <v>67372</v>
          </cell>
          <cell r="AE20">
            <v>3123424</v>
          </cell>
          <cell r="AF20">
            <v>0.41560000000000002</v>
          </cell>
          <cell r="AG20">
            <v>189</v>
          </cell>
          <cell r="AH20">
            <v>7802067</v>
          </cell>
          <cell r="AI20">
            <v>6114</v>
          </cell>
          <cell r="AJ20">
            <v>600</v>
          </cell>
          <cell r="AK20" t="str">
            <v>GREENE AVE</v>
          </cell>
          <cell r="AL20" t="str">
            <v>GATES AVE</v>
          </cell>
          <cell r="AM20" t="str">
            <v>TOMPKINS AVE</v>
          </cell>
          <cell r="AN20" t="str">
            <v>MARCY AVE</v>
          </cell>
          <cell r="AO20" t="str">
            <v>BROOKLYN</v>
          </cell>
          <cell r="AP20">
            <v>3</v>
          </cell>
          <cell r="AQ20">
            <v>8</v>
          </cell>
          <cell r="AR20">
            <v>25</v>
          </cell>
          <cell r="AS20">
            <v>56</v>
          </cell>
          <cell r="AT20">
            <v>36</v>
          </cell>
          <cell r="AU20">
            <v>27333</v>
          </cell>
        </row>
        <row r="21">
          <cell r="B21" t="str">
            <v>ASTORIA</v>
          </cell>
          <cell r="C21" t="str">
            <v>NY005000260</v>
          </cell>
          <cell r="D21">
            <v>26</v>
          </cell>
          <cell r="E21">
            <v>26</v>
          </cell>
          <cell r="F21">
            <v>517</v>
          </cell>
          <cell r="G21">
            <v>517</v>
          </cell>
          <cell r="H21" t="str">
            <v>NY005213I</v>
          </cell>
          <cell r="I21" t="str">
            <v>FEDERAL</v>
          </cell>
          <cell r="J21" t="str">
            <v>CONVENTIONAL</v>
          </cell>
          <cell r="K21" t="str">
            <v>NEW CONST</v>
          </cell>
          <cell r="M21">
            <v>1104</v>
          </cell>
          <cell r="N21">
            <v>1104</v>
          </cell>
          <cell r="O21">
            <v>5607</v>
          </cell>
          <cell r="P21">
            <v>5.08</v>
          </cell>
          <cell r="R21">
            <v>3032</v>
          </cell>
          <cell r="S21">
            <v>3032</v>
          </cell>
          <cell r="T21">
            <v>366</v>
          </cell>
          <cell r="U21">
            <v>0.33300000000000002</v>
          </cell>
          <cell r="V21">
            <v>22</v>
          </cell>
          <cell r="W21">
            <v>1</v>
          </cell>
          <cell r="X21">
            <v>22</v>
          </cell>
          <cell r="Y21">
            <v>43623</v>
          </cell>
          <cell r="Z21">
            <v>1406832</v>
          </cell>
          <cell r="AA21">
            <v>32.299999999999997</v>
          </cell>
          <cell r="AB21">
            <v>1151484</v>
          </cell>
          <cell r="AC21">
            <v>26.43</v>
          </cell>
          <cell r="AD21">
            <v>173434</v>
          </cell>
          <cell r="AE21">
            <v>10826559</v>
          </cell>
          <cell r="AF21">
            <v>0.12330000000000001</v>
          </cell>
          <cell r="AG21">
            <v>94</v>
          </cell>
          <cell r="AH21">
            <v>14122000</v>
          </cell>
          <cell r="AI21">
            <v>2519</v>
          </cell>
          <cell r="AJ21">
            <v>593</v>
          </cell>
          <cell r="AK21" t="str">
            <v>27TH AVE</v>
          </cell>
          <cell r="AL21" t="str">
            <v>8TH ST</v>
          </cell>
          <cell r="AM21" t="str">
            <v>HALLET'S COVE</v>
          </cell>
          <cell r="AN21" t="str">
            <v>EAST RIVER</v>
          </cell>
          <cell r="AO21" t="str">
            <v>QUEENS</v>
          </cell>
          <cell r="AP21">
            <v>1</v>
          </cell>
          <cell r="AQ21">
            <v>12</v>
          </cell>
          <cell r="AR21">
            <v>12</v>
          </cell>
          <cell r="AS21">
            <v>37</v>
          </cell>
          <cell r="AT21">
            <v>22</v>
          </cell>
          <cell r="AU21">
            <v>18941</v>
          </cell>
          <cell r="AV21" t="str">
            <v>1977/07/01-ATP 1</v>
          </cell>
        </row>
        <row r="22">
          <cell r="B22" t="str">
            <v>ATLANTIC TERMINAL SITE 4B</v>
          </cell>
          <cell r="C22" t="str">
            <v>NY005011630</v>
          </cell>
          <cell r="D22">
            <v>256</v>
          </cell>
          <cell r="E22">
            <v>163</v>
          </cell>
          <cell r="F22">
            <v>384</v>
          </cell>
          <cell r="G22">
            <v>272</v>
          </cell>
          <cell r="H22" t="str">
            <v>NY005189</v>
          </cell>
          <cell r="I22" t="str">
            <v>FEDERAL</v>
          </cell>
          <cell r="J22" t="str">
            <v>TURNKEY</v>
          </cell>
          <cell r="K22" t="str">
            <v>NEW CONST</v>
          </cell>
          <cell r="M22">
            <v>299</v>
          </cell>
          <cell r="N22">
            <v>300</v>
          </cell>
          <cell r="O22">
            <v>1237.5</v>
          </cell>
          <cell r="P22">
            <v>4.1399999999999997</v>
          </cell>
          <cell r="R22">
            <v>582</v>
          </cell>
          <cell r="S22">
            <v>582</v>
          </cell>
          <cell r="T22">
            <v>121</v>
          </cell>
          <cell r="U22">
            <v>0.41</v>
          </cell>
          <cell r="V22">
            <v>1</v>
          </cell>
          <cell r="W22">
            <v>0</v>
          </cell>
          <cell r="X22">
            <v>1</v>
          </cell>
          <cell r="Y22">
            <v>31</v>
          </cell>
          <cell r="Z22">
            <v>88155</v>
          </cell>
          <cell r="AA22">
            <v>2.02</v>
          </cell>
          <cell r="AB22">
            <v>88155</v>
          </cell>
          <cell r="AC22">
            <v>2.02</v>
          </cell>
          <cell r="AD22">
            <v>15382</v>
          </cell>
          <cell r="AE22">
            <v>2464800</v>
          </cell>
          <cell r="AF22">
            <v>0.17449999999999999</v>
          </cell>
          <cell r="AG22">
            <v>288</v>
          </cell>
          <cell r="AH22">
            <v>10797972</v>
          </cell>
          <cell r="AI22">
            <v>8489</v>
          </cell>
          <cell r="AJ22">
            <v>562</v>
          </cell>
          <cell r="AK22" t="str">
            <v>CLERMONT AVE</v>
          </cell>
          <cell r="AL22" t="str">
            <v>ATLANTIC AVE</v>
          </cell>
          <cell r="AM22" t="str">
            <v>CARLTON AVE</v>
          </cell>
          <cell r="AN22" t="str">
            <v>FULTON ST</v>
          </cell>
          <cell r="AO22" t="str">
            <v>BROOKLYN</v>
          </cell>
          <cell r="AP22">
            <v>2</v>
          </cell>
          <cell r="AQ22">
            <v>8</v>
          </cell>
          <cell r="AR22">
            <v>25</v>
          </cell>
          <cell r="AS22">
            <v>57</v>
          </cell>
          <cell r="AT22">
            <v>35</v>
          </cell>
          <cell r="AU22">
            <v>27880</v>
          </cell>
        </row>
        <row r="23">
          <cell r="B23" t="str">
            <v>AUDUBON</v>
          </cell>
          <cell r="C23" t="str">
            <v>NY005010030</v>
          </cell>
          <cell r="D23">
            <v>125</v>
          </cell>
          <cell r="E23">
            <v>3</v>
          </cell>
          <cell r="F23">
            <v>444</v>
          </cell>
          <cell r="G23">
            <v>444</v>
          </cell>
          <cell r="H23" t="str">
            <v>NY005365</v>
          </cell>
          <cell r="I23" t="str">
            <v>FEDERAL</v>
          </cell>
          <cell r="J23" t="str">
            <v>CONVENTIONAL</v>
          </cell>
          <cell r="K23" t="str">
            <v>NEW CONST</v>
          </cell>
          <cell r="M23">
            <v>167</v>
          </cell>
          <cell r="N23">
            <v>168</v>
          </cell>
          <cell r="O23">
            <v>826.5</v>
          </cell>
          <cell r="P23">
            <v>4.95</v>
          </cell>
          <cell r="R23">
            <v>446</v>
          </cell>
          <cell r="S23">
            <v>446</v>
          </cell>
          <cell r="T23">
            <v>64</v>
          </cell>
          <cell r="U23">
            <v>0.38800000000000001</v>
          </cell>
          <cell r="V23">
            <v>1</v>
          </cell>
          <cell r="W23">
            <v>0</v>
          </cell>
          <cell r="X23">
            <v>1</v>
          </cell>
          <cell r="Y23">
            <v>20</v>
          </cell>
          <cell r="Z23">
            <v>27477</v>
          </cell>
          <cell r="AA23">
            <v>0.63</v>
          </cell>
          <cell r="AB23">
            <v>27477</v>
          </cell>
          <cell r="AC23">
            <v>0.63</v>
          </cell>
          <cell r="AD23">
            <v>9043</v>
          </cell>
          <cell r="AE23">
            <v>1585892</v>
          </cell>
          <cell r="AF23">
            <v>0.3291</v>
          </cell>
          <cell r="AG23">
            <v>708</v>
          </cell>
          <cell r="AH23">
            <v>2817000</v>
          </cell>
          <cell r="AI23">
            <v>3382</v>
          </cell>
          <cell r="AJ23">
            <v>578</v>
          </cell>
          <cell r="AK23" t="str">
            <v>W 154TH ST</v>
          </cell>
          <cell r="AL23" t="str">
            <v>W 155TH ST</v>
          </cell>
          <cell r="AM23" t="str">
            <v>AMSTERDAM AVE</v>
          </cell>
          <cell r="AO23" t="str">
            <v>MANHATTAN</v>
          </cell>
          <cell r="AP23">
            <v>9</v>
          </cell>
          <cell r="AQ23">
            <v>13</v>
          </cell>
          <cell r="AR23">
            <v>30</v>
          </cell>
          <cell r="AS23">
            <v>71</v>
          </cell>
          <cell r="AT23">
            <v>7</v>
          </cell>
          <cell r="AU23">
            <v>22766</v>
          </cell>
          <cell r="AV23" t="str">
            <v>1995/07/13-PTA</v>
          </cell>
        </row>
        <row r="24">
          <cell r="B24" t="str">
            <v>BAILEY AVENUE-WEST 193RD STREET</v>
          </cell>
          <cell r="C24" t="str">
            <v>NY005012020</v>
          </cell>
          <cell r="D24">
            <v>202</v>
          </cell>
          <cell r="E24">
            <v>197</v>
          </cell>
          <cell r="F24">
            <v>311</v>
          </cell>
          <cell r="G24">
            <v>311</v>
          </cell>
          <cell r="H24" t="str">
            <v>NY005106</v>
          </cell>
          <cell r="I24" t="str">
            <v>FEDERAL</v>
          </cell>
          <cell r="J24" t="str">
            <v>CONVENTIONAL</v>
          </cell>
          <cell r="K24" t="str">
            <v>NEW CONST</v>
          </cell>
          <cell r="M24">
            <v>232</v>
          </cell>
          <cell r="N24">
            <v>233</v>
          </cell>
          <cell r="O24">
            <v>976</v>
          </cell>
          <cell r="P24">
            <v>4.21</v>
          </cell>
          <cell r="R24">
            <v>455</v>
          </cell>
          <cell r="S24">
            <v>455</v>
          </cell>
          <cell r="T24">
            <v>89</v>
          </cell>
          <cell r="U24">
            <v>0.38700000000000001</v>
          </cell>
          <cell r="V24">
            <v>1</v>
          </cell>
          <cell r="W24">
            <v>0</v>
          </cell>
          <cell r="X24">
            <v>1</v>
          </cell>
          <cell r="Y24">
            <v>20</v>
          </cell>
          <cell r="Z24">
            <v>99606</v>
          </cell>
          <cell r="AA24">
            <v>2.29</v>
          </cell>
          <cell r="AB24">
            <v>99606</v>
          </cell>
          <cell r="AC24">
            <v>2.29</v>
          </cell>
          <cell r="AD24">
            <v>13621</v>
          </cell>
          <cell r="AE24">
            <v>1877893</v>
          </cell>
          <cell r="AF24">
            <v>0.13669999999999999</v>
          </cell>
          <cell r="AG24">
            <v>199</v>
          </cell>
          <cell r="AH24">
            <v>8091156</v>
          </cell>
          <cell r="AI24">
            <v>8173</v>
          </cell>
          <cell r="AJ24">
            <v>493</v>
          </cell>
          <cell r="AK24" t="str">
            <v>BAILEY AVE</v>
          </cell>
          <cell r="AL24" t="str">
            <v>W 193RD ST</v>
          </cell>
          <cell r="AM24" t="str">
            <v>HEATH AVE</v>
          </cell>
          <cell r="AO24" t="str">
            <v>BRONX</v>
          </cell>
          <cell r="AP24">
            <v>7</v>
          </cell>
          <cell r="AQ24">
            <v>13</v>
          </cell>
          <cell r="AR24">
            <v>33</v>
          </cell>
          <cell r="AS24">
            <v>86</v>
          </cell>
          <cell r="AT24">
            <v>14</v>
          </cell>
          <cell r="AU24">
            <v>26815</v>
          </cell>
        </row>
        <row r="25">
          <cell r="B25" t="str">
            <v>BAISLEY PARK</v>
          </cell>
          <cell r="C25" t="str">
            <v>NY005010910</v>
          </cell>
          <cell r="D25">
            <v>91</v>
          </cell>
          <cell r="E25">
            <v>91</v>
          </cell>
          <cell r="F25">
            <v>240</v>
          </cell>
          <cell r="G25">
            <v>240</v>
          </cell>
          <cell r="H25" t="str">
            <v>NY005038</v>
          </cell>
          <cell r="I25" t="str">
            <v>FEDERAL</v>
          </cell>
          <cell r="J25" t="str">
            <v>CONVENTIONAL</v>
          </cell>
          <cell r="K25" t="str">
            <v>NEW CONST</v>
          </cell>
          <cell r="M25">
            <v>381</v>
          </cell>
          <cell r="N25">
            <v>386</v>
          </cell>
          <cell r="O25">
            <v>1779.5</v>
          </cell>
          <cell r="P25">
            <v>4.67</v>
          </cell>
          <cell r="R25">
            <v>947</v>
          </cell>
          <cell r="S25">
            <v>947</v>
          </cell>
          <cell r="T25">
            <v>143</v>
          </cell>
          <cell r="U25">
            <v>0.377</v>
          </cell>
          <cell r="V25">
            <v>5</v>
          </cell>
          <cell r="W25">
            <v>1</v>
          </cell>
          <cell r="X25">
            <v>8</v>
          </cell>
          <cell r="Y25">
            <v>8</v>
          </cell>
          <cell r="Z25">
            <v>325713</v>
          </cell>
          <cell r="AA25">
            <v>7.48</v>
          </cell>
          <cell r="AB25">
            <v>325713</v>
          </cell>
          <cell r="AC25">
            <v>7.48</v>
          </cell>
          <cell r="AD25">
            <v>54504</v>
          </cell>
          <cell r="AE25">
            <v>3529560</v>
          </cell>
          <cell r="AF25">
            <v>0.1673</v>
          </cell>
          <cell r="AG25">
            <v>127</v>
          </cell>
          <cell r="AH25">
            <v>5856304</v>
          </cell>
          <cell r="AI25">
            <v>3246</v>
          </cell>
          <cell r="AJ25">
            <v>548</v>
          </cell>
          <cell r="AK25" t="str">
            <v>LIRR</v>
          </cell>
          <cell r="AL25" t="str">
            <v>FOCH BLVD</v>
          </cell>
          <cell r="AM25" t="str">
            <v>116TH AVE</v>
          </cell>
          <cell r="AN25" t="str">
            <v>GUY BREWER BLVD</v>
          </cell>
          <cell r="AO25" t="str">
            <v>QUEENS</v>
          </cell>
          <cell r="AP25">
            <v>12</v>
          </cell>
          <cell r="AQ25">
            <v>5</v>
          </cell>
          <cell r="AR25" t="str">
            <v>10, 14</v>
          </cell>
          <cell r="AS25">
            <v>32</v>
          </cell>
          <cell r="AT25">
            <v>28</v>
          </cell>
          <cell r="AU25">
            <v>22401</v>
          </cell>
        </row>
        <row r="26">
          <cell r="B26" t="str">
            <v>BARUCH</v>
          </cell>
          <cell r="C26" t="str">
            <v>NY005010600</v>
          </cell>
          <cell r="D26">
            <v>60</v>
          </cell>
          <cell r="E26">
            <v>60</v>
          </cell>
          <cell r="F26">
            <v>215</v>
          </cell>
          <cell r="G26">
            <v>215</v>
          </cell>
          <cell r="H26" t="str">
            <v>NY005012</v>
          </cell>
          <cell r="I26" t="str">
            <v>FEDERAL</v>
          </cell>
          <cell r="J26" t="str">
            <v>CONVENTIONAL</v>
          </cell>
          <cell r="K26" t="str">
            <v>NEW CONST</v>
          </cell>
          <cell r="M26">
            <v>2193</v>
          </cell>
          <cell r="N26">
            <v>2194</v>
          </cell>
          <cell r="O26">
            <v>10240.5</v>
          </cell>
          <cell r="P26">
            <v>4.67</v>
          </cell>
          <cell r="R26">
            <v>4872</v>
          </cell>
          <cell r="S26">
            <v>4872</v>
          </cell>
          <cell r="T26">
            <v>962</v>
          </cell>
          <cell r="U26">
            <v>0.44500000000000001</v>
          </cell>
          <cell r="V26">
            <v>17</v>
          </cell>
          <cell r="W26">
            <v>1</v>
          </cell>
          <cell r="X26">
            <v>35</v>
          </cell>
          <cell r="Y26">
            <v>41833</v>
          </cell>
          <cell r="Z26">
            <v>1196115</v>
          </cell>
          <cell r="AA26">
            <v>27.46</v>
          </cell>
          <cell r="AB26">
            <v>1101503</v>
          </cell>
          <cell r="AC26">
            <v>25.29</v>
          </cell>
          <cell r="AD26">
            <v>160098</v>
          </cell>
          <cell r="AE26">
            <v>17784205</v>
          </cell>
          <cell r="AF26">
            <v>0.1338</v>
          </cell>
          <cell r="AG26">
            <v>177</v>
          </cell>
          <cell r="AH26">
            <v>36411155</v>
          </cell>
          <cell r="AI26">
            <v>3553</v>
          </cell>
          <cell r="AJ26">
            <v>534</v>
          </cell>
          <cell r="AK26" t="str">
            <v>E HOUSTON ST</v>
          </cell>
          <cell r="AL26" t="str">
            <v>FDR DRIVE</v>
          </cell>
          <cell r="AM26" t="str">
            <v>DELANCEY ST</v>
          </cell>
          <cell r="AN26" t="str">
            <v>COLUMBIA ST</v>
          </cell>
          <cell r="AO26" t="str">
            <v>MANHATTAN</v>
          </cell>
          <cell r="AP26">
            <v>3</v>
          </cell>
          <cell r="AQ26">
            <v>7</v>
          </cell>
          <cell r="AR26">
            <v>26</v>
          </cell>
          <cell r="AS26">
            <v>74</v>
          </cell>
          <cell r="AT26">
            <v>2</v>
          </cell>
          <cell r="AU26">
            <v>21768</v>
          </cell>
        </row>
        <row r="27">
          <cell r="B27" t="str">
            <v>BARUCH HOUSES ADDITION</v>
          </cell>
          <cell r="C27" t="str">
            <v>NY005010600</v>
          </cell>
          <cell r="D27">
            <v>198</v>
          </cell>
          <cell r="E27">
            <v>60</v>
          </cell>
          <cell r="F27">
            <v>383</v>
          </cell>
          <cell r="G27">
            <v>215</v>
          </cell>
          <cell r="H27" t="str">
            <v>NY005111</v>
          </cell>
          <cell r="I27" t="str">
            <v>FEDERAL</v>
          </cell>
          <cell r="J27" t="str">
            <v>CONVENTIONAL</v>
          </cell>
          <cell r="K27" t="str">
            <v>NEW CONST (ELD)</v>
          </cell>
          <cell r="M27">
            <v>197</v>
          </cell>
          <cell r="N27">
            <v>197</v>
          </cell>
          <cell r="O27">
            <v>646.5</v>
          </cell>
          <cell r="P27">
            <v>3.28</v>
          </cell>
          <cell r="R27">
            <v>242</v>
          </cell>
          <cell r="S27">
            <v>242</v>
          </cell>
          <cell r="T27">
            <v>179</v>
          </cell>
          <cell r="U27">
            <v>0.92300000000000004</v>
          </cell>
          <cell r="V27">
            <v>1</v>
          </cell>
          <cell r="W27">
            <v>0</v>
          </cell>
          <cell r="X27">
            <v>1</v>
          </cell>
          <cell r="Y27">
            <v>23</v>
          </cell>
          <cell r="Z27">
            <v>47204</v>
          </cell>
          <cell r="AA27">
            <v>1.08</v>
          </cell>
          <cell r="AB27">
            <v>47204</v>
          </cell>
          <cell r="AC27">
            <v>1.08</v>
          </cell>
          <cell r="AD27">
            <v>6149</v>
          </cell>
          <cell r="AE27">
            <v>1268931</v>
          </cell>
          <cell r="AF27">
            <v>0.1303</v>
          </cell>
          <cell r="AG27">
            <v>224</v>
          </cell>
          <cell r="AH27">
            <v>6622549</v>
          </cell>
          <cell r="AI27">
            <v>9907</v>
          </cell>
          <cell r="AJ27">
            <v>302</v>
          </cell>
          <cell r="AK27" t="str">
            <v>COLUMBIA ST</v>
          </cell>
          <cell r="AL27" t="str">
            <v>DELANCEY ST</v>
          </cell>
          <cell r="AM27" t="str">
            <v>E HOUSTON ST</v>
          </cell>
          <cell r="AN27" t="str">
            <v>FDR DRIVE</v>
          </cell>
          <cell r="AO27" t="str">
            <v>MANHATTAN</v>
          </cell>
          <cell r="AP27">
            <v>3</v>
          </cell>
          <cell r="AQ27">
            <v>7</v>
          </cell>
          <cell r="AR27">
            <v>26</v>
          </cell>
          <cell r="AS27">
            <v>74</v>
          </cell>
          <cell r="AT27">
            <v>2</v>
          </cell>
          <cell r="AU27">
            <v>28245</v>
          </cell>
          <cell r="AW27" t="str">
            <v>EXCLUSIVELY</v>
          </cell>
        </row>
        <row r="28">
          <cell r="B28" t="str">
            <v>BAY VIEW</v>
          </cell>
          <cell r="C28" t="str">
            <v>NY005020920</v>
          </cell>
          <cell r="D28">
            <v>92</v>
          </cell>
          <cell r="E28">
            <v>92</v>
          </cell>
          <cell r="F28">
            <v>670</v>
          </cell>
          <cell r="G28">
            <v>670</v>
          </cell>
          <cell r="H28" t="str">
            <v>NY005368</v>
          </cell>
          <cell r="I28" t="str">
            <v>MIXED FINANCE/LLC1</v>
          </cell>
          <cell r="J28" t="str">
            <v>CONVENTIONAL</v>
          </cell>
          <cell r="K28" t="str">
            <v>NEW CONST</v>
          </cell>
          <cell r="L28">
            <v>340</v>
          </cell>
          <cell r="M28">
            <v>1609</v>
          </cell>
          <cell r="N28">
            <v>1610</v>
          </cell>
          <cell r="O28">
            <v>7310.5</v>
          </cell>
          <cell r="P28">
            <v>4.54</v>
          </cell>
          <cell r="Q28">
            <v>871</v>
          </cell>
          <cell r="R28">
            <v>2635</v>
          </cell>
          <cell r="S28">
            <v>3506</v>
          </cell>
          <cell r="T28">
            <v>620</v>
          </cell>
          <cell r="U28">
            <v>0.38800000000000001</v>
          </cell>
          <cell r="V28">
            <v>23</v>
          </cell>
          <cell r="W28">
            <v>2</v>
          </cell>
          <cell r="X28">
            <v>26</v>
          </cell>
          <cell r="Y28">
            <v>8</v>
          </cell>
          <cell r="Z28">
            <v>1481844</v>
          </cell>
          <cell r="AA28">
            <v>34.020000000000003</v>
          </cell>
          <cell r="AB28">
            <v>1459244</v>
          </cell>
          <cell r="AC28">
            <v>33.5</v>
          </cell>
          <cell r="AD28">
            <v>228305</v>
          </cell>
          <cell r="AE28">
            <v>14262296</v>
          </cell>
          <cell r="AF28">
            <v>0.15409999999999999</v>
          </cell>
          <cell r="AG28">
            <v>103</v>
          </cell>
          <cell r="AH28">
            <v>19575470</v>
          </cell>
          <cell r="AI28">
            <v>2676</v>
          </cell>
          <cell r="AJ28">
            <v>529</v>
          </cell>
          <cell r="AK28" t="str">
            <v>SEAVIEW AVE</v>
          </cell>
          <cell r="AL28" t="str">
            <v>E 102ND ST</v>
          </cell>
          <cell r="AM28" t="str">
            <v>ROCKAWAY PKWY</v>
          </cell>
          <cell r="AN28" t="str">
            <v>SHORE PKWY</v>
          </cell>
          <cell r="AO28" t="str">
            <v>BROOKLYN</v>
          </cell>
          <cell r="AP28">
            <v>18</v>
          </cell>
          <cell r="AQ28">
            <v>8</v>
          </cell>
          <cell r="AR28">
            <v>19</v>
          </cell>
          <cell r="AS28">
            <v>59</v>
          </cell>
          <cell r="AT28">
            <v>46</v>
          </cell>
          <cell r="AU28">
            <v>20613</v>
          </cell>
        </row>
        <row r="29">
          <cell r="B29" t="str">
            <v>BEACH 41ST STREET-BEACH CHANNEL DRIVE</v>
          </cell>
          <cell r="C29" t="str">
            <v>NY005001650</v>
          </cell>
          <cell r="D29">
            <v>165</v>
          </cell>
          <cell r="E29">
            <v>165</v>
          </cell>
          <cell r="F29">
            <v>282</v>
          </cell>
          <cell r="G29">
            <v>282</v>
          </cell>
          <cell r="H29" t="str">
            <v>NY005086</v>
          </cell>
          <cell r="I29" t="str">
            <v>FEDERAL</v>
          </cell>
          <cell r="J29" t="str">
            <v>CONVENTIONAL</v>
          </cell>
          <cell r="K29" t="str">
            <v>NEW CONST</v>
          </cell>
          <cell r="M29">
            <v>712</v>
          </cell>
          <cell r="N29">
            <v>712</v>
          </cell>
          <cell r="O29">
            <v>3106</v>
          </cell>
          <cell r="P29">
            <v>4.3600000000000003</v>
          </cell>
          <cell r="R29">
            <v>1622</v>
          </cell>
          <cell r="S29">
            <v>1622</v>
          </cell>
          <cell r="T29">
            <v>233</v>
          </cell>
          <cell r="U29">
            <v>0.33500000000000002</v>
          </cell>
          <cell r="V29">
            <v>4</v>
          </cell>
          <cell r="W29">
            <v>1</v>
          </cell>
          <cell r="X29">
            <v>7</v>
          </cell>
          <cell r="Y29">
            <v>13</v>
          </cell>
          <cell r="Z29">
            <v>580000</v>
          </cell>
          <cell r="AA29">
            <v>13.31</v>
          </cell>
          <cell r="AB29">
            <v>580000</v>
          </cell>
          <cell r="AC29">
            <v>13.31</v>
          </cell>
          <cell r="AD29">
            <v>66756</v>
          </cell>
          <cell r="AE29">
            <v>6385727</v>
          </cell>
          <cell r="AF29">
            <v>0.11509999999999999</v>
          </cell>
          <cell r="AG29">
            <v>122</v>
          </cell>
          <cell r="AH29">
            <v>24811000</v>
          </cell>
          <cell r="AI29">
            <v>7988</v>
          </cell>
          <cell r="AJ29">
            <v>470</v>
          </cell>
          <cell r="AK29" t="str">
            <v>B 38TH ST</v>
          </cell>
          <cell r="AL29" t="str">
            <v>B 41ST ST</v>
          </cell>
          <cell r="AM29" t="str">
            <v>NORTON AVE</v>
          </cell>
          <cell r="AN29" t="str">
            <v>B CHANNEL DR</v>
          </cell>
          <cell r="AO29" t="str">
            <v>QUEENS</v>
          </cell>
          <cell r="AP29">
            <v>14</v>
          </cell>
          <cell r="AQ29">
            <v>5</v>
          </cell>
          <cell r="AR29">
            <v>10</v>
          </cell>
          <cell r="AS29">
            <v>31</v>
          </cell>
          <cell r="AT29">
            <v>31</v>
          </cell>
          <cell r="AU29">
            <v>26998</v>
          </cell>
        </row>
        <row r="30">
          <cell r="B30" t="str">
            <v>BEDFORD-STUYVESANT REHAB</v>
          </cell>
          <cell r="C30" t="str">
            <v>NY005010730</v>
          </cell>
          <cell r="D30">
            <v>311</v>
          </cell>
          <cell r="E30">
            <v>73</v>
          </cell>
          <cell r="F30">
            <v>266</v>
          </cell>
          <cell r="G30">
            <v>538</v>
          </cell>
          <cell r="H30" t="str">
            <v>NY005255</v>
          </cell>
          <cell r="I30" t="str">
            <v>FEDERAL</v>
          </cell>
          <cell r="J30" t="str">
            <v>TURNKEY</v>
          </cell>
          <cell r="K30" t="str">
            <v>REHAB</v>
          </cell>
          <cell r="M30">
            <v>84</v>
          </cell>
          <cell r="N30">
            <v>85</v>
          </cell>
          <cell r="O30">
            <v>381</v>
          </cell>
          <cell r="P30">
            <v>4.54</v>
          </cell>
          <cell r="R30">
            <v>180</v>
          </cell>
          <cell r="S30">
            <v>180</v>
          </cell>
          <cell r="T30">
            <v>29</v>
          </cell>
          <cell r="U30">
            <v>0.34899999999999998</v>
          </cell>
          <cell r="V30">
            <v>3</v>
          </cell>
          <cell r="W30">
            <v>0</v>
          </cell>
          <cell r="X30">
            <v>5</v>
          </cell>
          <cell r="Y30">
            <v>43561</v>
          </cell>
          <cell r="Z30">
            <v>26000</v>
          </cell>
          <cell r="AA30">
            <v>0.6</v>
          </cell>
          <cell r="AB30">
            <v>26000</v>
          </cell>
          <cell r="AC30">
            <v>0.6</v>
          </cell>
          <cell r="AD30">
            <v>18283</v>
          </cell>
          <cell r="AE30">
            <v>856611</v>
          </cell>
          <cell r="AF30">
            <v>0.70320000000000005</v>
          </cell>
          <cell r="AG30">
            <v>300</v>
          </cell>
          <cell r="AH30">
            <v>5219763</v>
          </cell>
          <cell r="AI30">
            <v>13316</v>
          </cell>
          <cell r="AJ30">
            <v>579</v>
          </cell>
          <cell r="AK30" t="str">
            <v>THROOP AVE</v>
          </cell>
          <cell r="AL30" t="str">
            <v>VERNON AVE</v>
          </cell>
          <cell r="AM30" t="str">
            <v>MARCUS GARVEY BLVD</v>
          </cell>
          <cell r="AN30" t="str">
            <v>HART ST</v>
          </cell>
          <cell r="AO30" t="str">
            <v>BROOKLYN</v>
          </cell>
          <cell r="AP30">
            <v>3</v>
          </cell>
          <cell r="AQ30">
            <v>8</v>
          </cell>
          <cell r="AR30">
            <v>18</v>
          </cell>
          <cell r="AS30">
            <v>54</v>
          </cell>
          <cell r="AT30">
            <v>36</v>
          </cell>
          <cell r="AU30">
            <v>30467</v>
          </cell>
          <cell r="AX30" t="str">
            <v>YES</v>
          </cell>
        </row>
        <row r="31">
          <cell r="B31" t="str">
            <v>BELMONT-SUTTER AREA</v>
          </cell>
          <cell r="C31" t="str">
            <v>NY005010460</v>
          </cell>
          <cell r="D31">
            <v>345</v>
          </cell>
          <cell r="E31">
            <v>46</v>
          </cell>
          <cell r="F31">
            <v>761</v>
          </cell>
          <cell r="G31">
            <v>761</v>
          </cell>
          <cell r="H31" t="str">
            <v>NY005282</v>
          </cell>
          <cell r="I31" t="str">
            <v>FEDERAL</v>
          </cell>
          <cell r="J31" t="str">
            <v>TURNKEY</v>
          </cell>
          <cell r="K31" t="str">
            <v>NEW CONST</v>
          </cell>
          <cell r="M31">
            <v>72</v>
          </cell>
          <cell r="N31">
            <v>72</v>
          </cell>
          <cell r="O31">
            <v>336</v>
          </cell>
          <cell r="P31">
            <v>4.67</v>
          </cell>
          <cell r="R31">
            <v>189</v>
          </cell>
          <cell r="S31">
            <v>189</v>
          </cell>
          <cell r="T31">
            <v>21</v>
          </cell>
          <cell r="U31">
            <v>0.29199999999999998</v>
          </cell>
          <cell r="V31">
            <v>3</v>
          </cell>
          <cell r="W31">
            <v>0</v>
          </cell>
          <cell r="X31">
            <v>8</v>
          </cell>
          <cell r="Y31">
            <v>3</v>
          </cell>
          <cell r="Z31">
            <v>80000</v>
          </cell>
          <cell r="AA31">
            <v>1.84</v>
          </cell>
          <cell r="AB31">
            <v>80000</v>
          </cell>
          <cell r="AC31">
            <v>1.84</v>
          </cell>
          <cell r="AD31">
            <v>24395</v>
          </cell>
          <cell r="AE31">
            <v>889912</v>
          </cell>
          <cell r="AF31">
            <v>0.3049</v>
          </cell>
          <cell r="AG31">
            <v>103</v>
          </cell>
          <cell r="AH31">
            <v>5373534</v>
          </cell>
          <cell r="AI31">
            <v>15993</v>
          </cell>
          <cell r="AJ31">
            <v>577</v>
          </cell>
          <cell r="AK31" t="str">
            <v>BELMONT AVE</v>
          </cell>
          <cell r="AL31" t="str">
            <v>JEROME ST</v>
          </cell>
          <cell r="AM31" t="str">
            <v>SUTTER AVE</v>
          </cell>
          <cell r="AN31" t="str">
            <v>BARBEY ST</v>
          </cell>
          <cell r="AO31" t="str">
            <v>BROOKLYN</v>
          </cell>
          <cell r="AP31">
            <v>5</v>
          </cell>
          <cell r="AQ31">
            <v>8</v>
          </cell>
          <cell r="AR31">
            <v>19</v>
          </cell>
          <cell r="AS31">
            <v>60</v>
          </cell>
          <cell r="AT31">
            <v>42</v>
          </cell>
          <cell r="AU31">
            <v>31471</v>
          </cell>
          <cell r="AX31" t="str">
            <v>YES</v>
          </cell>
        </row>
        <row r="32">
          <cell r="B32" t="str">
            <v>BERRY</v>
          </cell>
          <cell r="C32" t="str">
            <v>NY005000520</v>
          </cell>
          <cell r="D32">
            <v>52</v>
          </cell>
          <cell r="E32">
            <v>52</v>
          </cell>
          <cell r="F32">
            <v>587</v>
          </cell>
          <cell r="G32">
            <v>587</v>
          </cell>
          <cell r="H32" t="str">
            <v>NY005271B</v>
          </cell>
          <cell r="I32" t="str">
            <v>FEDERAL</v>
          </cell>
          <cell r="J32" t="str">
            <v>CONVENTIONAL</v>
          </cell>
          <cell r="K32" t="str">
            <v>NEW CONST</v>
          </cell>
          <cell r="M32">
            <v>506</v>
          </cell>
          <cell r="N32">
            <v>506</v>
          </cell>
          <cell r="O32">
            <v>2129</v>
          </cell>
          <cell r="P32">
            <v>4.21</v>
          </cell>
          <cell r="R32">
            <v>944</v>
          </cell>
          <cell r="S32">
            <v>944</v>
          </cell>
          <cell r="T32">
            <v>220</v>
          </cell>
          <cell r="U32">
            <v>0.439</v>
          </cell>
          <cell r="V32">
            <v>8</v>
          </cell>
          <cell r="W32">
            <v>1</v>
          </cell>
          <cell r="X32">
            <v>17</v>
          </cell>
          <cell r="Y32">
            <v>6</v>
          </cell>
          <cell r="Z32">
            <v>604913</v>
          </cell>
          <cell r="AA32">
            <v>13.89</v>
          </cell>
          <cell r="AB32">
            <v>511178</v>
          </cell>
          <cell r="AC32">
            <v>11.74</v>
          </cell>
          <cell r="AD32">
            <v>77152</v>
          </cell>
          <cell r="AE32">
            <v>4520277</v>
          </cell>
          <cell r="AF32">
            <v>0.1275</v>
          </cell>
          <cell r="AG32">
            <v>68</v>
          </cell>
          <cell r="AH32">
            <v>5929376</v>
          </cell>
          <cell r="AI32">
            <v>2785</v>
          </cell>
          <cell r="AJ32">
            <v>511</v>
          </cell>
          <cell r="AK32" t="str">
            <v>RICHMOND RD</v>
          </cell>
          <cell r="AL32" t="str">
            <v>DONGAN HILLS AVE</v>
          </cell>
          <cell r="AM32" t="str">
            <v>SEAVER AVE</v>
          </cell>
          <cell r="AN32" t="str">
            <v>JEFFERSON ST</v>
          </cell>
          <cell r="AO32" t="str">
            <v>STATEN ISLAND</v>
          </cell>
          <cell r="AP32">
            <v>2</v>
          </cell>
          <cell r="AQ32">
            <v>11</v>
          </cell>
          <cell r="AR32">
            <v>24</v>
          </cell>
          <cell r="AS32">
            <v>63</v>
          </cell>
          <cell r="AT32">
            <v>50</v>
          </cell>
          <cell r="AU32">
            <v>18563</v>
          </cell>
          <cell r="AV32" t="str">
            <v>1980/10/01-ATP 7</v>
          </cell>
        </row>
        <row r="33">
          <cell r="B33" t="str">
            <v>BERRY STREET-SOUTH 9TH STREET</v>
          </cell>
          <cell r="C33" t="str">
            <v>NY005011310</v>
          </cell>
          <cell r="D33">
            <v>357</v>
          </cell>
          <cell r="E33">
            <v>131</v>
          </cell>
          <cell r="F33">
            <v>777</v>
          </cell>
          <cell r="G33">
            <v>777</v>
          </cell>
          <cell r="H33" t="str">
            <v>NY005288</v>
          </cell>
          <cell r="I33" t="str">
            <v>FEDERAL</v>
          </cell>
          <cell r="J33" t="str">
            <v>TURNKEY</v>
          </cell>
          <cell r="K33" t="str">
            <v>NEW CONST</v>
          </cell>
          <cell r="M33">
            <v>150</v>
          </cell>
          <cell r="N33">
            <v>150</v>
          </cell>
          <cell r="O33">
            <v>711</v>
          </cell>
          <cell r="P33">
            <v>4.74</v>
          </cell>
          <cell r="R33">
            <v>370</v>
          </cell>
          <cell r="S33">
            <v>370</v>
          </cell>
          <cell r="T33">
            <v>44</v>
          </cell>
          <cell r="U33">
            <v>0.29899999999999999</v>
          </cell>
          <cell r="V33">
            <v>4</v>
          </cell>
          <cell r="W33">
            <v>0</v>
          </cell>
          <cell r="X33">
            <v>15</v>
          </cell>
          <cell r="Y33">
            <v>43530</v>
          </cell>
          <cell r="Z33">
            <v>129228</v>
          </cell>
          <cell r="AA33">
            <v>2.97</v>
          </cell>
          <cell r="AB33">
            <v>129228</v>
          </cell>
          <cell r="AC33">
            <v>2.97</v>
          </cell>
          <cell r="AD33">
            <v>39559</v>
          </cell>
          <cell r="AE33">
            <v>1341343</v>
          </cell>
          <cell r="AF33">
            <v>0.30609999999999998</v>
          </cell>
          <cell r="AG33">
            <v>125</v>
          </cell>
          <cell r="AH33">
            <v>17062418</v>
          </cell>
          <cell r="AI33">
            <v>23999</v>
          </cell>
          <cell r="AJ33">
            <v>627</v>
          </cell>
          <cell r="AK33" t="str">
            <v>SOUTH 9TH ST</v>
          </cell>
          <cell r="AL33" t="str">
            <v>BEDFORD &amp; DIVISION AVES</v>
          </cell>
          <cell r="AM33" t="str">
            <v>SOUTH 11TH ST</v>
          </cell>
          <cell r="AN33" t="str">
            <v>WYTHE AVE</v>
          </cell>
          <cell r="AO33" t="str">
            <v>BROOKLYN</v>
          </cell>
          <cell r="AP33">
            <v>1</v>
          </cell>
          <cell r="AQ33">
            <v>7</v>
          </cell>
          <cell r="AR33">
            <v>18</v>
          </cell>
          <cell r="AS33">
            <v>50</v>
          </cell>
          <cell r="AT33">
            <v>33</v>
          </cell>
          <cell r="AU33">
            <v>34972</v>
          </cell>
          <cell r="AX33" t="str">
            <v>YES</v>
          </cell>
        </row>
        <row r="34">
          <cell r="B34" t="str">
            <v>BETHUNE GARDENS</v>
          </cell>
          <cell r="C34" t="str">
            <v>NY005010030</v>
          </cell>
          <cell r="D34">
            <v>160</v>
          </cell>
          <cell r="E34">
            <v>3</v>
          </cell>
          <cell r="F34">
            <v>271</v>
          </cell>
          <cell r="G34">
            <v>271</v>
          </cell>
          <cell r="H34" t="str">
            <v>NY005070</v>
          </cell>
          <cell r="I34" t="str">
            <v>FEDERAL</v>
          </cell>
          <cell r="J34" t="str">
            <v>CONVENTIONAL</v>
          </cell>
          <cell r="K34" t="str">
            <v>NEW CONST (ELD)</v>
          </cell>
          <cell r="M34">
            <v>210</v>
          </cell>
          <cell r="N34">
            <v>210</v>
          </cell>
          <cell r="O34">
            <v>735</v>
          </cell>
          <cell r="P34">
            <v>3.5</v>
          </cell>
          <cell r="R34">
            <v>260</v>
          </cell>
          <cell r="S34">
            <v>260</v>
          </cell>
          <cell r="T34">
            <v>185</v>
          </cell>
          <cell r="U34">
            <v>0.88500000000000001</v>
          </cell>
          <cell r="V34">
            <v>1</v>
          </cell>
          <cell r="W34">
            <v>0</v>
          </cell>
          <cell r="X34">
            <v>1</v>
          </cell>
          <cell r="Y34">
            <v>22</v>
          </cell>
          <cell r="Z34">
            <v>63546</v>
          </cell>
          <cell r="AA34">
            <v>1.46</v>
          </cell>
          <cell r="AB34">
            <v>63546</v>
          </cell>
          <cell r="AC34">
            <v>1.46</v>
          </cell>
          <cell r="AD34">
            <v>7751</v>
          </cell>
          <cell r="AE34">
            <v>1393115</v>
          </cell>
          <cell r="AF34">
            <v>0.122</v>
          </cell>
          <cell r="AG34">
            <v>178</v>
          </cell>
          <cell r="AH34">
            <v>3785397</v>
          </cell>
          <cell r="AI34">
            <v>5007</v>
          </cell>
          <cell r="AJ34">
            <v>337</v>
          </cell>
          <cell r="AK34" t="str">
            <v>W 156TH ST</v>
          </cell>
          <cell r="AL34" t="str">
            <v>SAINT NICHOLAS AVE</v>
          </cell>
          <cell r="AM34" t="str">
            <v>AMSTERDAM AVE</v>
          </cell>
          <cell r="AO34" t="str">
            <v>MANHATTAN</v>
          </cell>
          <cell r="AP34">
            <v>12</v>
          </cell>
          <cell r="AQ34">
            <v>13</v>
          </cell>
          <cell r="AR34">
            <v>30</v>
          </cell>
          <cell r="AS34">
            <v>71</v>
          </cell>
          <cell r="AT34">
            <v>7</v>
          </cell>
          <cell r="AU34">
            <v>24562</v>
          </cell>
          <cell r="AW34" t="str">
            <v>EXCLUSIVELY</v>
          </cell>
        </row>
        <row r="35">
          <cell r="B35" t="str">
            <v>BLAND</v>
          </cell>
          <cell r="C35" t="str">
            <v>NY005011860</v>
          </cell>
          <cell r="D35">
            <v>54</v>
          </cell>
          <cell r="E35">
            <v>186</v>
          </cell>
          <cell r="F35">
            <v>519</v>
          </cell>
          <cell r="G35">
            <v>519</v>
          </cell>
          <cell r="H35" t="str">
            <v>NY005213K</v>
          </cell>
          <cell r="I35" t="str">
            <v>FEDERAL</v>
          </cell>
          <cell r="J35" t="str">
            <v>CONVENTIONAL</v>
          </cell>
          <cell r="K35" t="str">
            <v>NEW CONST</v>
          </cell>
          <cell r="M35">
            <v>399</v>
          </cell>
          <cell r="N35">
            <v>400</v>
          </cell>
          <cell r="O35">
            <v>1850.5</v>
          </cell>
          <cell r="P35">
            <v>4.6399999999999997</v>
          </cell>
          <cell r="R35">
            <v>863</v>
          </cell>
          <cell r="S35">
            <v>863</v>
          </cell>
          <cell r="T35">
            <v>167</v>
          </cell>
          <cell r="U35">
            <v>0.42299999999999999</v>
          </cell>
          <cell r="V35">
            <v>5</v>
          </cell>
          <cell r="W35">
            <v>0</v>
          </cell>
          <cell r="X35">
            <v>5</v>
          </cell>
          <cell r="Y35">
            <v>10</v>
          </cell>
          <cell r="Z35">
            <v>269800</v>
          </cell>
          <cell r="AA35">
            <v>6.19</v>
          </cell>
          <cell r="AB35">
            <v>245785</v>
          </cell>
          <cell r="AC35">
            <v>5.64</v>
          </cell>
          <cell r="AD35">
            <v>43237</v>
          </cell>
          <cell r="AE35">
            <v>3668503</v>
          </cell>
          <cell r="AF35">
            <v>0.1603</v>
          </cell>
          <cell r="AG35">
            <v>139</v>
          </cell>
          <cell r="AH35">
            <v>5925000</v>
          </cell>
          <cell r="AI35">
            <v>3205</v>
          </cell>
          <cell r="AJ35">
            <v>585</v>
          </cell>
          <cell r="AK35" t="str">
            <v>ROOSEVELT AVE</v>
          </cell>
          <cell r="AL35" t="str">
            <v>PRINCE ST</v>
          </cell>
          <cell r="AM35" t="str">
            <v>COLLEGE POINT BLVD</v>
          </cell>
          <cell r="AN35" t="str">
            <v>LIRR</v>
          </cell>
          <cell r="AO35" t="str">
            <v>QUEENS</v>
          </cell>
          <cell r="AP35">
            <v>7</v>
          </cell>
          <cell r="AQ35">
            <v>6</v>
          </cell>
          <cell r="AR35">
            <v>11</v>
          </cell>
          <cell r="AS35">
            <v>40</v>
          </cell>
          <cell r="AT35">
            <v>20</v>
          </cell>
          <cell r="AU35">
            <v>19122</v>
          </cell>
          <cell r="AV35" t="str">
            <v>1977/07/01-ATP 1</v>
          </cell>
        </row>
        <row r="36">
          <cell r="B36" t="str">
            <v>BORINQUEN PLAZA I</v>
          </cell>
          <cell r="C36" t="str">
            <v>NY005012430</v>
          </cell>
          <cell r="D36">
            <v>243</v>
          </cell>
          <cell r="E36">
            <v>243</v>
          </cell>
          <cell r="F36">
            <v>353</v>
          </cell>
          <cell r="G36">
            <v>353</v>
          </cell>
          <cell r="H36" t="str">
            <v>NY005175</v>
          </cell>
          <cell r="I36" t="str">
            <v>FEDERAL</v>
          </cell>
          <cell r="J36" t="str">
            <v>TURNKEY</v>
          </cell>
          <cell r="K36" t="str">
            <v>NEW CONST</v>
          </cell>
          <cell r="M36">
            <v>509</v>
          </cell>
          <cell r="N36">
            <v>509</v>
          </cell>
          <cell r="O36">
            <v>2359.5</v>
          </cell>
          <cell r="P36">
            <v>4.6399999999999997</v>
          </cell>
          <cell r="R36">
            <v>1123</v>
          </cell>
          <cell r="S36">
            <v>1123</v>
          </cell>
          <cell r="T36">
            <v>270</v>
          </cell>
          <cell r="U36">
            <v>0.53900000000000003</v>
          </cell>
          <cell r="V36">
            <v>8</v>
          </cell>
          <cell r="W36">
            <v>2</v>
          </cell>
          <cell r="X36">
            <v>10</v>
          </cell>
          <cell r="Y36">
            <v>7</v>
          </cell>
          <cell r="Z36">
            <v>250875</v>
          </cell>
          <cell r="AA36">
            <v>5.76</v>
          </cell>
          <cell r="AB36">
            <v>250875</v>
          </cell>
          <cell r="AC36">
            <v>5.76</v>
          </cell>
          <cell r="AD36">
            <v>96902</v>
          </cell>
          <cell r="AE36">
            <v>4544080</v>
          </cell>
          <cell r="AF36">
            <v>0.38629999999999998</v>
          </cell>
          <cell r="AG36">
            <v>195</v>
          </cell>
          <cell r="AH36">
            <v>15625047</v>
          </cell>
          <cell r="AI36">
            <v>6556</v>
          </cell>
          <cell r="AJ36">
            <v>539</v>
          </cell>
          <cell r="AK36" t="str">
            <v>MANHATTAN AVE</v>
          </cell>
          <cell r="AL36" t="str">
            <v>BOERUM ST</v>
          </cell>
          <cell r="AM36" t="str">
            <v>BUSHWICK AVE</v>
          </cell>
          <cell r="AN36" t="str">
            <v>VARET ST</v>
          </cell>
          <cell r="AO36" t="str">
            <v>BROOKLYN</v>
          </cell>
          <cell r="AP36">
            <v>1</v>
          </cell>
          <cell r="AQ36">
            <v>7</v>
          </cell>
          <cell r="AR36">
            <v>18</v>
          </cell>
          <cell r="AS36">
            <v>53</v>
          </cell>
          <cell r="AT36">
            <v>34</v>
          </cell>
          <cell r="AU36">
            <v>27453</v>
          </cell>
          <cell r="AW36" t="str">
            <v>PARTIALLY</v>
          </cell>
        </row>
        <row r="37">
          <cell r="B37" t="str">
            <v>BORINQUEN PLAZA II</v>
          </cell>
          <cell r="C37" t="str">
            <v>NY005012430</v>
          </cell>
          <cell r="D37">
            <v>271</v>
          </cell>
          <cell r="E37">
            <v>243</v>
          </cell>
          <cell r="F37">
            <v>390</v>
          </cell>
          <cell r="G37">
            <v>353</v>
          </cell>
          <cell r="H37" t="str">
            <v>NY005195</v>
          </cell>
          <cell r="I37" t="str">
            <v>FEDERAL</v>
          </cell>
          <cell r="J37" t="str">
            <v>TURNKEY</v>
          </cell>
          <cell r="K37" t="str">
            <v>NEW CONST</v>
          </cell>
          <cell r="M37">
            <v>425</v>
          </cell>
          <cell r="N37">
            <v>425</v>
          </cell>
          <cell r="O37">
            <v>2265.5</v>
          </cell>
          <cell r="P37">
            <v>5.33</v>
          </cell>
          <cell r="R37">
            <v>1123</v>
          </cell>
          <cell r="S37">
            <v>1123</v>
          </cell>
          <cell r="T37">
            <v>149</v>
          </cell>
          <cell r="U37">
            <v>0.35099999999999998</v>
          </cell>
          <cell r="V37">
            <v>7</v>
          </cell>
          <cell r="W37">
            <v>0</v>
          </cell>
          <cell r="X37">
            <v>7</v>
          </cell>
          <cell r="Y37">
            <v>7</v>
          </cell>
          <cell r="Z37">
            <v>184000</v>
          </cell>
          <cell r="AA37">
            <v>4.22</v>
          </cell>
          <cell r="AB37">
            <v>184000</v>
          </cell>
          <cell r="AC37">
            <v>4.22</v>
          </cell>
          <cell r="AD37">
            <v>61115</v>
          </cell>
          <cell r="AE37">
            <v>4223000</v>
          </cell>
          <cell r="AF37">
            <v>0.33210000000000001</v>
          </cell>
          <cell r="AG37">
            <v>266</v>
          </cell>
          <cell r="AH37">
            <v>16411918</v>
          </cell>
          <cell r="AI37">
            <v>7244</v>
          </cell>
          <cell r="AJ37">
            <v>612</v>
          </cell>
          <cell r="AK37" t="str">
            <v>BOERUM ST</v>
          </cell>
          <cell r="AL37" t="str">
            <v>HUMBOLDT ST</v>
          </cell>
          <cell r="AM37" t="str">
            <v>SEIGEL ST</v>
          </cell>
          <cell r="AN37" t="str">
            <v>BUSHWICK AVE</v>
          </cell>
          <cell r="AO37" t="str">
            <v>BROOKLYN</v>
          </cell>
          <cell r="AP37">
            <v>1</v>
          </cell>
          <cell r="AQ37">
            <v>7</v>
          </cell>
          <cell r="AR37">
            <v>18</v>
          </cell>
          <cell r="AS37">
            <v>53</v>
          </cell>
          <cell r="AT37">
            <v>34</v>
          </cell>
          <cell r="AU37">
            <v>27759</v>
          </cell>
        </row>
        <row r="38">
          <cell r="B38" t="str">
            <v>BOSTON ROAD PLAZA</v>
          </cell>
          <cell r="C38" t="str">
            <v>NY005010390</v>
          </cell>
          <cell r="D38">
            <v>189</v>
          </cell>
          <cell r="E38">
            <v>39</v>
          </cell>
          <cell r="F38">
            <v>304</v>
          </cell>
          <cell r="G38">
            <v>304</v>
          </cell>
          <cell r="H38" t="str">
            <v>NY005095</v>
          </cell>
          <cell r="I38" t="str">
            <v>FEDERAL</v>
          </cell>
          <cell r="J38" t="str">
            <v>CONVENTIONAL</v>
          </cell>
          <cell r="K38" t="str">
            <v>NEW CONST (ELD)</v>
          </cell>
          <cell r="M38">
            <v>232</v>
          </cell>
          <cell r="N38">
            <v>235</v>
          </cell>
          <cell r="O38">
            <v>814</v>
          </cell>
          <cell r="P38">
            <v>3.51</v>
          </cell>
          <cell r="R38">
            <v>276</v>
          </cell>
          <cell r="S38">
            <v>276</v>
          </cell>
          <cell r="T38">
            <v>207</v>
          </cell>
          <cell r="U38">
            <v>0.89200000000000002</v>
          </cell>
          <cell r="V38">
            <v>1</v>
          </cell>
          <cell r="W38">
            <v>1</v>
          </cell>
          <cell r="X38">
            <v>2</v>
          </cell>
          <cell r="Y38">
            <v>20</v>
          </cell>
          <cell r="Z38">
            <v>84416</v>
          </cell>
          <cell r="AA38">
            <v>1.94</v>
          </cell>
          <cell r="AB38">
            <v>84416</v>
          </cell>
          <cell r="AC38">
            <v>1.94</v>
          </cell>
          <cell r="AD38">
            <v>15045</v>
          </cell>
          <cell r="AE38">
            <v>1589318</v>
          </cell>
          <cell r="AF38">
            <v>0.1782</v>
          </cell>
          <cell r="AG38">
            <v>142</v>
          </cell>
          <cell r="AH38">
            <v>7125145</v>
          </cell>
          <cell r="AI38">
            <v>8452</v>
          </cell>
          <cell r="AJ38">
            <v>368</v>
          </cell>
          <cell r="AK38" t="str">
            <v>MACE AVE</v>
          </cell>
          <cell r="AL38" t="str">
            <v>HOLLAND AVE</v>
          </cell>
          <cell r="AM38" t="str">
            <v>WARING AVE</v>
          </cell>
          <cell r="AN38" t="str">
            <v>BOSTON RD</v>
          </cell>
          <cell r="AO38" t="str">
            <v>BRONX</v>
          </cell>
          <cell r="AP38">
            <v>11</v>
          </cell>
          <cell r="AQ38">
            <v>14</v>
          </cell>
          <cell r="AR38">
            <v>34</v>
          </cell>
          <cell r="AS38">
            <v>80</v>
          </cell>
          <cell r="AT38">
            <v>13</v>
          </cell>
          <cell r="AU38">
            <v>26542</v>
          </cell>
          <cell r="AW38" t="str">
            <v>EXCLUSIVELY</v>
          </cell>
        </row>
        <row r="39">
          <cell r="B39" t="str">
            <v>BOSTON SECOR</v>
          </cell>
          <cell r="C39" t="str">
            <v>NY005011380</v>
          </cell>
          <cell r="D39">
            <v>138</v>
          </cell>
          <cell r="E39">
            <v>138</v>
          </cell>
          <cell r="F39">
            <v>254</v>
          </cell>
          <cell r="G39">
            <v>254</v>
          </cell>
          <cell r="H39" t="str">
            <v>NY005060</v>
          </cell>
          <cell r="I39" t="str">
            <v>FEDERAL</v>
          </cell>
          <cell r="J39" t="str">
            <v>CONVENTIONAL</v>
          </cell>
          <cell r="K39" t="str">
            <v>NEW CONST</v>
          </cell>
          <cell r="M39">
            <v>538</v>
          </cell>
          <cell r="N39">
            <v>538</v>
          </cell>
          <cell r="O39">
            <v>2487</v>
          </cell>
          <cell r="P39">
            <v>4.62</v>
          </cell>
          <cell r="R39">
            <v>1322</v>
          </cell>
          <cell r="S39">
            <v>1322</v>
          </cell>
          <cell r="T39">
            <v>184</v>
          </cell>
          <cell r="U39">
            <v>0.34599999999999997</v>
          </cell>
          <cell r="V39">
            <v>4</v>
          </cell>
          <cell r="W39">
            <v>2</v>
          </cell>
          <cell r="X39">
            <v>5</v>
          </cell>
          <cell r="Y39" t="str">
            <v>13-14-17-18</v>
          </cell>
          <cell r="Z39">
            <v>612889</v>
          </cell>
          <cell r="AA39">
            <v>14.07</v>
          </cell>
          <cell r="AB39">
            <v>612889</v>
          </cell>
          <cell r="AC39">
            <v>14.07</v>
          </cell>
          <cell r="AD39">
            <v>36181</v>
          </cell>
          <cell r="AE39">
            <v>4849474</v>
          </cell>
          <cell r="AF39">
            <v>5.8999999999999997E-2</v>
          </cell>
          <cell r="AG39">
            <v>94</v>
          </cell>
          <cell r="AH39">
            <v>11894964</v>
          </cell>
          <cell r="AI39">
            <v>4778</v>
          </cell>
          <cell r="AJ39">
            <v>566</v>
          </cell>
          <cell r="AK39" t="str">
            <v>IRT-DYRE AVE LINE</v>
          </cell>
          <cell r="AL39" t="str">
            <v>BOSTON RD</v>
          </cell>
          <cell r="AM39" t="str">
            <v>STEENWICK AVE</v>
          </cell>
          <cell r="AO39" t="str">
            <v>BRONX</v>
          </cell>
          <cell r="AP39">
            <v>12</v>
          </cell>
          <cell r="AQ39">
            <v>16</v>
          </cell>
          <cell r="AR39">
            <v>36</v>
          </cell>
          <cell r="AS39">
            <v>83</v>
          </cell>
          <cell r="AT39">
            <v>12</v>
          </cell>
          <cell r="AU39">
            <v>25323</v>
          </cell>
        </row>
        <row r="40">
          <cell r="B40" t="str">
            <v>BOULEVARD</v>
          </cell>
          <cell r="C40" t="str">
            <v>NY005020460</v>
          </cell>
          <cell r="D40">
            <v>46</v>
          </cell>
          <cell r="E40">
            <v>46</v>
          </cell>
          <cell r="F40">
            <v>637</v>
          </cell>
          <cell r="G40">
            <v>637</v>
          </cell>
          <cell r="H40" t="str">
            <v>NY005369</v>
          </cell>
          <cell r="I40" t="str">
            <v>MIXED FINANCE/LLC2</v>
          </cell>
          <cell r="J40" t="str">
            <v>CONVENTIONAL</v>
          </cell>
          <cell r="K40" t="str">
            <v>NEW CONST</v>
          </cell>
          <cell r="L40">
            <v>438</v>
          </cell>
          <cell r="M40">
            <v>1424</v>
          </cell>
          <cell r="N40">
            <v>1441</v>
          </cell>
          <cell r="O40">
            <v>5992</v>
          </cell>
          <cell r="P40">
            <v>4.21</v>
          </cell>
          <cell r="Q40">
            <v>846</v>
          </cell>
          <cell r="R40">
            <v>1850</v>
          </cell>
          <cell r="S40">
            <v>2696</v>
          </cell>
          <cell r="T40">
            <v>581</v>
          </cell>
          <cell r="U40">
            <v>0.41599999999999998</v>
          </cell>
          <cell r="V40">
            <v>18</v>
          </cell>
          <cell r="W40">
            <v>0</v>
          </cell>
          <cell r="X40">
            <v>30</v>
          </cell>
          <cell r="Y40">
            <v>43630</v>
          </cell>
          <cell r="Z40">
            <v>1127650</v>
          </cell>
          <cell r="AA40">
            <v>25.89</v>
          </cell>
          <cell r="AB40">
            <v>1127650</v>
          </cell>
          <cell r="AC40">
            <v>25.89</v>
          </cell>
          <cell r="AD40">
            <v>170051</v>
          </cell>
          <cell r="AE40">
            <v>12141094</v>
          </cell>
          <cell r="AF40">
            <v>0.15079999999999999</v>
          </cell>
          <cell r="AG40">
            <v>104</v>
          </cell>
          <cell r="AH40">
            <v>13645438</v>
          </cell>
          <cell r="AI40">
            <v>2247</v>
          </cell>
          <cell r="AJ40">
            <v>518</v>
          </cell>
          <cell r="AK40" t="str">
            <v>LINDEN BLVD</v>
          </cell>
          <cell r="AL40" t="str">
            <v>ASHFORD ST</v>
          </cell>
          <cell r="AM40" t="str">
            <v>WORTMAN AVE</v>
          </cell>
          <cell r="AN40" t="str">
            <v>SCHENCK AVE</v>
          </cell>
          <cell r="AO40" t="str">
            <v>BROOKLYN</v>
          </cell>
          <cell r="AP40">
            <v>5</v>
          </cell>
          <cell r="AQ40">
            <v>8</v>
          </cell>
          <cell r="AR40">
            <v>19</v>
          </cell>
          <cell r="AS40">
            <v>60</v>
          </cell>
          <cell r="AT40">
            <v>42</v>
          </cell>
          <cell r="AU40">
            <v>18709</v>
          </cell>
        </row>
        <row r="41">
          <cell r="B41" t="str">
            <v>BOYNTON AVENUE REHAB</v>
          </cell>
          <cell r="C41" t="str">
            <v>NY005010320</v>
          </cell>
          <cell r="D41">
            <v>346</v>
          </cell>
          <cell r="E41">
            <v>32</v>
          </cell>
          <cell r="F41">
            <v>767</v>
          </cell>
          <cell r="G41">
            <v>533</v>
          </cell>
          <cell r="H41" t="str">
            <v>NY005249</v>
          </cell>
          <cell r="I41" t="str">
            <v>FEDERAL</v>
          </cell>
          <cell r="J41" t="str">
            <v>TURNKEY</v>
          </cell>
          <cell r="K41" t="str">
            <v>REHAB</v>
          </cell>
          <cell r="M41">
            <v>82</v>
          </cell>
          <cell r="N41">
            <v>82</v>
          </cell>
          <cell r="O41">
            <v>367</v>
          </cell>
          <cell r="P41">
            <v>4.4800000000000004</v>
          </cell>
          <cell r="R41">
            <v>182</v>
          </cell>
          <cell r="S41">
            <v>182</v>
          </cell>
          <cell r="T41">
            <v>29</v>
          </cell>
          <cell r="U41">
            <v>0.35799999999999998</v>
          </cell>
          <cell r="V41">
            <v>3</v>
          </cell>
          <cell r="W41">
            <v>0</v>
          </cell>
          <cell r="X41">
            <v>3</v>
          </cell>
          <cell r="Y41">
            <v>43561</v>
          </cell>
          <cell r="Z41">
            <v>30000</v>
          </cell>
          <cell r="AA41">
            <v>0.69</v>
          </cell>
          <cell r="AB41">
            <v>30000</v>
          </cell>
          <cell r="AC41">
            <v>0.69</v>
          </cell>
          <cell r="AD41">
            <v>16455</v>
          </cell>
          <cell r="AE41">
            <v>999600</v>
          </cell>
          <cell r="AF41">
            <v>0.54849999999999999</v>
          </cell>
          <cell r="AG41">
            <v>264</v>
          </cell>
          <cell r="AH41">
            <v>4943129</v>
          </cell>
          <cell r="AI41">
            <v>13396</v>
          </cell>
          <cell r="AJ41">
            <v>476</v>
          </cell>
          <cell r="AK41" t="str">
            <v>WATSON AVE</v>
          </cell>
          <cell r="AL41" t="str">
            <v>WARD AVE</v>
          </cell>
          <cell r="AM41" t="str">
            <v>BRUCKNER BLVD</v>
          </cell>
          <cell r="AN41" t="str">
            <v>ELDER AVE</v>
          </cell>
          <cell r="AO41" t="str">
            <v>BRONX</v>
          </cell>
          <cell r="AP41">
            <v>9</v>
          </cell>
          <cell r="AQ41">
            <v>15</v>
          </cell>
          <cell r="AR41">
            <v>32</v>
          </cell>
          <cell r="AS41">
            <v>85</v>
          </cell>
          <cell r="AT41">
            <v>18</v>
          </cell>
          <cell r="AU41">
            <v>31281</v>
          </cell>
          <cell r="AX41" t="str">
            <v>YES</v>
          </cell>
        </row>
        <row r="42">
          <cell r="B42" t="str">
            <v>BRACETTI PLAZA</v>
          </cell>
          <cell r="C42" t="str">
            <v>NY005012920</v>
          </cell>
          <cell r="D42">
            <v>264</v>
          </cell>
          <cell r="E42">
            <v>337</v>
          </cell>
          <cell r="F42">
            <v>379</v>
          </cell>
          <cell r="G42">
            <v>370</v>
          </cell>
          <cell r="H42" t="str">
            <v>NY005185</v>
          </cell>
          <cell r="I42" t="str">
            <v>FEDERAL</v>
          </cell>
          <cell r="J42" t="str">
            <v>TURNKEY</v>
          </cell>
          <cell r="K42" t="str">
            <v>NEW CONST</v>
          </cell>
          <cell r="M42">
            <v>108</v>
          </cell>
          <cell r="N42">
            <v>108</v>
          </cell>
          <cell r="O42">
            <v>538</v>
          </cell>
          <cell r="P42">
            <v>4.9800000000000004</v>
          </cell>
          <cell r="R42">
            <v>257</v>
          </cell>
          <cell r="S42">
            <v>257</v>
          </cell>
          <cell r="T42">
            <v>47</v>
          </cell>
          <cell r="U42">
            <v>0.439</v>
          </cell>
          <cell r="V42">
            <v>1</v>
          </cell>
          <cell r="W42">
            <v>0</v>
          </cell>
          <cell r="X42">
            <v>2</v>
          </cell>
          <cell r="Y42">
            <v>7</v>
          </cell>
          <cell r="Z42">
            <v>44353</v>
          </cell>
          <cell r="AA42">
            <v>1.02</v>
          </cell>
          <cell r="AB42">
            <v>44353</v>
          </cell>
          <cell r="AC42">
            <v>1.02</v>
          </cell>
          <cell r="AD42">
            <v>18790</v>
          </cell>
          <cell r="AE42">
            <v>1216072</v>
          </cell>
          <cell r="AF42">
            <v>0.42359999999999998</v>
          </cell>
          <cell r="AG42">
            <v>252</v>
          </cell>
          <cell r="AH42">
            <v>4364419</v>
          </cell>
          <cell r="AI42">
            <v>8008</v>
          </cell>
          <cell r="AJ42">
            <v>596</v>
          </cell>
          <cell r="AK42" t="str">
            <v>E 3RD ST</v>
          </cell>
          <cell r="AL42" t="str">
            <v>AVENUE C</v>
          </cell>
          <cell r="AM42" t="str">
            <v>E 4TH ST</v>
          </cell>
          <cell r="AN42" t="str">
            <v>AVENUE B</v>
          </cell>
          <cell r="AO42" t="str">
            <v>MANHATTAN</v>
          </cell>
          <cell r="AP42">
            <v>3</v>
          </cell>
          <cell r="AQ42">
            <v>12</v>
          </cell>
          <cell r="AR42">
            <v>26</v>
          </cell>
          <cell r="AS42">
            <v>74</v>
          </cell>
          <cell r="AT42">
            <v>2</v>
          </cell>
          <cell r="AU42">
            <v>27180</v>
          </cell>
        </row>
        <row r="43">
          <cell r="B43" t="str">
            <v>BREUKELEN</v>
          </cell>
          <cell r="C43" t="str">
            <v>NY005000560</v>
          </cell>
          <cell r="D43">
            <v>56</v>
          </cell>
          <cell r="E43">
            <v>56</v>
          </cell>
          <cell r="F43">
            <v>212</v>
          </cell>
          <cell r="G43">
            <v>212</v>
          </cell>
          <cell r="H43" t="str">
            <v>NY005011</v>
          </cell>
          <cell r="I43" t="str">
            <v>FEDERAL</v>
          </cell>
          <cell r="J43" t="str">
            <v>CONVENTIONAL</v>
          </cell>
          <cell r="K43" t="str">
            <v>NEW CONST</v>
          </cell>
          <cell r="M43">
            <v>1592</v>
          </cell>
          <cell r="N43">
            <v>1595</v>
          </cell>
          <cell r="O43">
            <v>7460</v>
          </cell>
          <cell r="P43">
            <v>4.6900000000000004</v>
          </cell>
          <cell r="R43">
            <v>3476</v>
          </cell>
          <cell r="S43">
            <v>3476</v>
          </cell>
          <cell r="T43">
            <v>539</v>
          </cell>
          <cell r="U43">
            <v>0.34300000000000003</v>
          </cell>
          <cell r="V43">
            <v>30</v>
          </cell>
          <cell r="W43">
            <v>2</v>
          </cell>
          <cell r="X43">
            <v>97</v>
          </cell>
          <cell r="Y43">
            <v>43531</v>
          </cell>
          <cell r="Z43">
            <v>2830416</v>
          </cell>
          <cell r="AA43">
            <v>64.98</v>
          </cell>
          <cell r="AB43">
            <v>2141741</v>
          </cell>
          <cell r="AC43">
            <v>49.17</v>
          </cell>
          <cell r="AD43">
            <v>360423</v>
          </cell>
          <cell r="AE43">
            <v>14297000</v>
          </cell>
          <cell r="AF43">
            <v>0.1273</v>
          </cell>
          <cell r="AG43">
            <v>53</v>
          </cell>
          <cell r="AH43">
            <v>18410273</v>
          </cell>
          <cell r="AI43">
            <v>2464</v>
          </cell>
          <cell r="AJ43">
            <v>544</v>
          </cell>
          <cell r="AK43" t="str">
            <v>STANLEY AVE</v>
          </cell>
          <cell r="AL43" t="str">
            <v>FLATLANDS AVE</v>
          </cell>
          <cell r="AM43" t="str">
            <v>E 103RD ST</v>
          </cell>
          <cell r="AN43" t="str">
            <v>WILLIAMS AVE</v>
          </cell>
          <cell r="AO43" t="str">
            <v>BROOKLYN</v>
          </cell>
          <cell r="AP43">
            <v>18</v>
          </cell>
          <cell r="AQ43">
            <v>8</v>
          </cell>
          <cell r="AR43">
            <v>19</v>
          </cell>
          <cell r="AS43" t="str">
            <v>58, 60</v>
          </cell>
          <cell r="AT43">
            <v>42</v>
          </cell>
          <cell r="AU43">
            <v>19304</v>
          </cell>
        </row>
        <row r="44">
          <cell r="B44" t="str">
            <v>BREVOORT</v>
          </cell>
          <cell r="C44" t="str">
            <v>NY005000650</v>
          </cell>
          <cell r="D44">
            <v>65</v>
          </cell>
          <cell r="E44">
            <v>65</v>
          </cell>
          <cell r="F44">
            <v>213</v>
          </cell>
          <cell r="G44">
            <v>213</v>
          </cell>
          <cell r="H44" t="str">
            <v>NY005017</v>
          </cell>
          <cell r="I44" t="str">
            <v>FEDERAL</v>
          </cell>
          <cell r="J44" t="str">
            <v>CONVENTIONAL</v>
          </cell>
          <cell r="K44" t="str">
            <v>NEW CONST</v>
          </cell>
          <cell r="M44">
            <v>894</v>
          </cell>
          <cell r="N44">
            <v>896</v>
          </cell>
          <cell r="O44">
            <v>4187</v>
          </cell>
          <cell r="P44">
            <v>4.68</v>
          </cell>
          <cell r="R44">
            <v>1918</v>
          </cell>
          <cell r="S44">
            <v>1918</v>
          </cell>
          <cell r="T44">
            <v>330</v>
          </cell>
          <cell r="U44">
            <v>0.371</v>
          </cell>
          <cell r="V44">
            <v>13</v>
          </cell>
          <cell r="W44">
            <v>1</v>
          </cell>
          <cell r="X44">
            <v>27</v>
          </cell>
          <cell r="Y44">
            <v>7</v>
          </cell>
          <cell r="Z44">
            <v>751896</v>
          </cell>
          <cell r="AA44">
            <v>17.260000000000002</v>
          </cell>
          <cell r="AB44">
            <v>687188</v>
          </cell>
          <cell r="AC44">
            <v>15.78</v>
          </cell>
          <cell r="AD44">
            <v>121363</v>
          </cell>
          <cell r="AE44">
            <v>7735916</v>
          </cell>
          <cell r="AF44">
            <v>0.16139999999999999</v>
          </cell>
          <cell r="AG44">
            <v>111</v>
          </cell>
          <cell r="AH44">
            <v>11831887</v>
          </cell>
          <cell r="AI44">
            <v>2849</v>
          </cell>
          <cell r="AJ44">
            <v>571</v>
          </cell>
          <cell r="AK44" t="str">
            <v>BAINBRIDGE ST</v>
          </cell>
          <cell r="AL44" t="str">
            <v>RALPH AVE</v>
          </cell>
          <cell r="AM44" t="str">
            <v>FULTON ST</v>
          </cell>
          <cell r="AN44" t="str">
            <v>PATCHEN AVE</v>
          </cell>
          <cell r="AO44" t="str">
            <v>BROOKLYN</v>
          </cell>
          <cell r="AP44">
            <v>3</v>
          </cell>
          <cell r="AQ44">
            <v>8</v>
          </cell>
          <cell r="AR44">
            <v>25</v>
          </cell>
          <cell r="AS44">
            <v>55</v>
          </cell>
          <cell r="AT44">
            <v>41</v>
          </cell>
          <cell r="AU44">
            <v>20311</v>
          </cell>
        </row>
        <row r="45">
          <cell r="B45" t="str">
            <v>BRONX RIVER</v>
          </cell>
          <cell r="C45" t="str">
            <v>NY005010320</v>
          </cell>
          <cell r="D45">
            <v>32</v>
          </cell>
          <cell r="E45">
            <v>32</v>
          </cell>
          <cell r="F45">
            <v>533</v>
          </cell>
          <cell r="G45">
            <v>533</v>
          </cell>
          <cell r="H45" t="str">
            <v>NY005220D</v>
          </cell>
          <cell r="I45" t="str">
            <v>FEDERAL</v>
          </cell>
          <cell r="J45" t="str">
            <v>CONVENTIONAL</v>
          </cell>
          <cell r="K45" t="str">
            <v>NEW CONST</v>
          </cell>
          <cell r="M45">
            <v>1245</v>
          </cell>
          <cell r="N45">
            <v>1246</v>
          </cell>
          <cell r="O45">
            <v>5942.5</v>
          </cell>
          <cell r="P45">
            <v>4.7699999999999996</v>
          </cell>
          <cell r="R45">
            <v>2998</v>
          </cell>
          <cell r="S45">
            <v>2998</v>
          </cell>
          <cell r="T45">
            <v>464</v>
          </cell>
          <cell r="U45">
            <v>0.375</v>
          </cell>
          <cell r="V45">
            <v>9</v>
          </cell>
          <cell r="W45">
            <v>1</v>
          </cell>
          <cell r="X45">
            <v>10</v>
          </cell>
          <cell r="Y45">
            <v>14</v>
          </cell>
          <cell r="Z45">
            <v>607297</v>
          </cell>
          <cell r="AA45">
            <v>13.94</v>
          </cell>
          <cell r="AB45">
            <v>563737</v>
          </cell>
          <cell r="AC45">
            <v>12.94</v>
          </cell>
          <cell r="AD45">
            <v>84235</v>
          </cell>
          <cell r="AE45">
            <v>10772413</v>
          </cell>
          <cell r="AF45">
            <v>0.13869999999999999</v>
          </cell>
          <cell r="AG45">
            <v>215</v>
          </cell>
          <cell r="AH45">
            <v>12719000</v>
          </cell>
          <cell r="AI45">
            <v>2131</v>
          </cell>
          <cell r="AJ45">
            <v>512</v>
          </cell>
          <cell r="AK45" t="str">
            <v>BRONX RIVER AVE</v>
          </cell>
          <cell r="AL45" t="str">
            <v>HARROD AVE</v>
          </cell>
          <cell r="AM45" t="str">
            <v>E 174TH ST</v>
          </cell>
          <cell r="AO45" t="str">
            <v>BRONX</v>
          </cell>
          <cell r="AP45">
            <v>9</v>
          </cell>
          <cell r="AQ45">
            <v>15</v>
          </cell>
          <cell r="AR45">
            <v>32</v>
          </cell>
          <cell r="AS45">
            <v>85</v>
          </cell>
          <cell r="AT45">
            <v>18</v>
          </cell>
          <cell r="AU45">
            <v>18687</v>
          </cell>
          <cell r="AV45" t="str">
            <v>1978/07/01-ATP 3</v>
          </cell>
        </row>
        <row r="46">
          <cell r="B46" t="str">
            <v>BRONX RIVER ADDITION</v>
          </cell>
          <cell r="C46" t="str">
            <v>NY005010320</v>
          </cell>
          <cell r="D46">
            <v>157</v>
          </cell>
          <cell r="E46">
            <v>32</v>
          </cell>
          <cell r="F46">
            <v>533</v>
          </cell>
          <cell r="G46">
            <v>533</v>
          </cell>
          <cell r="H46" t="str">
            <v>NY005220D</v>
          </cell>
          <cell r="I46" t="str">
            <v>FEDERAL</v>
          </cell>
          <cell r="J46" t="str">
            <v>CONVENTIONAL</v>
          </cell>
          <cell r="K46" t="str">
            <v>NEW CONST (ELD)</v>
          </cell>
          <cell r="M46">
            <v>226</v>
          </cell>
          <cell r="N46">
            <v>226</v>
          </cell>
          <cell r="O46">
            <v>640</v>
          </cell>
          <cell r="P46">
            <v>2.83</v>
          </cell>
          <cell r="R46">
            <v>241</v>
          </cell>
          <cell r="S46">
            <v>241</v>
          </cell>
          <cell r="T46">
            <v>206</v>
          </cell>
          <cell r="U46">
            <v>0.92800000000000005</v>
          </cell>
          <cell r="V46">
            <v>2</v>
          </cell>
          <cell r="W46">
            <v>0</v>
          </cell>
          <cell r="X46">
            <v>2</v>
          </cell>
          <cell r="Y46">
            <v>43630</v>
          </cell>
          <cell r="Z46">
            <v>62500</v>
          </cell>
          <cell r="AA46">
            <v>1.43</v>
          </cell>
          <cell r="AB46">
            <v>62500</v>
          </cell>
          <cell r="AC46">
            <v>1.43</v>
          </cell>
          <cell r="AD46">
            <v>12286</v>
          </cell>
          <cell r="AE46">
            <v>1529115</v>
          </cell>
          <cell r="AF46">
            <v>0.1966</v>
          </cell>
          <cell r="AG46">
            <v>169</v>
          </cell>
          <cell r="AH46">
            <v>3928000</v>
          </cell>
          <cell r="AI46">
            <v>6128</v>
          </cell>
          <cell r="AJ46">
            <v>290</v>
          </cell>
          <cell r="AK46" t="str">
            <v>E 172ND ST</v>
          </cell>
          <cell r="AL46" t="str">
            <v>E 174TH ST</v>
          </cell>
          <cell r="AM46" t="str">
            <v>MANOR AVE</v>
          </cell>
          <cell r="AN46" t="str">
            <v>HARROD AVE</v>
          </cell>
          <cell r="AO46" t="str">
            <v>BRONX</v>
          </cell>
          <cell r="AP46">
            <v>9</v>
          </cell>
          <cell r="AQ46">
            <v>15</v>
          </cell>
          <cell r="AR46">
            <v>32</v>
          </cell>
          <cell r="AS46">
            <v>85</v>
          </cell>
          <cell r="AT46">
            <v>18</v>
          </cell>
          <cell r="AU46">
            <v>24166</v>
          </cell>
          <cell r="AV46" t="str">
            <v>1978/07/01-ATP 3</v>
          </cell>
          <cell r="AW46" t="str">
            <v>EXCLUSIVELY</v>
          </cell>
        </row>
        <row r="47">
          <cell r="B47" t="str">
            <v>BROWN</v>
          </cell>
          <cell r="C47" t="str">
            <v>NY005012520</v>
          </cell>
          <cell r="D47">
            <v>325</v>
          </cell>
          <cell r="E47">
            <v>252</v>
          </cell>
          <cell r="F47">
            <v>336</v>
          </cell>
          <cell r="G47">
            <v>336</v>
          </cell>
          <cell r="H47" t="str">
            <v>NY005277</v>
          </cell>
          <cell r="I47" t="str">
            <v>FEDERAL</v>
          </cell>
          <cell r="J47" t="str">
            <v>TURNKEY</v>
          </cell>
          <cell r="K47" t="str">
            <v>NEW CONST (ELD)</v>
          </cell>
          <cell r="M47">
            <v>200</v>
          </cell>
          <cell r="N47">
            <v>200</v>
          </cell>
          <cell r="O47">
            <v>700</v>
          </cell>
          <cell r="P47">
            <v>3.5</v>
          </cell>
          <cell r="R47">
            <v>220</v>
          </cell>
          <cell r="S47">
            <v>220</v>
          </cell>
          <cell r="T47">
            <v>179</v>
          </cell>
          <cell r="U47">
            <v>0.90400000000000003</v>
          </cell>
          <cell r="V47">
            <v>2</v>
          </cell>
          <cell r="W47">
            <v>0</v>
          </cell>
          <cell r="X47">
            <v>2</v>
          </cell>
          <cell r="Y47">
            <v>6</v>
          </cell>
          <cell r="Z47">
            <v>99460</v>
          </cell>
          <cell r="AA47">
            <v>2.2799999999999998</v>
          </cell>
          <cell r="AB47">
            <v>99460</v>
          </cell>
          <cell r="AC47">
            <v>2.2799999999999998</v>
          </cell>
          <cell r="AD47">
            <v>29354</v>
          </cell>
          <cell r="AE47">
            <v>1493904</v>
          </cell>
          <cell r="AF47">
            <v>0.29509999999999997</v>
          </cell>
          <cell r="AG47">
            <v>96</v>
          </cell>
          <cell r="AH47">
            <v>13425060</v>
          </cell>
          <cell r="AI47">
            <v>19179</v>
          </cell>
          <cell r="AJ47">
            <v>368</v>
          </cell>
          <cell r="AK47" t="str">
            <v>EASTERN PKWY</v>
          </cell>
          <cell r="AL47" t="str">
            <v>PROSPECT PL</v>
          </cell>
          <cell r="AM47" t="str">
            <v>HOPKINSON AVE</v>
          </cell>
          <cell r="AN47" t="str">
            <v>SAINT MARKS AVE</v>
          </cell>
          <cell r="AO47" t="str">
            <v>BROOKLYN</v>
          </cell>
          <cell r="AP47">
            <v>16</v>
          </cell>
          <cell r="AQ47">
            <v>8</v>
          </cell>
          <cell r="AR47">
            <v>20</v>
          </cell>
          <cell r="AS47">
            <v>55</v>
          </cell>
          <cell r="AT47">
            <v>41</v>
          </cell>
          <cell r="AU47">
            <v>31251</v>
          </cell>
          <cell r="AW47" t="str">
            <v>EXCLUSIVELY</v>
          </cell>
          <cell r="AX47" t="str">
            <v>YES</v>
          </cell>
        </row>
        <row r="48">
          <cell r="B48" t="str">
            <v>BROWNSVILLE</v>
          </cell>
          <cell r="C48" t="str">
            <v>NY005000160</v>
          </cell>
          <cell r="D48">
            <v>16</v>
          </cell>
          <cell r="E48">
            <v>16</v>
          </cell>
          <cell r="F48">
            <v>512</v>
          </cell>
          <cell r="G48">
            <v>512</v>
          </cell>
          <cell r="H48" t="str">
            <v>NY005213D</v>
          </cell>
          <cell r="I48" t="str">
            <v>FEDERAL</v>
          </cell>
          <cell r="J48" t="str">
            <v>CONVENTIONAL</v>
          </cell>
          <cell r="K48" t="str">
            <v>NEW CONST</v>
          </cell>
          <cell r="M48">
            <v>1336</v>
          </cell>
          <cell r="N48">
            <v>1338</v>
          </cell>
          <cell r="O48">
            <v>6279</v>
          </cell>
          <cell r="P48">
            <v>4.7</v>
          </cell>
          <cell r="R48">
            <v>3166</v>
          </cell>
          <cell r="S48">
            <v>3166</v>
          </cell>
          <cell r="T48">
            <v>416</v>
          </cell>
          <cell r="U48">
            <v>0.316</v>
          </cell>
          <cell r="V48">
            <v>27</v>
          </cell>
          <cell r="W48">
            <v>0</v>
          </cell>
          <cell r="X48">
            <v>46</v>
          </cell>
          <cell r="Y48">
            <v>43623</v>
          </cell>
          <cell r="Z48">
            <v>819997</v>
          </cell>
          <cell r="AA48">
            <v>18.82</v>
          </cell>
          <cell r="AB48">
            <v>732841</v>
          </cell>
          <cell r="AC48">
            <v>16.82</v>
          </cell>
          <cell r="AD48">
            <v>188564</v>
          </cell>
          <cell r="AE48">
            <v>10371638</v>
          </cell>
          <cell r="AF48">
            <v>0.23</v>
          </cell>
          <cell r="AG48">
            <v>168</v>
          </cell>
          <cell r="AH48">
            <v>12898000</v>
          </cell>
          <cell r="AI48">
            <v>2054</v>
          </cell>
          <cell r="AJ48">
            <v>520</v>
          </cell>
          <cell r="AK48" t="str">
            <v>SUTTER AVE</v>
          </cell>
          <cell r="AL48" t="str">
            <v>DUMONT AVE</v>
          </cell>
          <cell r="AM48" t="str">
            <v>MOTHER GASTON BLVD</v>
          </cell>
          <cell r="AN48" t="str">
            <v>ROCKAWAY AVE</v>
          </cell>
          <cell r="AO48" t="str">
            <v>BROOKLYN</v>
          </cell>
          <cell r="AP48">
            <v>16</v>
          </cell>
          <cell r="AQ48">
            <v>9</v>
          </cell>
          <cell r="AR48">
            <v>20</v>
          </cell>
          <cell r="AS48">
            <v>55</v>
          </cell>
          <cell r="AT48">
            <v>41</v>
          </cell>
          <cell r="AU48">
            <v>17639</v>
          </cell>
          <cell r="AV48" t="str">
            <v>1977/07/01-ATP 1</v>
          </cell>
        </row>
        <row r="49">
          <cell r="B49" t="str">
            <v>BRYANT AVENUE-EAST 174TH STREET</v>
          </cell>
          <cell r="C49" t="str">
            <v>NY005015300</v>
          </cell>
          <cell r="D49">
            <v>235</v>
          </cell>
          <cell r="E49">
            <v>530</v>
          </cell>
          <cell r="F49">
            <v>352</v>
          </cell>
          <cell r="G49">
            <v>748</v>
          </cell>
          <cell r="H49" t="str">
            <v>NY005145</v>
          </cell>
          <cell r="I49" t="str">
            <v>FEDERAL</v>
          </cell>
          <cell r="J49" t="str">
            <v>TURNKEY</v>
          </cell>
          <cell r="K49" t="str">
            <v>NEW CONST</v>
          </cell>
          <cell r="M49">
            <v>72</v>
          </cell>
          <cell r="N49">
            <v>72</v>
          </cell>
          <cell r="O49">
            <v>284</v>
          </cell>
          <cell r="P49">
            <v>3.94</v>
          </cell>
          <cell r="R49">
            <v>135</v>
          </cell>
          <cell r="S49">
            <v>135</v>
          </cell>
          <cell r="T49">
            <v>33</v>
          </cell>
          <cell r="U49">
            <v>0.46500000000000002</v>
          </cell>
          <cell r="V49">
            <v>1</v>
          </cell>
          <cell r="W49">
            <v>0</v>
          </cell>
          <cell r="X49">
            <v>1</v>
          </cell>
          <cell r="Y49">
            <v>6</v>
          </cell>
          <cell r="Z49">
            <v>22500</v>
          </cell>
          <cell r="AA49">
            <v>0.52</v>
          </cell>
          <cell r="AB49">
            <v>22500</v>
          </cell>
          <cell r="AC49">
            <v>0.52</v>
          </cell>
          <cell r="AD49">
            <v>9879</v>
          </cell>
          <cell r="AE49">
            <v>672864</v>
          </cell>
          <cell r="AF49">
            <v>0.43909999999999999</v>
          </cell>
          <cell r="AG49">
            <v>260</v>
          </cell>
          <cell r="AH49">
            <v>2132334</v>
          </cell>
          <cell r="AI49">
            <v>7315</v>
          </cell>
          <cell r="AJ49">
            <v>519</v>
          </cell>
          <cell r="AK49" t="str">
            <v>E 174TH ST</v>
          </cell>
          <cell r="AL49" t="str">
            <v>BRYANT AVE</v>
          </cell>
          <cell r="AM49" t="str">
            <v>E 173RD ST</v>
          </cell>
          <cell r="AN49" t="str">
            <v>VYSE AVE</v>
          </cell>
          <cell r="AO49" t="str">
            <v>BRONX</v>
          </cell>
          <cell r="AP49">
            <v>3</v>
          </cell>
          <cell r="AQ49">
            <v>15</v>
          </cell>
          <cell r="AR49">
            <v>32</v>
          </cell>
          <cell r="AS49">
            <v>79</v>
          </cell>
          <cell r="AT49">
            <v>17</v>
          </cell>
          <cell r="AU49">
            <v>26542</v>
          </cell>
          <cell r="AY49" t="str">
            <v>YES</v>
          </cell>
        </row>
        <row r="50">
          <cell r="B50" t="str">
            <v>BUSHWICK</v>
          </cell>
          <cell r="C50" t="str">
            <v>NY005020860</v>
          </cell>
          <cell r="D50">
            <v>86</v>
          </cell>
          <cell r="E50">
            <v>86</v>
          </cell>
          <cell r="F50">
            <v>430</v>
          </cell>
          <cell r="G50">
            <v>430</v>
          </cell>
          <cell r="H50" t="str">
            <v>NY005370</v>
          </cell>
          <cell r="I50" t="str">
            <v>MIXED FINANCE/LLC1</v>
          </cell>
          <cell r="J50" t="str">
            <v>CONVENTIONAL</v>
          </cell>
          <cell r="K50" t="str">
            <v>NEW CONST</v>
          </cell>
          <cell r="L50">
            <v>209</v>
          </cell>
          <cell r="M50">
            <v>1219</v>
          </cell>
          <cell r="N50">
            <v>1220</v>
          </cell>
          <cell r="O50">
            <v>5669.5</v>
          </cell>
          <cell r="P50">
            <v>4.6500000000000004</v>
          </cell>
          <cell r="Q50">
            <v>555</v>
          </cell>
          <cell r="R50">
            <v>2288</v>
          </cell>
          <cell r="S50">
            <v>2843</v>
          </cell>
          <cell r="T50">
            <v>499</v>
          </cell>
          <cell r="U50">
            <v>0.41299999999999998</v>
          </cell>
          <cell r="V50">
            <v>8</v>
          </cell>
          <cell r="W50">
            <v>0</v>
          </cell>
          <cell r="X50">
            <v>8</v>
          </cell>
          <cell r="Y50" t="str">
            <v>13-20</v>
          </cell>
          <cell r="Z50">
            <v>697736</v>
          </cell>
          <cell r="AA50">
            <v>16.02</v>
          </cell>
          <cell r="AB50">
            <v>639260</v>
          </cell>
          <cell r="AC50">
            <v>14.68</v>
          </cell>
          <cell r="AD50">
            <v>78768</v>
          </cell>
          <cell r="AE50">
            <v>11288105</v>
          </cell>
          <cell r="AF50">
            <v>0.1129</v>
          </cell>
          <cell r="AG50">
            <v>177</v>
          </cell>
          <cell r="AH50">
            <v>20346000</v>
          </cell>
          <cell r="AI50">
            <v>3599</v>
          </cell>
          <cell r="AJ50">
            <v>541</v>
          </cell>
          <cell r="AK50" t="str">
            <v>HUMBOLDT ST</v>
          </cell>
          <cell r="AL50" t="str">
            <v>MOORE ST</v>
          </cell>
          <cell r="AM50" t="str">
            <v>BUSHWICK AVE</v>
          </cell>
          <cell r="AN50" t="str">
            <v>FLUSHING AVE</v>
          </cell>
          <cell r="AO50" t="str">
            <v>BROOKLYN</v>
          </cell>
          <cell r="AP50">
            <v>1</v>
          </cell>
          <cell r="AQ50">
            <v>7</v>
          </cell>
          <cell r="AR50">
            <v>18</v>
          </cell>
          <cell r="AS50">
            <v>53</v>
          </cell>
          <cell r="AT50">
            <v>34</v>
          </cell>
          <cell r="AU50">
            <v>22007</v>
          </cell>
        </row>
        <row r="51">
          <cell r="B51" t="str">
            <v>BUSHWICK II (GROUPS A &amp; C)</v>
          </cell>
          <cell r="C51" t="str">
            <v>NY005012470</v>
          </cell>
          <cell r="D51">
            <v>302</v>
          </cell>
          <cell r="E51">
            <v>247</v>
          </cell>
          <cell r="F51">
            <v>565</v>
          </cell>
          <cell r="G51">
            <v>546</v>
          </cell>
          <cell r="H51" t="str">
            <v>NY005222</v>
          </cell>
          <cell r="I51" t="str">
            <v>FEDERAL</v>
          </cell>
          <cell r="J51" t="str">
            <v>TURNKEY</v>
          </cell>
          <cell r="K51" t="str">
            <v>NEW CONST</v>
          </cell>
          <cell r="M51">
            <v>299</v>
          </cell>
          <cell r="N51">
            <v>300</v>
          </cell>
          <cell r="O51">
            <v>1446.5</v>
          </cell>
          <cell r="P51">
            <v>4.84</v>
          </cell>
          <cell r="R51">
            <v>716</v>
          </cell>
          <cell r="S51">
            <v>716</v>
          </cell>
          <cell r="T51">
            <v>125</v>
          </cell>
          <cell r="U51">
            <v>0.41799999999999998</v>
          </cell>
          <cell r="V51">
            <v>25</v>
          </cell>
          <cell r="W51">
            <v>0</v>
          </cell>
          <cell r="X51">
            <v>25</v>
          </cell>
          <cell r="Y51">
            <v>3</v>
          </cell>
          <cell r="Z51">
            <v>402930</v>
          </cell>
          <cell r="AA51">
            <v>9.25</v>
          </cell>
          <cell r="AB51">
            <v>402930</v>
          </cell>
          <cell r="AC51">
            <v>9.25</v>
          </cell>
          <cell r="AD51">
            <v>102600</v>
          </cell>
          <cell r="AE51">
            <v>3200584</v>
          </cell>
          <cell r="AF51">
            <v>0.25459999999999999</v>
          </cell>
          <cell r="AG51">
            <v>77</v>
          </cell>
          <cell r="AH51">
            <v>20840392</v>
          </cell>
          <cell r="AI51">
            <v>14235</v>
          </cell>
          <cell r="AJ51">
            <v>607</v>
          </cell>
          <cell r="AK51" t="str">
            <v>CENTRAL AVE</v>
          </cell>
          <cell r="AL51" t="str">
            <v>HARMAN AVE</v>
          </cell>
          <cell r="AM51" t="str">
            <v>GREEN AVE</v>
          </cell>
          <cell r="AN51" t="str">
            <v>HALSEY ST</v>
          </cell>
          <cell r="AO51" t="str">
            <v>BROOKLYN</v>
          </cell>
          <cell r="AP51">
            <v>4</v>
          </cell>
          <cell r="AQ51" t="str">
            <v>7, 8</v>
          </cell>
          <cell r="AR51">
            <v>18</v>
          </cell>
          <cell r="AS51" t="str">
            <v>53, 54</v>
          </cell>
          <cell r="AT51" t="str">
            <v>34, 37</v>
          </cell>
          <cell r="AU51">
            <v>30882</v>
          </cell>
          <cell r="AX51" t="str">
            <v>YES</v>
          </cell>
        </row>
        <row r="52">
          <cell r="B52" t="str">
            <v>BUSHWICK II (GROUPS B &amp; D)</v>
          </cell>
          <cell r="C52" t="str">
            <v>NY005012470</v>
          </cell>
          <cell r="D52">
            <v>303</v>
          </cell>
          <cell r="E52">
            <v>247</v>
          </cell>
          <cell r="F52">
            <v>566</v>
          </cell>
          <cell r="G52">
            <v>546</v>
          </cell>
          <cell r="H52" t="str">
            <v>NY005240</v>
          </cell>
          <cell r="I52" t="str">
            <v>FEDERAL</v>
          </cell>
          <cell r="J52" t="str">
            <v>TURNKEY</v>
          </cell>
          <cell r="K52" t="str">
            <v>NEW CONST</v>
          </cell>
          <cell r="M52">
            <v>300</v>
          </cell>
          <cell r="N52">
            <v>300</v>
          </cell>
          <cell r="O52">
            <v>1450</v>
          </cell>
          <cell r="P52">
            <v>4.83</v>
          </cell>
          <cell r="R52">
            <v>702</v>
          </cell>
          <cell r="S52">
            <v>702</v>
          </cell>
          <cell r="T52">
            <v>121</v>
          </cell>
          <cell r="U52">
            <v>0.40500000000000003</v>
          </cell>
          <cell r="V52">
            <v>25</v>
          </cell>
          <cell r="W52">
            <v>1</v>
          </cell>
          <cell r="X52">
            <v>27</v>
          </cell>
          <cell r="Y52">
            <v>3</v>
          </cell>
          <cell r="Z52">
            <v>440392</v>
          </cell>
          <cell r="AA52">
            <v>10.11</v>
          </cell>
          <cell r="AB52">
            <v>440392</v>
          </cell>
          <cell r="AC52">
            <v>10.11</v>
          </cell>
          <cell r="AD52">
            <v>102600</v>
          </cell>
          <cell r="AE52">
            <v>3200584</v>
          </cell>
          <cell r="AF52">
            <v>0.23300000000000001</v>
          </cell>
          <cell r="AG52">
            <v>69</v>
          </cell>
          <cell r="AH52">
            <v>19608177</v>
          </cell>
          <cell r="AI52">
            <v>13339</v>
          </cell>
          <cell r="AJ52">
            <v>584</v>
          </cell>
          <cell r="AK52" t="str">
            <v>GATES AVE</v>
          </cell>
          <cell r="AL52" t="str">
            <v>WILSON AVE</v>
          </cell>
          <cell r="AM52" t="str">
            <v>MADISON AVE</v>
          </cell>
          <cell r="AN52" t="str">
            <v>EVERGREEN AVE</v>
          </cell>
          <cell r="AO52" t="str">
            <v>BROOKLYN</v>
          </cell>
          <cell r="AP52">
            <v>4</v>
          </cell>
          <cell r="AQ52">
            <v>7</v>
          </cell>
          <cell r="AR52">
            <v>18</v>
          </cell>
          <cell r="AS52" t="str">
            <v>53, 54</v>
          </cell>
          <cell r="AT52" t="str">
            <v>34, 37</v>
          </cell>
          <cell r="AU52">
            <v>30868</v>
          </cell>
          <cell r="AX52" t="str">
            <v>YES</v>
          </cell>
        </row>
        <row r="53">
          <cell r="B53" t="str">
            <v>BUSHWICK II CDA (GROUP E)</v>
          </cell>
          <cell r="C53" t="str">
            <v>NY005012470</v>
          </cell>
          <cell r="D53">
            <v>324</v>
          </cell>
          <cell r="E53">
            <v>247</v>
          </cell>
          <cell r="F53">
            <v>758</v>
          </cell>
          <cell r="G53">
            <v>546</v>
          </cell>
          <cell r="H53" t="str">
            <v>NY005263</v>
          </cell>
          <cell r="I53" t="str">
            <v>FEDERAL</v>
          </cell>
          <cell r="J53" t="str">
            <v>TURNKEY</v>
          </cell>
          <cell r="K53" t="str">
            <v>NEW CONST</v>
          </cell>
          <cell r="M53">
            <v>276</v>
          </cell>
          <cell r="N53">
            <v>276</v>
          </cell>
          <cell r="O53">
            <v>1212</v>
          </cell>
          <cell r="P53">
            <v>4.3899999999999997</v>
          </cell>
          <cell r="R53">
            <v>555</v>
          </cell>
          <cell r="S53">
            <v>555</v>
          </cell>
          <cell r="T53">
            <v>153</v>
          </cell>
          <cell r="U53">
            <v>0.55800000000000005</v>
          </cell>
          <cell r="V53">
            <v>5</v>
          </cell>
          <cell r="W53">
            <v>0</v>
          </cell>
          <cell r="X53">
            <v>37</v>
          </cell>
          <cell r="Y53">
            <v>3</v>
          </cell>
          <cell r="Z53">
            <v>300000</v>
          </cell>
          <cell r="AA53">
            <v>6.89</v>
          </cell>
          <cell r="AB53">
            <v>300000</v>
          </cell>
          <cell r="AC53">
            <v>6.89</v>
          </cell>
          <cell r="AD53">
            <v>84230</v>
          </cell>
          <cell r="AE53">
            <v>2198403</v>
          </cell>
          <cell r="AF53">
            <v>0.28079999999999999</v>
          </cell>
          <cell r="AG53">
            <v>81</v>
          </cell>
          <cell r="AH53">
            <v>20078888</v>
          </cell>
          <cell r="AI53">
            <v>16539</v>
          </cell>
          <cell r="AJ53">
            <v>543</v>
          </cell>
          <cell r="AK53" t="str">
            <v>KNICKERBOCKER AVE</v>
          </cell>
          <cell r="AL53" t="str">
            <v>WILSON AVE</v>
          </cell>
          <cell r="AM53" t="str">
            <v>GATES AVE</v>
          </cell>
          <cell r="AN53" t="str">
            <v>MENAHAN ST</v>
          </cell>
          <cell r="AO53" t="str">
            <v>BROOKLYN</v>
          </cell>
          <cell r="AP53">
            <v>4</v>
          </cell>
          <cell r="AQ53">
            <v>7</v>
          </cell>
          <cell r="AR53">
            <v>18</v>
          </cell>
          <cell r="AS53">
            <v>53</v>
          </cell>
          <cell r="AT53">
            <v>37</v>
          </cell>
          <cell r="AU53">
            <v>31756</v>
          </cell>
          <cell r="AX53" t="str">
            <v>YES</v>
          </cell>
        </row>
        <row r="54">
          <cell r="B54" t="str">
            <v>BUTLER</v>
          </cell>
          <cell r="C54" t="str">
            <v>NY005001130</v>
          </cell>
          <cell r="D54">
            <v>113</v>
          </cell>
          <cell r="E54">
            <v>113</v>
          </cell>
          <cell r="F54">
            <v>435</v>
          </cell>
          <cell r="G54">
            <v>435</v>
          </cell>
          <cell r="H54" t="str">
            <v>NY005362</v>
          </cell>
          <cell r="I54" t="str">
            <v>FEDERAL</v>
          </cell>
          <cell r="J54" t="str">
            <v>CONVENTIONAL</v>
          </cell>
          <cell r="K54" t="str">
            <v>NEW CONST</v>
          </cell>
          <cell r="M54">
            <v>1476</v>
          </cell>
          <cell r="N54">
            <v>1492</v>
          </cell>
          <cell r="O54">
            <v>7217</v>
          </cell>
          <cell r="P54">
            <v>4.8899999999999997</v>
          </cell>
          <cell r="R54">
            <v>4297</v>
          </cell>
          <cell r="S54">
            <v>4297</v>
          </cell>
          <cell r="T54">
            <v>446</v>
          </cell>
          <cell r="U54">
            <v>0.30399999999999999</v>
          </cell>
          <cell r="V54">
            <v>6</v>
          </cell>
          <cell r="W54">
            <v>1</v>
          </cell>
          <cell r="X54">
            <v>7</v>
          </cell>
          <cell r="Y54">
            <v>21</v>
          </cell>
          <cell r="Z54">
            <v>558096</v>
          </cell>
          <cell r="AA54">
            <v>12.81</v>
          </cell>
          <cell r="AB54">
            <v>558096</v>
          </cell>
          <cell r="AC54">
            <v>12.81</v>
          </cell>
          <cell r="AD54">
            <v>88255</v>
          </cell>
          <cell r="AE54">
            <v>13527100</v>
          </cell>
          <cell r="AF54">
            <v>0.15809999999999999</v>
          </cell>
          <cell r="AG54">
            <v>335</v>
          </cell>
          <cell r="AH54">
            <v>29633000</v>
          </cell>
          <cell r="AI54">
            <v>4068</v>
          </cell>
          <cell r="AJ54">
            <v>507</v>
          </cell>
          <cell r="AK54" t="str">
            <v>E 169TH ST</v>
          </cell>
          <cell r="AL54" t="str">
            <v>E 171ST ST</v>
          </cell>
          <cell r="AM54" t="str">
            <v>WEBSTER AVE</v>
          </cell>
          <cell r="AN54" t="str">
            <v>PARK AVE</v>
          </cell>
          <cell r="AO54" t="str">
            <v>BRONX</v>
          </cell>
          <cell r="AP54">
            <v>3</v>
          </cell>
          <cell r="AQ54">
            <v>15</v>
          </cell>
          <cell r="AR54">
            <v>33</v>
          </cell>
          <cell r="AS54">
            <v>79</v>
          </cell>
          <cell r="AT54">
            <v>16</v>
          </cell>
          <cell r="AU54">
            <v>23742</v>
          </cell>
          <cell r="AV54" t="str">
            <v>1995/07/13-PTA</v>
          </cell>
        </row>
        <row r="55">
          <cell r="B55" t="str">
            <v>CAMPOS PLAZA II</v>
          </cell>
          <cell r="C55" t="str">
            <v>NY005012570</v>
          </cell>
          <cell r="D55">
            <v>286</v>
          </cell>
          <cell r="E55">
            <v>337</v>
          </cell>
          <cell r="F55">
            <v>593</v>
          </cell>
          <cell r="G55">
            <v>593</v>
          </cell>
          <cell r="H55" t="str">
            <v>NY005264</v>
          </cell>
          <cell r="I55" t="str">
            <v>FEDERAL</v>
          </cell>
          <cell r="J55" t="str">
            <v>CONVENTIONAL</v>
          </cell>
          <cell r="K55" t="str">
            <v>NEW CONST</v>
          </cell>
          <cell r="M55">
            <v>224</v>
          </cell>
          <cell r="N55">
            <v>224</v>
          </cell>
          <cell r="O55">
            <v>1088</v>
          </cell>
          <cell r="P55">
            <v>4.8600000000000003</v>
          </cell>
          <cell r="R55">
            <v>508</v>
          </cell>
          <cell r="S55">
            <v>508</v>
          </cell>
          <cell r="T55">
            <v>105</v>
          </cell>
          <cell r="U55">
            <v>0.46899999999999997</v>
          </cell>
          <cell r="V55">
            <v>2</v>
          </cell>
          <cell r="W55">
            <v>0</v>
          </cell>
          <cell r="X55">
            <v>3</v>
          </cell>
          <cell r="Y55">
            <v>43725</v>
          </cell>
          <cell r="Z55">
            <v>93155</v>
          </cell>
          <cell r="AA55">
            <v>2.14</v>
          </cell>
          <cell r="AB55">
            <v>93155</v>
          </cell>
          <cell r="AC55">
            <v>2.14</v>
          </cell>
          <cell r="AD55">
            <v>29149</v>
          </cell>
          <cell r="AE55">
            <v>2470285</v>
          </cell>
          <cell r="AF55">
            <v>0.31290000000000001</v>
          </cell>
          <cell r="AG55">
            <v>237</v>
          </cell>
          <cell r="AH55">
            <v>17601547</v>
          </cell>
          <cell r="AI55">
            <v>16193</v>
          </cell>
          <cell r="AJ55">
            <v>627</v>
          </cell>
          <cell r="AK55" t="str">
            <v>AVENUE B</v>
          </cell>
          <cell r="AL55" t="str">
            <v>E 14TH ST</v>
          </cell>
          <cell r="AM55" t="str">
            <v>AVENUE C</v>
          </cell>
          <cell r="AN55" t="str">
            <v>E 13TH ST</v>
          </cell>
          <cell r="AO55" t="str">
            <v>MANHATTAN</v>
          </cell>
          <cell r="AP55">
            <v>3</v>
          </cell>
          <cell r="AQ55">
            <v>12</v>
          </cell>
          <cell r="AR55">
            <v>27</v>
          </cell>
          <cell r="AS55">
            <v>74</v>
          </cell>
          <cell r="AT55">
            <v>2</v>
          </cell>
          <cell r="AU55">
            <v>30436</v>
          </cell>
          <cell r="AX55" t="str">
            <v>YES</v>
          </cell>
        </row>
        <row r="56">
          <cell r="B56" t="str">
            <v>CAREY GARDENS</v>
          </cell>
          <cell r="C56" t="str">
            <v>NY005011660</v>
          </cell>
          <cell r="D56">
            <v>166</v>
          </cell>
          <cell r="E56">
            <v>166</v>
          </cell>
          <cell r="F56">
            <v>288</v>
          </cell>
          <cell r="G56">
            <v>288</v>
          </cell>
          <cell r="H56" t="str">
            <v>NY005088</v>
          </cell>
          <cell r="I56" t="str">
            <v>FEDERAL</v>
          </cell>
          <cell r="J56" t="str">
            <v>CONVENTIONAL</v>
          </cell>
          <cell r="K56" t="str">
            <v>NEW CONST</v>
          </cell>
          <cell r="M56">
            <v>682</v>
          </cell>
          <cell r="N56">
            <v>683</v>
          </cell>
          <cell r="O56">
            <v>3095</v>
          </cell>
          <cell r="P56">
            <v>4.54</v>
          </cell>
          <cell r="R56">
            <v>1632</v>
          </cell>
          <cell r="S56">
            <v>1632</v>
          </cell>
          <cell r="T56">
            <v>284</v>
          </cell>
          <cell r="U56">
            <v>0.41899999999999998</v>
          </cell>
          <cell r="V56">
            <v>3</v>
          </cell>
          <cell r="W56">
            <v>2</v>
          </cell>
          <cell r="X56">
            <v>5</v>
          </cell>
          <cell r="Y56" t="str">
            <v>15-17</v>
          </cell>
          <cell r="Z56">
            <v>364406</v>
          </cell>
          <cell r="AA56">
            <v>8.3699999999999992</v>
          </cell>
          <cell r="AB56">
            <v>364406</v>
          </cell>
          <cell r="AC56">
            <v>8.3699999999999992</v>
          </cell>
          <cell r="AD56">
            <v>58078</v>
          </cell>
          <cell r="AE56">
            <v>6234149</v>
          </cell>
          <cell r="AF56">
            <v>0.15939999999999999</v>
          </cell>
          <cell r="AG56">
            <v>195</v>
          </cell>
          <cell r="AH56">
            <v>16996504</v>
          </cell>
          <cell r="AI56">
            <v>5476</v>
          </cell>
          <cell r="AJ56">
            <v>486</v>
          </cell>
          <cell r="AK56" t="str">
            <v>W 24TH ST</v>
          </cell>
          <cell r="AL56" t="str">
            <v>NEPTUNE AVE</v>
          </cell>
          <cell r="AM56" t="str">
            <v>W 22ND ST</v>
          </cell>
          <cell r="AN56" t="str">
            <v>SURF AVE</v>
          </cell>
          <cell r="AO56" t="str">
            <v>BROOKLYN</v>
          </cell>
          <cell r="AP56">
            <v>13</v>
          </cell>
          <cell r="AQ56">
            <v>8</v>
          </cell>
          <cell r="AR56">
            <v>23</v>
          </cell>
          <cell r="AS56">
            <v>46</v>
          </cell>
          <cell r="AT56">
            <v>47</v>
          </cell>
          <cell r="AU56">
            <v>25902</v>
          </cell>
        </row>
        <row r="57">
          <cell r="B57" t="str">
            <v>CARLETON MANOR</v>
          </cell>
          <cell r="C57" t="str">
            <v>NY005010750</v>
          </cell>
          <cell r="D57">
            <v>164</v>
          </cell>
          <cell r="E57">
            <v>75</v>
          </cell>
          <cell r="F57">
            <v>270</v>
          </cell>
          <cell r="G57">
            <v>226</v>
          </cell>
          <cell r="H57" t="str">
            <v>NY005073</v>
          </cell>
          <cell r="I57" t="str">
            <v>FEDERAL</v>
          </cell>
          <cell r="J57" t="str">
            <v>CONVENTIONAL</v>
          </cell>
          <cell r="K57" t="str">
            <v>NEW CONST</v>
          </cell>
          <cell r="M57">
            <v>169</v>
          </cell>
          <cell r="N57">
            <v>174</v>
          </cell>
          <cell r="O57">
            <v>728.5</v>
          </cell>
          <cell r="P57">
            <v>4.3099999999999996</v>
          </cell>
          <cell r="R57">
            <v>357</v>
          </cell>
          <cell r="S57">
            <v>357</v>
          </cell>
          <cell r="T57">
            <v>53</v>
          </cell>
          <cell r="U57">
            <v>0.315</v>
          </cell>
          <cell r="V57">
            <v>1</v>
          </cell>
          <cell r="W57">
            <v>0</v>
          </cell>
          <cell r="X57">
            <v>1</v>
          </cell>
          <cell r="Y57">
            <v>11</v>
          </cell>
          <cell r="Z57">
            <v>145011</v>
          </cell>
          <cell r="AA57">
            <v>3.33</v>
          </cell>
          <cell r="AB57">
            <v>145011</v>
          </cell>
          <cell r="AC57">
            <v>3.33</v>
          </cell>
          <cell r="AD57">
            <v>14051</v>
          </cell>
          <cell r="AE57">
            <v>1386194</v>
          </cell>
          <cell r="AF57">
            <v>9.69E-2</v>
          </cell>
          <cell r="AG57">
            <v>107</v>
          </cell>
          <cell r="AH57">
            <v>3373126</v>
          </cell>
          <cell r="AI57">
            <v>4498</v>
          </cell>
          <cell r="AJ57">
            <v>506</v>
          </cell>
          <cell r="AK57" t="str">
            <v>ROCKAWAY FRWY</v>
          </cell>
          <cell r="AL57" t="str">
            <v>BEACH CHANNEL DR</v>
          </cell>
          <cell r="AO57" t="str">
            <v>QUEENS</v>
          </cell>
          <cell r="AP57">
            <v>14</v>
          </cell>
          <cell r="AQ57">
            <v>5</v>
          </cell>
          <cell r="AR57">
            <v>10</v>
          </cell>
          <cell r="AS57">
            <v>31</v>
          </cell>
          <cell r="AT57">
            <v>31</v>
          </cell>
          <cell r="AU57">
            <v>24562</v>
          </cell>
        </row>
        <row r="58">
          <cell r="B58" t="str">
            <v>CARVER</v>
          </cell>
          <cell r="C58" t="str">
            <v>NY005000580</v>
          </cell>
          <cell r="D58">
            <v>58</v>
          </cell>
          <cell r="E58">
            <v>58</v>
          </cell>
          <cell r="F58">
            <v>534</v>
          </cell>
          <cell r="G58">
            <v>534</v>
          </cell>
          <cell r="H58" t="str">
            <v>NY005220E</v>
          </cell>
          <cell r="I58" t="str">
            <v>FEDERAL</v>
          </cell>
          <cell r="J58" t="str">
            <v>CONVENTIONAL</v>
          </cell>
          <cell r="K58" t="str">
            <v>NEW CONST</v>
          </cell>
          <cell r="M58">
            <v>1244</v>
          </cell>
          <cell r="N58">
            <v>1246</v>
          </cell>
          <cell r="O58">
            <v>5761</v>
          </cell>
          <cell r="P58">
            <v>4.63</v>
          </cell>
          <cell r="R58">
            <v>2586</v>
          </cell>
          <cell r="S58">
            <v>2586</v>
          </cell>
          <cell r="T58">
            <v>502</v>
          </cell>
          <cell r="U58">
            <v>0.41</v>
          </cell>
          <cell r="V58">
            <v>13</v>
          </cell>
          <cell r="W58">
            <v>0</v>
          </cell>
          <cell r="X58">
            <v>13</v>
          </cell>
          <cell r="Y58">
            <v>43631</v>
          </cell>
          <cell r="Z58">
            <v>637132</v>
          </cell>
          <cell r="AA58">
            <v>14.63</v>
          </cell>
          <cell r="AB58">
            <v>594887</v>
          </cell>
          <cell r="AC58">
            <v>13.66</v>
          </cell>
          <cell r="AD58">
            <v>97568</v>
          </cell>
          <cell r="AE58">
            <v>10275141</v>
          </cell>
          <cell r="AF58">
            <v>0.15310000000000001</v>
          </cell>
          <cell r="AG58">
            <v>177</v>
          </cell>
          <cell r="AH58">
            <v>24155000</v>
          </cell>
          <cell r="AI58">
            <v>4145</v>
          </cell>
          <cell r="AJ58">
            <v>590</v>
          </cell>
          <cell r="AK58" t="str">
            <v>E 99TH ST</v>
          </cell>
          <cell r="AL58" t="str">
            <v>PARK AVE</v>
          </cell>
          <cell r="AM58" t="str">
            <v>MADISON AVE</v>
          </cell>
          <cell r="AN58" t="str">
            <v>E 106TH ST</v>
          </cell>
          <cell r="AO58" t="str">
            <v>MANHATTAN</v>
          </cell>
          <cell r="AP58">
            <v>11</v>
          </cell>
          <cell r="AQ58">
            <v>13</v>
          </cell>
          <cell r="AR58">
            <v>30</v>
          </cell>
          <cell r="AS58">
            <v>68</v>
          </cell>
          <cell r="AT58">
            <v>8</v>
          </cell>
          <cell r="AU58">
            <v>21230</v>
          </cell>
          <cell r="AV58" t="str">
            <v>1978/07/01-ATP 3</v>
          </cell>
        </row>
        <row r="59">
          <cell r="B59" t="str">
            <v>CASSIDY-LAFAYETTE</v>
          </cell>
          <cell r="C59" t="str">
            <v>NY005011170</v>
          </cell>
          <cell r="D59">
            <v>206</v>
          </cell>
          <cell r="E59">
            <v>117</v>
          </cell>
          <cell r="F59">
            <v>319</v>
          </cell>
          <cell r="G59">
            <v>241</v>
          </cell>
          <cell r="H59" t="str">
            <v>NY005122</v>
          </cell>
          <cell r="I59" t="str">
            <v>FEDERAL</v>
          </cell>
          <cell r="J59" t="str">
            <v>TURNKEY</v>
          </cell>
          <cell r="K59" t="str">
            <v>NEW CONST (ELD)</v>
          </cell>
          <cell r="M59">
            <v>378</v>
          </cell>
          <cell r="N59">
            <v>380</v>
          </cell>
          <cell r="O59">
            <v>1248</v>
          </cell>
          <cell r="P59">
            <v>3.3</v>
          </cell>
          <cell r="R59">
            <v>439</v>
          </cell>
          <cell r="S59">
            <v>439</v>
          </cell>
          <cell r="T59">
            <v>323</v>
          </cell>
          <cell r="U59">
            <v>0.878</v>
          </cell>
          <cell r="V59">
            <v>4</v>
          </cell>
          <cell r="W59">
            <v>1</v>
          </cell>
          <cell r="X59">
            <v>5</v>
          </cell>
          <cell r="Y59">
            <v>6</v>
          </cell>
          <cell r="Z59">
            <v>224294</v>
          </cell>
          <cell r="AA59">
            <v>5.15</v>
          </cell>
          <cell r="AB59">
            <v>224294</v>
          </cell>
          <cell r="AC59">
            <v>5.15</v>
          </cell>
          <cell r="AD59">
            <v>54589</v>
          </cell>
          <cell r="AE59">
            <v>2858593</v>
          </cell>
          <cell r="AF59">
            <v>0.24340000000000001</v>
          </cell>
          <cell r="AG59">
            <v>85</v>
          </cell>
          <cell r="AH59">
            <v>6866904</v>
          </cell>
          <cell r="AI59">
            <v>5315</v>
          </cell>
          <cell r="AJ59">
            <v>323</v>
          </cell>
          <cell r="AK59" t="str">
            <v>CASSIDY PL</v>
          </cell>
          <cell r="AL59" t="str">
            <v>FILLMORE ST</v>
          </cell>
          <cell r="AM59" t="str">
            <v>LAFAYETTE AVE</v>
          </cell>
          <cell r="AN59" t="str">
            <v>CLINTON AVE</v>
          </cell>
          <cell r="AO59" t="str">
            <v>STATEN ISLAND</v>
          </cell>
          <cell r="AP59">
            <v>1</v>
          </cell>
          <cell r="AQ59">
            <v>11</v>
          </cell>
          <cell r="AR59">
            <v>23</v>
          </cell>
          <cell r="AS59">
            <v>61</v>
          </cell>
          <cell r="AT59">
            <v>49</v>
          </cell>
          <cell r="AU59">
            <v>26206</v>
          </cell>
          <cell r="AW59" t="str">
            <v>EXCLUSIVELY</v>
          </cell>
        </row>
        <row r="60">
          <cell r="B60" t="str">
            <v>CASTLE HILL</v>
          </cell>
          <cell r="C60" t="str">
            <v>NY005020800</v>
          </cell>
          <cell r="D60">
            <v>80</v>
          </cell>
          <cell r="E60">
            <v>80</v>
          </cell>
          <cell r="F60">
            <v>431</v>
          </cell>
          <cell r="G60">
            <v>431</v>
          </cell>
          <cell r="H60" t="str">
            <v>NY005371</v>
          </cell>
          <cell r="I60" t="str">
            <v>MIXED FINANCE/LLC1</v>
          </cell>
          <cell r="J60" t="str">
            <v>CONVENTIONAL</v>
          </cell>
          <cell r="K60" t="str">
            <v>NEW CONST</v>
          </cell>
          <cell r="L60">
            <v>406</v>
          </cell>
          <cell r="M60">
            <v>2022</v>
          </cell>
          <cell r="N60">
            <v>2025</v>
          </cell>
          <cell r="O60">
            <v>9759</v>
          </cell>
          <cell r="P60">
            <v>4.83</v>
          </cell>
          <cell r="Q60">
            <v>1151</v>
          </cell>
          <cell r="R60">
            <v>3729</v>
          </cell>
          <cell r="S60">
            <v>4880</v>
          </cell>
          <cell r="T60">
            <v>796</v>
          </cell>
          <cell r="U60">
            <v>0.40100000000000002</v>
          </cell>
          <cell r="V60">
            <v>14</v>
          </cell>
          <cell r="W60">
            <v>0</v>
          </cell>
          <cell r="X60">
            <v>14</v>
          </cell>
          <cell r="Y60">
            <v>43819</v>
          </cell>
          <cell r="Z60">
            <v>1801346</v>
          </cell>
          <cell r="AA60">
            <v>41.35</v>
          </cell>
          <cell r="AB60">
            <v>1757585</v>
          </cell>
          <cell r="AC60">
            <v>40.35</v>
          </cell>
          <cell r="AD60">
            <v>176917</v>
          </cell>
          <cell r="AE60">
            <v>19247987</v>
          </cell>
          <cell r="AF60">
            <v>9.8199999999999996E-2</v>
          </cell>
          <cell r="AG60">
            <v>118</v>
          </cell>
          <cell r="AH60">
            <v>28454000</v>
          </cell>
          <cell r="AI60">
            <v>2915</v>
          </cell>
          <cell r="AJ60">
            <v>485</v>
          </cell>
          <cell r="AK60" t="str">
            <v>OLMSTEAD AVE</v>
          </cell>
          <cell r="AL60" t="str">
            <v>HAVEMEYER AVE</v>
          </cell>
          <cell r="AM60" t="str">
            <v>LACOMBE AVE</v>
          </cell>
          <cell r="AN60" t="str">
            <v>CINCINNATUS AVE</v>
          </cell>
          <cell r="AO60" t="str">
            <v>BRONX</v>
          </cell>
          <cell r="AP60">
            <v>9</v>
          </cell>
          <cell r="AQ60">
            <v>15</v>
          </cell>
          <cell r="AR60">
            <v>32</v>
          </cell>
          <cell r="AS60">
            <v>87</v>
          </cell>
          <cell r="AT60">
            <v>18</v>
          </cell>
          <cell r="AU60">
            <v>22265</v>
          </cell>
        </row>
        <row r="61">
          <cell r="B61" t="str">
            <v>CHELSEA</v>
          </cell>
          <cell r="C61" t="str">
            <v>NY005021340</v>
          </cell>
          <cell r="D61">
            <v>134</v>
          </cell>
          <cell r="E61">
            <v>134</v>
          </cell>
          <cell r="F61">
            <v>446</v>
          </cell>
          <cell r="G61">
            <v>446</v>
          </cell>
          <cell r="H61" t="str">
            <v>NY005372</v>
          </cell>
          <cell r="I61" t="str">
            <v>MIXED FINANCE/LLC1</v>
          </cell>
          <cell r="J61" t="str">
            <v>CONVENTIONAL</v>
          </cell>
          <cell r="K61" t="str">
            <v>NEW CONST</v>
          </cell>
          <cell r="L61">
            <v>68</v>
          </cell>
          <cell r="M61">
            <v>425</v>
          </cell>
          <cell r="N61">
            <v>425</v>
          </cell>
          <cell r="O61">
            <v>1914.5</v>
          </cell>
          <cell r="P61">
            <v>4.5</v>
          </cell>
          <cell r="Q61">
            <v>177</v>
          </cell>
          <cell r="R61">
            <v>733</v>
          </cell>
          <cell r="S61">
            <v>910</v>
          </cell>
          <cell r="T61">
            <v>181</v>
          </cell>
          <cell r="U61">
            <v>0.43</v>
          </cell>
          <cell r="V61">
            <v>2</v>
          </cell>
          <cell r="W61">
            <v>0</v>
          </cell>
          <cell r="X61">
            <v>4</v>
          </cell>
          <cell r="Y61">
            <v>21</v>
          </cell>
          <cell r="Z61">
            <v>74488</v>
          </cell>
          <cell r="AA61">
            <v>1.71</v>
          </cell>
          <cell r="AB61">
            <v>74488</v>
          </cell>
          <cell r="AC61">
            <v>1.71</v>
          </cell>
          <cell r="AD61">
            <v>18557</v>
          </cell>
          <cell r="AE61">
            <v>3689065</v>
          </cell>
          <cell r="AF61">
            <v>0.24909999999999999</v>
          </cell>
          <cell r="AG61">
            <v>532</v>
          </cell>
          <cell r="AH61">
            <v>8776000</v>
          </cell>
          <cell r="AI61">
            <v>4584</v>
          </cell>
          <cell r="AJ61">
            <v>583</v>
          </cell>
          <cell r="AK61" t="str">
            <v>W 25TH ST</v>
          </cell>
          <cell r="AL61" t="str">
            <v>W 26TH ST</v>
          </cell>
          <cell r="AM61" t="str">
            <v>NINTH AVE</v>
          </cell>
          <cell r="AO61" t="str">
            <v>MANHATTAN</v>
          </cell>
          <cell r="AP61">
            <v>4</v>
          </cell>
          <cell r="AQ61">
            <v>10</v>
          </cell>
          <cell r="AR61">
            <v>27</v>
          </cell>
          <cell r="AS61">
            <v>75</v>
          </cell>
          <cell r="AT61">
            <v>3</v>
          </cell>
          <cell r="AU61">
            <v>23528</v>
          </cell>
        </row>
        <row r="62">
          <cell r="B62" t="str">
            <v>CHELSEA ADDITION</v>
          </cell>
          <cell r="C62" t="str">
            <v>NY005011340</v>
          </cell>
          <cell r="D62">
            <v>176</v>
          </cell>
          <cell r="E62">
            <v>134</v>
          </cell>
          <cell r="F62">
            <v>451</v>
          </cell>
          <cell r="G62">
            <v>451</v>
          </cell>
          <cell r="H62" t="str">
            <v>NY005361</v>
          </cell>
          <cell r="I62" t="str">
            <v>FEDERAL</v>
          </cell>
          <cell r="J62" t="str">
            <v>CONVENTIONAL</v>
          </cell>
          <cell r="K62" t="str">
            <v>NEW CONST (ELD)</v>
          </cell>
          <cell r="M62">
            <v>96</v>
          </cell>
          <cell r="N62">
            <v>96</v>
          </cell>
          <cell r="O62">
            <v>336</v>
          </cell>
          <cell r="P62">
            <v>3.5</v>
          </cell>
          <cell r="R62">
            <v>114</v>
          </cell>
          <cell r="S62">
            <v>114</v>
          </cell>
          <cell r="T62">
            <v>88</v>
          </cell>
          <cell r="U62">
            <v>0.92600000000000005</v>
          </cell>
          <cell r="V62">
            <v>1</v>
          </cell>
          <cell r="W62">
            <v>0</v>
          </cell>
          <cell r="X62">
            <v>1</v>
          </cell>
          <cell r="Y62">
            <v>14</v>
          </cell>
          <cell r="Z62">
            <v>44921</v>
          </cell>
          <cell r="AA62">
            <v>1.03</v>
          </cell>
          <cell r="AB62">
            <v>44921</v>
          </cell>
          <cell r="AC62">
            <v>1.03</v>
          </cell>
          <cell r="AD62">
            <v>14475</v>
          </cell>
          <cell r="AE62">
            <v>1021739</v>
          </cell>
          <cell r="AF62">
            <v>0.32219999999999999</v>
          </cell>
          <cell r="AG62">
            <v>111</v>
          </cell>
          <cell r="AH62">
            <v>2402000</v>
          </cell>
          <cell r="AI62">
            <v>7149</v>
          </cell>
          <cell r="AJ62">
            <v>337</v>
          </cell>
          <cell r="AK62" t="str">
            <v>CHELSEA PARK</v>
          </cell>
          <cell r="AL62" t="str">
            <v>W 26TH ST</v>
          </cell>
          <cell r="AM62" t="str">
            <v>TENTH AVE</v>
          </cell>
          <cell r="AO62" t="str">
            <v>MANHATTAN</v>
          </cell>
          <cell r="AP62">
            <v>4</v>
          </cell>
          <cell r="AQ62">
            <v>10</v>
          </cell>
          <cell r="AR62">
            <v>31</v>
          </cell>
          <cell r="AS62">
            <v>75</v>
          </cell>
          <cell r="AT62">
            <v>3</v>
          </cell>
          <cell r="AU62">
            <v>24958</v>
          </cell>
          <cell r="AV62" t="str">
            <v>1995/07/13-PTA</v>
          </cell>
          <cell r="AW62" t="str">
            <v>EXCLUSIVELY</v>
          </cell>
        </row>
        <row r="63">
          <cell r="B63" t="str">
            <v>CLAREMONT PARKWAY-FRANKLIN AVENUE</v>
          </cell>
          <cell r="C63" t="str">
            <v>NY005013420</v>
          </cell>
          <cell r="D63">
            <v>334</v>
          </cell>
          <cell r="E63">
            <v>342</v>
          </cell>
          <cell r="F63">
            <v>779</v>
          </cell>
          <cell r="G63">
            <v>753</v>
          </cell>
          <cell r="H63" t="str">
            <v>NY005253</v>
          </cell>
          <cell r="I63" t="str">
            <v>FEDERAL</v>
          </cell>
          <cell r="J63" t="str">
            <v>TURNKEY</v>
          </cell>
          <cell r="K63" t="str">
            <v>NEW CONST</v>
          </cell>
          <cell r="M63">
            <v>187</v>
          </cell>
          <cell r="N63">
            <v>188</v>
          </cell>
          <cell r="O63">
            <v>729.5</v>
          </cell>
          <cell r="P63">
            <v>3.9</v>
          </cell>
          <cell r="R63">
            <v>279</v>
          </cell>
          <cell r="S63">
            <v>279</v>
          </cell>
          <cell r="T63">
            <v>130</v>
          </cell>
          <cell r="U63">
            <v>0.70699999999999996</v>
          </cell>
          <cell r="V63">
            <v>3</v>
          </cell>
          <cell r="W63">
            <v>0</v>
          </cell>
          <cell r="X63">
            <v>13</v>
          </cell>
          <cell r="Y63">
            <v>43531</v>
          </cell>
          <cell r="Z63">
            <v>134390</v>
          </cell>
          <cell r="AA63">
            <v>3.09</v>
          </cell>
          <cell r="AB63">
            <v>134390</v>
          </cell>
          <cell r="AC63">
            <v>3.09</v>
          </cell>
          <cell r="AD63">
            <v>35258</v>
          </cell>
          <cell r="AE63">
            <v>1584850</v>
          </cell>
          <cell r="AF63">
            <v>0.26240000000000002</v>
          </cell>
          <cell r="AG63">
            <v>90</v>
          </cell>
          <cell r="AH63">
            <v>12645913</v>
          </cell>
          <cell r="AI63">
            <v>17252</v>
          </cell>
          <cell r="AJ63">
            <v>403</v>
          </cell>
          <cell r="AK63" t="str">
            <v>CLAREMONT PKWY</v>
          </cell>
          <cell r="AL63" t="str">
            <v>FULTON AVE</v>
          </cell>
          <cell r="AM63" t="str">
            <v>E 171ST ST</v>
          </cell>
          <cell r="AN63" t="str">
            <v>THIRD AVE</v>
          </cell>
          <cell r="AO63" t="str">
            <v>BRONX</v>
          </cell>
          <cell r="AP63">
            <v>3</v>
          </cell>
          <cell r="AQ63">
            <v>15</v>
          </cell>
          <cell r="AR63">
            <v>33</v>
          </cell>
          <cell r="AS63">
            <v>79</v>
          </cell>
          <cell r="AT63">
            <v>16</v>
          </cell>
          <cell r="AU63">
            <v>31762</v>
          </cell>
          <cell r="AW63" t="str">
            <v>PARTIALLY</v>
          </cell>
          <cell r="AX63" t="str">
            <v>YES</v>
          </cell>
        </row>
        <row r="64">
          <cell r="B64" t="str">
            <v>CLAREMONT REHAB (GROUP 2)</v>
          </cell>
          <cell r="C64" t="str">
            <v>NY005013080</v>
          </cell>
          <cell r="D64">
            <v>307</v>
          </cell>
          <cell r="E64">
            <v>308</v>
          </cell>
          <cell r="F64">
            <v>330</v>
          </cell>
          <cell r="G64">
            <v>750</v>
          </cell>
          <cell r="H64" t="str">
            <v>NY005246</v>
          </cell>
          <cell r="I64" t="str">
            <v>FEDERAL</v>
          </cell>
          <cell r="J64" t="str">
            <v>TURNKEY</v>
          </cell>
          <cell r="K64" t="str">
            <v>REHAB</v>
          </cell>
          <cell r="M64">
            <v>106</v>
          </cell>
          <cell r="N64">
            <v>107</v>
          </cell>
          <cell r="O64">
            <v>455</v>
          </cell>
          <cell r="P64">
            <v>4.29</v>
          </cell>
          <cell r="R64">
            <v>251</v>
          </cell>
          <cell r="S64">
            <v>251</v>
          </cell>
          <cell r="T64">
            <v>35</v>
          </cell>
          <cell r="U64">
            <v>0.33700000000000002</v>
          </cell>
          <cell r="V64">
            <v>6</v>
          </cell>
          <cell r="W64">
            <v>0</v>
          </cell>
          <cell r="X64">
            <v>6</v>
          </cell>
          <cell r="Y64">
            <v>43591</v>
          </cell>
          <cell r="Z64">
            <v>31874</v>
          </cell>
          <cell r="AA64">
            <v>0.73</v>
          </cell>
          <cell r="AB64">
            <v>31874</v>
          </cell>
          <cell r="AC64">
            <v>0.73</v>
          </cell>
          <cell r="AD64">
            <v>21948</v>
          </cell>
          <cell r="AE64">
            <v>3488634</v>
          </cell>
          <cell r="AF64">
            <v>0.68859999999999999</v>
          </cell>
          <cell r="AG64">
            <v>344</v>
          </cell>
          <cell r="AH64">
            <v>11430362</v>
          </cell>
          <cell r="AI64">
            <v>24822</v>
          </cell>
          <cell r="AJ64">
            <v>457</v>
          </cell>
          <cell r="AK64" t="str">
            <v>CLAY AVE</v>
          </cell>
          <cell r="AL64" t="str">
            <v>E 169TH ST</v>
          </cell>
          <cell r="AM64" t="str">
            <v>WEBSTER AVE</v>
          </cell>
          <cell r="AN64" t="str">
            <v>E 166TH ST</v>
          </cell>
          <cell r="AO64" t="str">
            <v>BRONX</v>
          </cell>
          <cell r="AP64">
            <v>4</v>
          </cell>
          <cell r="AQ64">
            <v>15</v>
          </cell>
          <cell r="AR64">
            <v>32</v>
          </cell>
          <cell r="AS64">
            <v>77</v>
          </cell>
          <cell r="AT64">
            <v>16</v>
          </cell>
          <cell r="AU64">
            <v>32142</v>
          </cell>
          <cell r="AX64" t="str">
            <v>YES</v>
          </cell>
        </row>
        <row r="65">
          <cell r="B65" t="str">
            <v>CLAREMONT REHAB (GROUP 3)</v>
          </cell>
          <cell r="C65" t="str">
            <v>NY005013080</v>
          </cell>
          <cell r="D65">
            <v>308</v>
          </cell>
          <cell r="E65">
            <v>308</v>
          </cell>
          <cell r="F65">
            <v>750</v>
          </cell>
          <cell r="G65">
            <v>750</v>
          </cell>
          <cell r="H65" t="str">
            <v>NY005223</v>
          </cell>
          <cell r="I65" t="str">
            <v>FEDERAL</v>
          </cell>
          <cell r="J65" t="str">
            <v>TURNKEY</v>
          </cell>
          <cell r="K65" t="str">
            <v>REHAB</v>
          </cell>
          <cell r="M65">
            <v>107</v>
          </cell>
          <cell r="N65">
            <v>115</v>
          </cell>
          <cell r="O65">
            <v>470.5</v>
          </cell>
          <cell r="P65">
            <v>4.4000000000000004</v>
          </cell>
          <cell r="R65">
            <v>263</v>
          </cell>
          <cell r="S65">
            <v>263</v>
          </cell>
          <cell r="T65">
            <v>27</v>
          </cell>
          <cell r="U65">
            <v>0.252</v>
          </cell>
          <cell r="V65">
            <v>5</v>
          </cell>
          <cell r="W65">
            <v>0</v>
          </cell>
          <cell r="X65">
            <v>5</v>
          </cell>
          <cell r="Y65">
            <v>5</v>
          </cell>
          <cell r="Z65">
            <v>35423</v>
          </cell>
          <cell r="AA65">
            <v>0.81</v>
          </cell>
          <cell r="AB65">
            <v>35423</v>
          </cell>
          <cell r="AC65">
            <v>0.81</v>
          </cell>
          <cell r="AD65">
            <v>21985</v>
          </cell>
          <cell r="AE65">
            <v>1538950</v>
          </cell>
          <cell r="AF65">
            <v>0.62060000000000004</v>
          </cell>
          <cell r="AG65">
            <v>325</v>
          </cell>
          <cell r="AH65">
            <v>7234594</v>
          </cell>
          <cell r="AI65">
            <v>14061</v>
          </cell>
          <cell r="AJ65">
            <v>495</v>
          </cell>
          <cell r="AK65" t="str">
            <v>E 167TH ST</v>
          </cell>
          <cell r="AL65" t="str">
            <v>TELLER AVE</v>
          </cell>
          <cell r="AM65" t="str">
            <v>E 165TH ST</v>
          </cell>
          <cell r="AN65" t="str">
            <v>FINDLAY AVE</v>
          </cell>
          <cell r="AO65" t="str">
            <v>BRONX</v>
          </cell>
          <cell r="AP65">
            <v>4</v>
          </cell>
          <cell r="AQ65">
            <v>15</v>
          </cell>
          <cell r="AR65">
            <v>32</v>
          </cell>
          <cell r="AS65">
            <v>77</v>
          </cell>
          <cell r="AT65">
            <v>16</v>
          </cell>
          <cell r="AU65">
            <v>31106</v>
          </cell>
          <cell r="AX65" t="str">
            <v>YES</v>
          </cell>
        </row>
        <row r="66">
          <cell r="B66" t="str">
            <v>CLAREMONT REHAB (GROUP 4)</v>
          </cell>
          <cell r="C66" t="str">
            <v>NY005013080</v>
          </cell>
          <cell r="D66">
            <v>335</v>
          </cell>
          <cell r="E66">
            <v>308</v>
          </cell>
          <cell r="F66">
            <v>751</v>
          </cell>
          <cell r="G66">
            <v>750</v>
          </cell>
          <cell r="H66" t="str">
            <v>NY005273</v>
          </cell>
          <cell r="I66" t="str">
            <v>FEDERAL</v>
          </cell>
          <cell r="J66" t="str">
            <v>TURNKEY</v>
          </cell>
          <cell r="K66" t="str">
            <v>REHAB</v>
          </cell>
          <cell r="M66">
            <v>147</v>
          </cell>
          <cell r="N66">
            <v>150</v>
          </cell>
          <cell r="O66">
            <v>647.5</v>
          </cell>
          <cell r="P66">
            <v>4.4000000000000004</v>
          </cell>
          <cell r="R66">
            <v>342</v>
          </cell>
          <cell r="S66">
            <v>342</v>
          </cell>
          <cell r="T66">
            <v>50</v>
          </cell>
          <cell r="U66">
            <v>0.34</v>
          </cell>
          <cell r="V66">
            <v>9</v>
          </cell>
          <cell r="W66">
            <v>0</v>
          </cell>
          <cell r="X66">
            <v>9</v>
          </cell>
          <cell r="Y66">
            <v>43560</v>
          </cell>
          <cell r="Z66">
            <v>45636</v>
          </cell>
          <cell r="AA66">
            <v>1.05</v>
          </cell>
          <cell r="AB66">
            <v>45636</v>
          </cell>
          <cell r="AC66">
            <v>1.05</v>
          </cell>
          <cell r="AD66">
            <v>29519</v>
          </cell>
          <cell r="AE66">
            <v>2656710</v>
          </cell>
          <cell r="AF66">
            <v>0.64680000000000004</v>
          </cell>
          <cell r="AG66">
            <v>326</v>
          </cell>
          <cell r="AH66">
            <v>10283674</v>
          </cell>
          <cell r="AI66">
            <v>15605</v>
          </cell>
          <cell r="AJ66">
            <v>464</v>
          </cell>
          <cell r="AK66" t="str">
            <v>E 169TH ST</v>
          </cell>
          <cell r="AL66" t="str">
            <v>CLAY AVE</v>
          </cell>
          <cell r="AM66" t="str">
            <v>E 165TH ST</v>
          </cell>
          <cell r="AN66" t="str">
            <v>FINDLAY AVE</v>
          </cell>
          <cell r="AO66" t="str">
            <v>BRONX</v>
          </cell>
          <cell r="AP66">
            <v>4</v>
          </cell>
          <cell r="AQ66">
            <v>15</v>
          </cell>
          <cell r="AR66">
            <v>32</v>
          </cell>
          <cell r="AS66">
            <v>77</v>
          </cell>
          <cell r="AT66">
            <v>16</v>
          </cell>
          <cell r="AU66">
            <v>31708</v>
          </cell>
          <cell r="AX66" t="str">
            <v>YES</v>
          </cell>
        </row>
        <row r="67">
          <cell r="B67" t="str">
            <v>CLAREMONT REHAB (GROUP 5)</v>
          </cell>
          <cell r="C67" t="str">
            <v>NY005013080</v>
          </cell>
          <cell r="D67">
            <v>336</v>
          </cell>
          <cell r="E67">
            <v>308</v>
          </cell>
          <cell r="F67">
            <v>752</v>
          </cell>
          <cell r="G67">
            <v>750</v>
          </cell>
          <cell r="H67" t="str">
            <v>NY005274</v>
          </cell>
          <cell r="I67" t="str">
            <v>FEDERAL</v>
          </cell>
          <cell r="J67" t="str">
            <v>TURNKEY</v>
          </cell>
          <cell r="K67" t="str">
            <v>REHAB</v>
          </cell>
          <cell r="M67">
            <v>129</v>
          </cell>
          <cell r="N67">
            <v>135</v>
          </cell>
          <cell r="O67">
            <v>560.5</v>
          </cell>
          <cell r="P67">
            <v>4.34</v>
          </cell>
          <cell r="R67">
            <v>304</v>
          </cell>
          <cell r="S67">
            <v>304</v>
          </cell>
          <cell r="T67">
            <v>40</v>
          </cell>
          <cell r="U67">
            <v>0.31</v>
          </cell>
          <cell r="V67">
            <v>3</v>
          </cell>
          <cell r="W67">
            <v>0</v>
          </cell>
          <cell r="X67">
            <v>3</v>
          </cell>
          <cell r="Y67">
            <v>5</v>
          </cell>
          <cell r="Z67">
            <v>53898</v>
          </cell>
          <cell r="AA67">
            <v>1.24</v>
          </cell>
          <cell r="AB67">
            <v>53898</v>
          </cell>
          <cell r="AC67">
            <v>1.24</v>
          </cell>
          <cell r="AD67">
            <v>28605</v>
          </cell>
          <cell r="AE67">
            <v>2927721</v>
          </cell>
          <cell r="AF67">
            <v>0.53069999999999995</v>
          </cell>
          <cell r="AG67">
            <v>245</v>
          </cell>
          <cell r="AH67">
            <v>8551169</v>
          </cell>
          <cell r="AI67">
            <v>14555</v>
          </cell>
          <cell r="AJ67">
            <v>506</v>
          </cell>
          <cell r="AK67" t="str">
            <v>COLLEGE AVE</v>
          </cell>
          <cell r="AL67" t="str">
            <v>E 167TH ST</v>
          </cell>
          <cell r="AM67" t="str">
            <v>FINDLAY AVE</v>
          </cell>
          <cell r="AN67" t="str">
            <v>E 166TH ST</v>
          </cell>
          <cell r="AO67" t="str">
            <v>BRONX</v>
          </cell>
          <cell r="AP67">
            <v>4</v>
          </cell>
          <cell r="AQ67">
            <v>15</v>
          </cell>
          <cell r="AR67">
            <v>32</v>
          </cell>
          <cell r="AS67">
            <v>77</v>
          </cell>
          <cell r="AT67">
            <v>16</v>
          </cell>
          <cell r="AU67">
            <v>31381</v>
          </cell>
          <cell r="AX67" t="str">
            <v>YES</v>
          </cell>
        </row>
        <row r="68">
          <cell r="B68" t="str">
            <v>CLASON POINT GARDENS</v>
          </cell>
          <cell r="C68" t="str">
            <v>NY005012800</v>
          </cell>
          <cell r="D68">
            <v>11</v>
          </cell>
          <cell r="E68">
            <v>280</v>
          </cell>
          <cell r="F68">
            <v>208</v>
          </cell>
          <cell r="G68">
            <v>506</v>
          </cell>
          <cell r="H68" t="str">
            <v>NY005007</v>
          </cell>
          <cell r="I68" t="str">
            <v>FEDERAL</v>
          </cell>
          <cell r="J68" t="str">
            <v>CONVENTIONAL</v>
          </cell>
          <cell r="K68" t="str">
            <v>NEW CONST</v>
          </cell>
          <cell r="M68">
            <v>401</v>
          </cell>
          <cell r="N68">
            <v>401</v>
          </cell>
          <cell r="O68">
            <v>1893.5</v>
          </cell>
          <cell r="P68">
            <v>4.72</v>
          </cell>
          <cell r="R68">
            <v>861</v>
          </cell>
          <cell r="S68">
            <v>861</v>
          </cell>
          <cell r="T68">
            <v>173</v>
          </cell>
          <cell r="U68">
            <v>0.438</v>
          </cell>
          <cell r="V68">
            <v>46</v>
          </cell>
          <cell r="W68">
            <v>0</v>
          </cell>
          <cell r="X68">
            <v>192</v>
          </cell>
          <cell r="Y68">
            <v>2</v>
          </cell>
          <cell r="Z68">
            <v>742013</v>
          </cell>
          <cell r="AA68">
            <v>17.03</v>
          </cell>
          <cell r="AB68">
            <v>742013</v>
          </cell>
          <cell r="AC68">
            <v>17.03</v>
          </cell>
          <cell r="AD68">
            <v>154304</v>
          </cell>
          <cell r="AE68">
            <v>3388939</v>
          </cell>
          <cell r="AF68">
            <v>0.20799999999999999</v>
          </cell>
          <cell r="AG68">
            <v>51</v>
          </cell>
          <cell r="AH68">
            <v>2067000</v>
          </cell>
          <cell r="AI68">
            <v>1116</v>
          </cell>
          <cell r="AJ68">
            <v>612</v>
          </cell>
          <cell r="AK68" t="str">
            <v>STORY AVE</v>
          </cell>
          <cell r="AL68" t="str">
            <v>SEWARD AVE</v>
          </cell>
          <cell r="AM68" t="str">
            <v>NOBLE AVE</v>
          </cell>
          <cell r="AN68" t="str">
            <v>METCALF AVE</v>
          </cell>
          <cell r="AO68" t="str">
            <v>BRONX</v>
          </cell>
          <cell r="AP68">
            <v>9</v>
          </cell>
          <cell r="AQ68">
            <v>15</v>
          </cell>
          <cell r="AR68">
            <v>34</v>
          </cell>
          <cell r="AS68">
            <v>85</v>
          </cell>
          <cell r="AT68">
            <v>18</v>
          </cell>
          <cell r="AU68">
            <v>15330</v>
          </cell>
        </row>
        <row r="69">
          <cell r="B69" t="str">
            <v>CLINTON</v>
          </cell>
          <cell r="C69" t="str">
            <v>NY005001230</v>
          </cell>
          <cell r="D69">
            <v>123</v>
          </cell>
          <cell r="E69">
            <v>123</v>
          </cell>
          <cell r="F69">
            <v>245</v>
          </cell>
          <cell r="G69">
            <v>245</v>
          </cell>
          <cell r="H69" t="str">
            <v>NY005045</v>
          </cell>
          <cell r="I69" t="str">
            <v>FEDERAL</v>
          </cell>
          <cell r="J69" t="str">
            <v>CONVENTIONAL</v>
          </cell>
          <cell r="K69" t="str">
            <v>NEW CONST</v>
          </cell>
          <cell r="M69">
            <v>748</v>
          </cell>
          <cell r="N69">
            <v>749</v>
          </cell>
          <cell r="O69">
            <v>3523</v>
          </cell>
          <cell r="P69">
            <v>4.71</v>
          </cell>
          <cell r="R69">
            <v>1720</v>
          </cell>
          <cell r="S69">
            <v>1720</v>
          </cell>
          <cell r="T69">
            <v>330</v>
          </cell>
          <cell r="U69">
            <v>0.45</v>
          </cell>
          <cell r="V69">
            <v>6</v>
          </cell>
          <cell r="W69">
            <v>2</v>
          </cell>
          <cell r="X69">
            <v>8</v>
          </cell>
          <cell r="Y69">
            <v>43726</v>
          </cell>
          <cell r="Z69">
            <v>243770</v>
          </cell>
          <cell r="AA69">
            <v>5.6</v>
          </cell>
          <cell r="AB69">
            <v>232673</v>
          </cell>
          <cell r="AC69">
            <v>5.34</v>
          </cell>
          <cell r="AD69">
            <v>51879</v>
          </cell>
          <cell r="AE69">
            <v>6740935</v>
          </cell>
          <cell r="AF69">
            <v>0.21279999999999999</v>
          </cell>
          <cell r="AG69">
            <v>307</v>
          </cell>
          <cell r="AH69">
            <v>16774779</v>
          </cell>
          <cell r="AI69">
            <v>4756</v>
          </cell>
          <cell r="AJ69">
            <v>529</v>
          </cell>
          <cell r="AK69" t="str">
            <v>PARK &amp; LEX AVES</v>
          </cell>
          <cell r="AL69" t="str">
            <v>E 104TH,106TH STS</v>
          </cell>
          <cell r="AM69" t="str">
            <v>E 108TH ST</v>
          </cell>
          <cell r="AN69" t="str">
            <v>E 110TH ST</v>
          </cell>
          <cell r="AO69" t="str">
            <v>MANHATTAN</v>
          </cell>
          <cell r="AP69">
            <v>11</v>
          </cell>
          <cell r="AQ69">
            <v>13</v>
          </cell>
          <cell r="AR69">
            <v>30</v>
          </cell>
          <cell r="AS69">
            <v>68</v>
          </cell>
          <cell r="AT69">
            <v>8</v>
          </cell>
          <cell r="AU69">
            <v>24046</v>
          </cell>
        </row>
        <row r="70">
          <cell r="B70" t="str">
            <v>COLLEGE AVENUE-EAST 165TH STREET</v>
          </cell>
          <cell r="C70" t="str">
            <v>NY005013080</v>
          </cell>
          <cell r="D70">
            <v>236</v>
          </cell>
          <cell r="E70">
            <v>308</v>
          </cell>
          <cell r="F70">
            <v>351</v>
          </cell>
          <cell r="G70">
            <v>344</v>
          </cell>
          <cell r="H70" t="str">
            <v>NY005148</v>
          </cell>
          <cell r="I70" t="str">
            <v>FEDERAL</v>
          </cell>
          <cell r="J70" t="str">
            <v>TURNKEY</v>
          </cell>
          <cell r="K70" t="str">
            <v>NEW CONST (ELD)</v>
          </cell>
          <cell r="M70">
            <v>95</v>
          </cell>
          <cell r="N70">
            <v>95</v>
          </cell>
          <cell r="O70">
            <v>307.5</v>
          </cell>
          <cell r="P70">
            <v>3.24</v>
          </cell>
          <cell r="R70">
            <v>102</v>
          </cell>
          <cell r="S70">
            <v>102</v>
          </cell>
          <cell r="T70">
            <v>84</v>
          </cell>
          <cell r="U70">
            <v>0.89400000000000002</v>
          </cell>
          <cell r="V70">
            <v>1</v>
          </cell>
          <cell r="W70">
            <v>0</v>
          </cell>
          <cell r="X70">
            <v>1</v>
          </cell>
          <cell r="Y70">
            <v>6</v>
          </cell>
          <cell r="Z70">
            <v>22146</v>
          </cell>
          <cell r="AA70">
            <v>0.51</v>
          </cell>
          <cell r="AB70">
            <v>22146</v>
          </cell>
          <cell r="AC70">
            <v>0.51</v>
          </cell>
          <cell r="AD70">
            <v>10022</v>
          </cell>
          <cell r="AE70">
            <v>784399</v>
          </cell>
          <cell r="AF70">
            <v>0.45250000000000001</v>
          </cell>
          <cell r="AG70">
            <v>200</v>
          </cell>
          <cell r="AH70">
            <v>2518156</v>
          </cell>
          <cell r="AI70">
            <v>7869</v>
          </cell>
          <cell r="AJ70">
            <v>288</v>
          </cell>
          <cell r="AK70" t="str">
            <v>E 166TH ST</v>
          </cell>
          <cell r="AL70" t="str">
            <v>FINDLAY AVE</v>
          </cell>
          <cell r="AM70" t="str">
            <v>E 165TH ST</v>
          </cell>
          <cell r="AN70" t="str">
            <v>COLLEGE AVE</v>
          </cell>
          <cell r="AO70" t="str">
            <v>BRONX</v>
          </cell>
          <cell r="AP70">
            <v>4</v>
          </cell>
          <cell r="AQ70">
            <v>15</v>
          </cell>
          <cell r="AR70">
            <v>32</v>
          </cell>
          <cell r="AS70">
            <v>77</v>
          </cell>
          <cell r="AT70">
            <v>16</v>
          </cell>
          <cell r="AU70">
            <v>26511</v>
          </cell>
          <cell r="AW70" t="str">
            <v>EXCLUSIVELY</v>
          </cell>
        </row>
        <row r="71">
          <cell r="B71" t="str">
            <v>CONEY ISLAND</v>
          </cell>
          <cell r="C71" t="str">
            <v>NY005011700</v>
          </cell>
          <cell r="D71">
            <v>94</v>
          </cell>
          <cell r="E71">
            <v>170</v>
          </cell>
          <cell r="F71">
            <v>671</v>
          </cell>
          <cell r="G71">
            <v>671</v>
          </cell>
          <cell r="H71" t="str">
            <v>NY005363</v>
          </cell>
          <cell r="I71" t="str">
            <v>FEDERAL</v>
          </cell>
          <cell r="J71" t="str">
            <v>CONVENTIONAL</v>
          </cell>
          <cell r="K71" t="str">
            <v>NEW CONST</v>
          </cell>
          <cell r="M71">
            <v>530</v>
          </cell>
          <cell r="N71">
            <v>534</v>
          </cell>
          <cell r="O71">
            <v>2426</v>
          </cell>
          <cell r="P71">
            <v>4.58</v>
          </cell>
          <cell r="R71">
            <v>1121</v>
          </cell>
          <cell r="S71">
            <v>1121</v>
          </cell>
          <cell r="T71">
            <v>211</v>
          </cell>
          <cell r="U71">
            <v>0.40100000000000002</v>
          </cell>
          <cell r="V71">
            <v>5</v>
          </cell>
          <cell r="W71">
            <v>0</v>
          </cell>
          <cell r="X71">
            <v>5</v>
          </cell>
          <cell r="Y71">
            <v>14</v>
          </cell>
          <cell r="Z71">
            <v>298874</v>
          </cell>
          <cell r="AA71">
            <v>6.86</v>
          </cell>
          <cell r="AB71">
            <v>239429</v>
          </cell>
          <cell r="AC71">
            <v>5.5</v>
          </cell>
          <cell r="AD71">
            <v>38119</v>
          </cell>
          <cell r="AE71">
            <v>4912800</v>
          </cell>
          <cell r="AF71">
            <v>0.1275</v>
          </cell>
          <cell r="AG71">
            <v>163</v>
          </cell>
          <cell r="AH71">
            <v>7728534</v>
          </cell>
          <cell r="AI71">
            <v>3165</v>
          </cell>
          <cell r="AJ71">
            <v>599</v>
          </cell>
          <cell r="AK71" t="str">
            <v>SURF AVE</v>
          </cell>
          <cell r="AL71" t="str">
            <v>W 32ND ST</v>
          </cell>
          <cell r="AM71" t="str">
            <v>RIEGELMANN BRDWK</v>
          </cell>
          <cell r="AN71" t="str">
            <v>W 29TH ST</v>
          </cell>
          <cell r="AO71" t="str">
            <v>BROOKLYN</v>
          </cell>
          <cell r="AP71">
            <v>13</v>
          </cell>
          <cell r="AQ71">
            <v>8</v>
          </cell>
          <cell r="AR71">
            <v>23</v>
          </cell>
          <cell r="AS71">
            <v>46</v>
          </cell>
          <cell r="AT71">
            <v>47</v>
          </cell>
          <cell r="AU71">
            <v>20876</v>
          </cell>
          <cell r="AV71" t="str">
            <v>1995/07/13-PTA</v>
          </cell>
        </row>
        <row r="72">
          <cell r="B72" t="str">
            <v>CONEY ISLAND I (SITE 1B)</v>
          </cell>
          <cell r="C72" t="str">
            <v>NY005011660</v>
          </cell>
          <cell r="D72">
            <v>239</v>
          </cell>
          <cell r="E72">
            <v>166</v>
          </cell>
          <cell r="F72">
            <v>335</v>
          </cell>
          <cell r="G72">
            <v>288</v>
          </cell>
          <cell r="H72" t="str">
            <v>NY005161</v>
          </cell>
          <cell r="I72" t="str">
            <v>FEDERAL</v>
          </cell>
          <cell r="J72" t="str">
            <v>TURNKEY</v>
          </cell>
          <cell r="K72" t="str">
            <v>NEW CONST</v>
          </cell>
          <cell r="M72">
            <v>192</v>
          </cell>
          <cell r="N72">
            <v>193</v>
          </cell>
          <cell r="O72">
            <v>952</v>
          </cell>
          <cell r="P72">
            <v>4.96</v>
          </cell>
          <cell r="R72">
            <v>512</v>
          </cell>
          <cell r="S72">
            <v>512</v>
          </cell>
          <cell r="T72">
            <v>73</v>
          </cell>
          <cell r="U72">
            <v>0.38200000000000001</v>
          </cell>
          <cell r="V72">
            <v>1</v>
          </cell>
          <cell r="W72">
            <v>0</v>
          </cell>
          <cell r="X72">
            <v>1</v>
          </cell>
          <cell r="Y72">
            <v>18</v>
          </cell>
          <cell r="Z72">
            <v>93061</v>
          </cell>
          <cell r="AA72">
            <v>2.14</v>
          </cell>
          <cell r="AB72">
            <v>93061</v>
          </cell>
          <cell r="AC72">
            <v>2.14</v>
          </cell>
          <cell r="AD72">
            <v>14078</v>
          </cell>
          <cell r="AE72">
            <v>1876990</v>
          </cell>
          <cell r="AF72">
            <v>0.15129999999999999</v>
          </cell>
          <cell r="AG72">
            <v>239</v>
          </cell>
          <cell r="AH72">
            <v>7531412</v>
          </cell>
          <cell r="AI72">
            <v>7829</v>
          </cell>
          <cell r="AJ72">
            <v>552</v>
          </cell>
          <cell r="AK72" t="str">
            <v>W 20TH ST</v>
          </cell>
          <cell r="AL72" t="str">
            <v>W 21ST ST</v>
          </cell>
          <cell r="AM72" t="str">
            <v>SURF AVE</v>
          </cell>
          <cell r="AN72" t="str">
            <v>MERMAID AVE</v>
          </cell>
          <cell r="AO72" t="str">
            <v>BROOKLYN</v>
          </cell>
          <cell r="AP72">
            <v>13</v>
          </cell>
          <cell r="AQ72">
            <v>8</v>
          </cell>
          <cell r="AR72">
            <v>23</v>
          </cell>
          <cell r="AS72">
            <v>46</v>
          </cell>
          <cell r="AT72">
            <v>47</v>
          </cell>
          <cell r="AU72">
            <v>26815</v>
          </cell>
        </row>
        <row r="73">
          <cell r="B73" t="str">
            <v>CONEY ISLAND I (SITE 8)</v>
          </cell>
          <cell r="C73" t="str">
            <v>NY005011720</v>
          </cell>
          <cell r="D73">
            <v>238</v>
          </cell>
          <cell r="E73">
            <v>172</v>
          </cell>
          <cell r="F73">
            <v>334</v>
          </cell>
          <cell r="G73">
            <v>334</v>
          </cell>
          <cell r="H73" t="str">
            <v>NY005157</v>
          </cell>
          <cell r="I73" t="str">
            <v>FEDERAL</v>
          </cell>
          <cell r="J73" t="str">
            <v>TURNKEY</v>
          </cell>
          <cell r="K73" t="str">
            <v>NEW CONST</v>
          </cell>
          <cell r="M73">
            <v>124</v>
          </cell>
          <cell r="N73">
            <v>125</v>
          </cell>
          <cell r="O73">
            <v>626</v>
          </cell>
          <cell r="P73">
            <v>5.05</v>
          </cell>
          <cell r="R73">
            <v>361</v>
          </cell>
          <cell r="S73">
            <v>361</v>
          </cell>
          <cell r="T73">
            <v>37</v>
          </cell>
          <cell r="U73">
            <v>0.30599999999999999</v>
          </cell>
          <cell r="V73">
            <v>1</v>
          </cell>
          <cell r="W73">
            <v>0</v>
          </cell>
          <cell r="X73">
            <v>2</v>
          </cell>
          <cell r="Y73">
            <v>14</v>
          </cell>
          <cell r="Z73">
            <v>61483</v>
          </cell>
          <cell r="AA73">
            <v>1.41</v>
          </cell>
          <cell r="AB73">
            <v>61483</v>
          </cell>
          <cell r="AC73">
            <v>1.41</v>
          </cell>
          <cell r="AD73">
            <v>11970</v>
          </cell>
          <cell r="AE73">
            <v>1187936</v>
          </cell>
          <cell r="AF73">
            <v>0.19470000000000001</v>
          </cell>
          <cell r="AG73">
            <v>256</v>
          </cell>
          <cell r="AH73">
            <v>5853893</v>
          </cell>
          <cell r="AI73">
            <v>9255</v>
          </cell>
          <cell r="AJ73">
            <v>559</v>
          </cell>
          <cell r="AK73" t="str">
            <v>W 35TH ST</v>
          </cell>
          <cell r="AL73" t="str">
            <v>W 36TH ST</v>
          </cell>
          <cell r="AM73" t="str">
            <v>SURF AVE</v>
          </cell>
          <cell r="AN73" t="str">
            <v>MERMAID AVE</v>
          </cell>
          <cell r="AO73" t="str">
            <v>BROOKLYN</v>
          </cell>
          <cell r="AP73">
            <v>13</v>
          </cell>
          <cell r="AQ73">
            <v>8</v>
          </cell>
          <cell r="AR73">
            <v>23</v>
          </cell>
          <cell r="AS73">
            <v>46</v>
          </cell>
          <cell r="AT73">
            <v>47</v>
          </cell>
          <cell r="AU73">
            <v>27029</v>
          </cell>
        </row>
        <row r="74">
          <cell r="B74" t="str">
            <v>CONEY ISLAND I (SITES 4 &amp; 5)</v>
          </cell>
          <cell r="C74" t="str">
            <v>NY005011700</v>
          </cell>
          <cell r="D74">
            <v>216</v>
          </cell>
          <cell r="E74">
            <v>170</v>
          </cell>
          <cell r="F74">
            <v>328</v>
          </cell>
          <cell r="G74">
            <v>278</v>
          </cell>
          <cell r="H74" t="str">
            <v>NY005123</v>
          </cell>
          <cell r="I74" t="str">
            <v>FEDERAL</v>
          </cell>
          <cell r="J74" t="str">
            <v>TURNKEY</v>
          </cell>
          <cell r="K74" t="str">
            <v>NEW CONST</v>
          </cell>
          <cell r="M74">
            <v>376</v>
          </cell>
          <cell r="N74">
            <v>376</v>
          </cell>
          <cell r="O74">
            <v>1879</v>
          </cell>
          <cell r="P74">
            <v>5</v>
          </cell>
          <cell r="R74">
            <v>1029</v>
          </cell>
          <cell r="S74">
            <v>1029</v>
          </cell>
          <cell r="T74">
            <v>103</v>
          </cell>
          <cell r="U74">
            <v>0.27900000000000003</v>
          </cell>
          <cell r="V74">
            <v>1</v>
          </cell>
          <cell r="W74">
            <v>1</v>
          </cell>
          <cell r="X74">
            <v>6</v>
          </cell>
          <cell r="Y74">
            <v>17</v>
          </cell>
          <cell r="Z74">
            <v>187318</v>
          </cell>
          <cell r="AA74">
            <v>4.3</v>
          </cell>
          <cell r="AB74">
            <v>187318</v>
          </cell>
          <cell r="AC74">
            <v>4.3</v>
          </cell>
          <cell r="AD74">
            <v>38750</v>
          </cell>
          <cell r="AE74">
            <v>4017326</v>
          </cell>
          <cell r="AF74">
            <v>0.2069</v>
          </cell>
          <cell r="AG74">
            <v>239</v>
          </cell>
          <cell r="AH74">
            <v>16603000</v>
          </cell>
          <cell r="AI74">
            <v>8808</v>
          </cell>
          <cell r="AJ74">
            <v>595</v>
          </cell>
          <cell r="AK74" t="str">
            <v>MERMAID AVE</v>
          </cell>
          <cell r="AL74" t="str">
            <v>W 25TH ST</v>
          </cell>
          <cell r="AM74" t="str">
            <v>SURF AVE</v>
          </cell>
          <cell r="AN74" t="str">
            <v>W 28TH ST</v>
          </cell>
          <cell r="AO74" t="str">
            <v>BROOKLYN</v>
          </cell>
          <cell r="AP74">
            <v>13</v>
          </cell>
          <cell r="AQ74">
            <v>8</v>
          </cell>
          <cell r="AR74">
            <v>23</v>
          </cell>
          <cell r="AS74">
            <v>46</v>
          </cell>
          <cell r="AT74">
            <v>47</v>
          </cell>
          <cell r="AU74">
            <v>27241</v>
          </cell>
        </row>
        <row r="75">
          <cell r="B75" t="str">
            <v>CONLON LIHFE TOWER</v>
          </cell>
          <cell r="C75" t="str">
            <v>NY005010910</v>
          </cell>
          <cell r="D75">
            <v>232</v>
          </cell>
          <cell r="E75">
            <v>91</v>
          </cell>
          <cell r="F75">
            <v>347</v>
          </cell>
          <cell r="G75">
            <v>240</v>
          </cell>
          <cell r="H75" t="str">
            <v>NY005137</v>
          </cell>
          <cell r="I75" t="str">
            <v>FEDERAL</v>
          </cell>
          <cell r="J75" t="str">
            <v>TURNKEY</v>
          </cell>
          <cell r="K75" t="str">
            <v>NEW CONST (ELD)</v>
          </cell>
          <cell r="M75">
            <v>214</v>
          </cell>
          <cell r="N75">
            <v>216</v>
          </cell>
          <cell r="O75">
            <v>701</v>
          </cell>
          <cell r="P75">
            <v>3.28</v>
          </cell>
          <cell r="R75">
            <v>240</v>
          </cell>
          <cell r="S75">
            <v>240</v>
          </cell>
          <cell r="T75">
            <v>192</v>
          </cell>
          <cell r="U75">
            <v>0.91</v>
          </cell>
          <cell r="V75">
            <v>1</v>
          </cell>
          <cell r="W75">
            <v>0</v>
          </cell>
          <cell r="X75">
            <v>1</v>
          </cell>
          <cell r="Y75">
            <v>13</v>
          </cell>
          <cell r="Z75">
            <v>51873</v>
          </cell>
          <cell r="AA75">
            <v>1.19</v>
          </cell>
          <cell r="AB75">
            <v>51873</v>
          </cell>
          <cell r="AC75">
            <v>1.19</v>
          </cell>
          <cell r="AD75">
            <v>11294</v>
          </cell>
          <cell r="AE75">
            <v>1325412</v>
          </cell>
          <cell r="AF75">
            <v>0.2177</v>
          </cell>
          <cell r="AG75">
            <v>202</v>
          </cell>
          <cell r="AH75">
            <v>5835896</v>
          </cell>
          <cell r="AI75">
            <v>7973</v>
          </cell>
          <cell r="AJ75">
            <v>352</v>
          </cell>
          <cell r="AK75" t="str">
            <v>170TH ST</v>
          </cell>
          <cell r="AL75" t="str">
            <v>172ND ST</v>
          </cell>
          <cell r="AM75" t="str">
            <v>JAMAICA AVE</v>
          </cell>
          <cell r="AN75" t="str">
            <v>93RD AVE</v>
          </cell>
          <cell r="AO75" t="str">
            <v>QUEENS</v>
          </cell>
          <cell r="AP75">
            <v>12</v>
          </cell>
          <cell r="AQ75">
            <v>5</v>
          </cell>
          <cell r="AR75">
            <v>14</v>
          </cell>
          <cell r="AS75">
            <v>29</v>
          </cell>
          <cell r="AT75">
            <v>27</v>
          </cell>
          <cell r="AU75">
            <v>26754</v>
          </cell>
          <cell r="AW75" t="str">
            <v>EXCLUSIVELY</v>
          </cell>
        </row>
        <row r="76">
          <cell r="B76" t="str">
            <v>COOPER PARK</v>
          </cell>
          <cell r="C76" t="str">
            <v>NY005000690</v>
          </cell>
          <cell r="D76">
            <v>69</v>
          </cell>
          <cell r="E76">
            <v>69</v>
          </cell>
          <cell r="F76">
            <v>223</v>
          </cell>
          <cell r="G76">
            <v>223</v>
          </cell>
          <cell r="H76" t="str">
            <v>NY005023</v>
          </cell>
          <cell r="I76" t="str">
            <v>FEDERAL</v>
          </cell>
          <cell r="J76" t="str">
            <v>CONVENTIONAL</v>
          </cell>
          <cell r="K76" t="str">
            <v>NEW CONST</v>
          </cell>
          <cell r="M76">
            <v>700</v>
          </cell>
          <cell r="N76">
            <v>700</v>
          </cell>
          <cell r="O76">
            <v>3281</v>
          </cell>
          <cell r="P76">
            <v>4.6900000000000004</v>
          </cell>
          <cell r="R76">
            <v>1554</v>
          </cell>
          <cell r="S76">
            <v>1554</v>
          </cell>
          <cell r="T76">
            <v>301</v>
          </cell>
          <cell r="U76">
            <v>0.434</v>
          </cell>
          <cell r="V76">
            <v>11</v>
          </cell>
          <cell r="W76">
            <v>0</v>
          </cell>
          <cell r="X76">
            <v>13</v>
          </cell>
          <cell r="Y76">
            <v>7</v>
          </cell>
          <cell r="Z76">
            <v>528967</v>
          </cell>
          <cell r="AA76">
            <v>12.14</v>
          </cell>
          <cell r="AB76">
            <v>496296</v>
          </cell>
          <cell r="AC76">
            <v>11.39</v>
          </cell>
          <cell r="AD76">
            <v>86767</v>
          </cell>
          <cell r="AE76">
            <v>5878957</v>
          </cell>
          <cell r="AF76">
            <v>0.16400000000000001</v>
          </cell>
          <cell r="AG76">
            <v>128</v>
          </cell>
          <cell r="AH76">
            <v>7702277</v>
          </cell>
          <cell r="AI76">
            <v>2346</v>
          </cell>
          <cell r="AJ76">
            <v>541</v>
          </cell>
          <cell r="AK76" t="str">
            <v>FROST ST</v>
          </cell>
          <cell r="AL76" t="str">
            <v>MORGAN AVE</v>
          </cell>
          <cell r="AM76" t="str">
            <v>KINGSLAND AVE</v>
          </cell>
          <cell r="AN76" t="str">
            <v>MASPETH AVE</v>
          </cell>
          <cell r="AO76" t="str">
            <v>BROOKLYN</v>
          </cell>
          <cell r="AP76">
            <v>1</v>
          </cell>
          <cell r="AQ76">
            <v>12</v>
          </cell>
          <cell r="AR76">
            <v>18</v>
          </cell>
          <cell r="AS76">
            <v>50</v>
          </cell>
          <cell r="AT76">
            <v>34</v>
          </cell>
          <cell r="AU76">
            <v>19535</v>
          </cell>
        </row>
        <row r="77">
          <cell r="B77" t="str">
            <v>CORSI HOUSES</v>
          </cell>
          <cell r="C77" t="str">
            <v>NY005010640</v>
          </cell>
          <cell r="D77">
            <v>199</v>
          </cell>
          <cell r="E77">
            <v>64</v>
          </cell>
          <cell r="F77">
            <v>359</v>
          </cell>
          <cell r="G77">
            <v>219</v>
          </cell>
          <cell r="H77" t="str">
            <v>NY005149</v>
          </cell>
          <cell r="I77" t="str">
            <v>FEDERAL</v>
          </cell>
          <cell r="J77" t="str">
            <v>CONVENTIONAL</v>
          </cell>
          <cell r="K77" t="str">
            <v>NEW CONST (ELD)</v>
          </cell>
          <cell r="M77">
            <v>171</v>
          </cell>
          <cell r="N77">
            <v>171</v>
          </cell>
          <cell r="O77">
            <v>512.5</v>
          </cell>
          <cell r="P77">
            <v>3</v>
          </cell>
          <cell r="R77">
            <v>186</v>
          </cell>
          <cell r="S77">
            <v>186</v>
          </cell>
          <cell r="T77">
            <v>144</v>
          </cell>
          <cell r="U77">
            <v>0.86699999999999999</v>
          </cell>
          <cell r="V77">
            <v>1</v>
          </cell>
          <cell r="W77">
            <v>0</v>
          </cell>
          <cell r="X77">
            <v>1</v>
          </cell>
          <cell r="Y77">
            <v>16</v>
          </cell>
          <cell r="Z77">
            <v>32004</v>
          </cell>
          <cell r="AA77">
            <v>0.73</v>
          </cell>
          <cell r="AB77">
            <v>32004</v>
          </cell>
          <cell r="AC77">
            <v>0.73</v>
          </cell>
          <cell r="AD77">
            <v>20446</v>
          </cell>
          <cell r="AE77">
            <v>1361650</v>
          </cell>
          <cell r="AF77">
            <v>0.63890000000000002</v>
          </cell>
          <cell r="AG77">
            <v>255</v>
          </cell>
          <cell r="AH77">
            <v>6600521</v>
          </cell>
          <cell r="AI77">
            <v>11882</v>
          </cell>
          <cell r="AJ77">
            <v>303</v>
          </cell>
          <cell r="AK77" t="str">
            <v>E 116TH ST</v>
          </cell>
          <cell r="AL77" t="str">
            <v>E 117TH ST</v>
          </cell>
          <cell r="AM77" t="str">
            <v>FIRST AVE</v>
          </cell>
          <cell r="AN77" t="str">
            <v>SECOND AVE</v>
          </cell>
          <cell r="AO77" t="str">
            <v>MANHATTAN</v>
          </cell>
          <cell r="AP77">
            <v>11</v>
          </cell>
          <cell r="AQ77">
            <v>13</v>
          </cell>
          <cell r="AR77">
            <v>29</v>
          </cell>
          <cell r="AS77">
            <v>68</v>
          </cell>
          <cell r="AT77">
            <v>8</v>
          </cell>
          <cell r="AU77">
            <v>26998</v>
          </cell>
          <cell r="AW77" t="str">
            <v>EXCLUSIVELY</v>
          </cell>
        </row>
        <row r="78">
          <cell r="B78" t="str">
            <v>CROWN HEIGHTS</v>
          </cell>
          <cell r="C78" t="str">
            <v>NY005013510</v>
          </cell>
          <cell r="D78">
            <v>312</v>
          </cell>
          <cell r="E78">
            <v>351</v>
          </cell>
          <cell r="F78">
            <v>331</v>
          </cell>
          <cell r="G78">
            <v>765</v>
          </cell>
          <cell r="H78" t="str">
            <v>NY005258</v>
          </cell>
          <cell r="I78" t="str">
            <v>FEDERAL</v>
          </cell>
          <cell r="J78" t="str">
            <v>TURNKEY</v>
          </cell>
          <cell r="K78" t="str">
            <v>REHAB</v>
          </cell>
          <cell r="M78">
            <v>121</v>
          </cell>
          <cell r="N78">
            <v>121</v>
          </cell>
          <cell r="O78">
            <v>527.5</v>
          </cell>
          <cell r="P78">
            <v>4.3600000000000003</v>
          </cell>
          <cell r="R78">
            <v>241</v>
          </cell>
          <cell r="S78">
            <v>241</v>
          </cell>
          <cell r="T78">
            <v>33</v>
          </cell>
          <cell r="U78">
            <v>0.27500000000000002</v>
          </cell>
          <cell r="V78">
            <v>8</v>
          </cell>
          <cell r="W78">
            <v>0</v>
          </cell>
          <cell r="X78">
            <v>8</v>
          </cell>
          <cell r="Y78">
            <v>4</v>
          </cell>
          <cell r="Z78">
            <v>51255</v>
          </cell>
          <cell r="AA78">
            <v>1.18</v>
          </cell>
          <cell r="AB78">
            <v>51255</v>
          </cell>
          <cell r="AC78">
            <v>1.18</v>
          </cell>
          <cell r="AD78">
            <v>31650</v>
          </cell>
          <cell r="AE78">
            <v>1139400</v>
          </cell>
          <cell r="AF78">
            <v>0.61750000000000005</v>
          </cell>
          <cell r="AG78">
            <v>204</v>
          </cell>
          <cell r="AH78">
            <v>7974650</v>
          </cell>
          <cell r="AI78">
            <v>15118</v>
          </cell>
          <cell r="AJ78">
            <v>625</v>
          </cell>
          <cell r="AK78" t="str">
            <v>BUFFALO AVE</v>
          </cell>
          <cell r="AL78" t="str">
            <v>BERGEN ST</v>
          </cell>
          <cell r="AM78" t="str">
            <v>RALPH AVE</v>
          </cell>
          <cell r="AN78" t="str">
            <v>SAINT JOHNS PL</v>
          </cell>
          <cell r="AO78" t="str">
            <v>BROOKLYN</v>
          </cell>
          <cell r="AP78">
            <v>8</v>
          </cell>
          <cell r="AQ78" t="str">
            <v>8, 9</v>
          </cell>
          <cell r="AR78" t="str">
            <v>20, 25</v>
          </cell>
          <cell r="AS78" t="str">
            <v>55, 56</v>
          </cell>
          <cell r="AT78">
            <v>41</v>
          </cell>
          <cell r="AU78">
            <v>31659</v>
          </cell>
          <cell r="AX78" t="str">
            <v>YES</v>
          </cell>
        </row>
        <row r="79">
          <cell r="B79" t="str">
            <v>CYPRESS HILLS</v>
          </cell>
          <cell r="C79" t="str">
            <v>NY005010700</v>
          </cell>
          <cell r="D79">
            <v>70</v>
          </cell>
          <cell r="E79">
            <v>70</v>
          </cell>
          <cell r="F79">
            <v>536</v>
          </cell>
          <cell r="G79">
            <v>536</v>
          </cell>
          <cell r="H79" t="str">
            <v>NY005220G</v>
          </cell>
          <cell r="I79" t="str">
            <v>FEDERAL</v>
          </cell>
          <cell r="J79" t="str">
            <v>CONVENTIONAL</v>
          </cell>
          <cell r="K79" t="str">
            <v>NEW CONST</v>
          </cell>
          <cell r="M79">
            <v>1439</v>
          </cell>
          <cell r="N79">
            <v>1444</v>
          </cell>
          <cell r="O79">
            <v>6588.5</v>
          </cell>
          <cell r="P79">
            <v>4.58</v>
          </cell>
          <cell r="R79">
            <v>3250</v>
          </cell>
          <cell r="S79">
            <v>3250</v>
          </cell>
          <cell r="T79">
            <v>519</v>
          </cell>
          <cell r="U79">
            <v>0.36399999999999999</v>
          </cell>
          <cell r="V79">
            <v>15</v>
          </cell>
          <cell r="W79">
            <v>0</v>
          </cell>
          <cell r="X79">
            <v>30</v>
          </cell>
          <cell r="Y79">
            <v>7</v>
          </cell>
          <cell r="Z79">
            <v>1264130</v>
          </cell>
          <cell r="AA79">
            <v>29.02</v>
          </cell>
          <cell r="AB79">
            <v>1264130</v>
          </cell>
          <cell r="AC79">
            <v>29.02</v>
          </cell>
          <cell r="AD79">
            <v>223364</v>
          </cell>
          <cell r="AE79">
            <v>12338237</v>
          </cell>
          <cell r="AF79">
            <v>0.1767</v>
          </cell>
          <cell r="AG79">
            <v>112</v>
          </cell>
          <cell r="AH79">
            <v>14773000</v>
          </cell>
          <cell r="AI79">
            <v>2247</v>
          </cell>
          <cell r="AJ79">
            <v>517</v>
          </cell>
          <cell r="AK79" t="str">
            <v>SUTTER AVE</v>
          </cell>
          <cell r="AL79" t="str">
            <v>EUCLID AVE</v>
          </cell>
          <cell r="AM79" t="str">
            <v>LINDEN BLVD</v>
          </cell>
          <cell r="AN79" t="str">
            <v>FOUNTAIN AVE</v>
          </cell>
          <cell r="AO79" t="str">
            <v>BROOKLYN</v>
          </cell>
          <cell r="AP79">
            <v>5</v>
          </cell>
          <cell r="AQ79">
            <v>8</v>
          </cell>
          <cell r="AR79" t="str">
            <v>18, 19</v>
          </cell>
          <cell r="AS79">
            <v>60</v>
          </cell>
          <cell r="AT79">
            <v>42</v>
          </cell>
          <cell r="AU79">
            <v>20234</v>
          </cell>
          <cell r="AV79" t="str">
            <v>1978/07/01-ATP 3</v>
          </cell>
        </row>
        <row r="80">
          <cell r="B80" t="str">
            <v>DAVIDSON</v>
          </cell>
          <cell r="C80" t="str">
            <v>NY005013420</v>
          </cell>
          <cell r="D80">
            <v>190</v>
          </cell>
          <cell r="E80">
            <v>342</v>
          </cell>
          <cell r="F80">
            <v>301</v>
          </cell>
          <cell r="G80">
            <v>301</v>
          </cell>
          <cell r="H80" t="str">
            <v>NY005096A</v>
          </cell>
          <cell r="I80" t="str">
            <v>FEDERAL</v>
          </cell>
          <cell r="J80" t="str">
            <v>CONVENTIONAL</v>
          </cell>
          <cell r="K80" t="str">
            <v>NEW CONST</v>
          </cell>
          <cell r="M80">
            <v>175</v>
          </cell>
          <cell r="N80">
            <v>175</v>
          </cell>
          <cell r="O80">
            <v>841.5</v>
          </cell>
          <cell r="P80">
            <v>4.8099999999999996</v>
          </cell>
          <cell r="R80">
            <v>479</v>
          </cell>
          <cell r="S80">
            <v>479</v>
          </cell>
          <cell r="T80">
            <v>69</v>
          </cell>
          <cell r="U80">
            <v>0.39400000000000002</v>
          </cell>
          <cell r="V80">
            <v>1</v>
          </cell>
          <cell r="W80">
            <v>0</v>
          </cell>
          <cell r="X80">
            <v>2</v>
          </cell>
          <cell r="Y80">
            <v>8</v>
          </cell>
          <cell r="Z80">
            <v>82967</v>
          </cell>
          <cell r="AA80">
            <v>1.9</v>
          </cell>
          <cell r="AB80">
            <v>82967</v>
          </cell>
          <cell r="AC80">
            <v>1.9</v>
          </cell>
          <cell r="AD80">
            <v>24796</v>
          </cell>
          <cell r="AE80">
            <v>1647000</v>
          </cell>
          <cell r="AF80">
            <v>0.2989</v>
          </cell>
          <cell r="AG80">
            <v>252</v>
          </cell>
          <cell r="AH80">
            <v>8704709</v>
          </cell>
          <cell r="AI80">
            <v>10259</v>
          </cell>
          <cell r="AJ80">
            <v>544</v>
          </cell>
          <cell r="AK80" t="str">
            <v>PROSPECT AVE</v>
          </cell>
          <cell r="AL80" t="str">
            <v>HOME ST</v>
          </cell>
          <cell r="AM80" t="str">
            <v>167TH ST</v>
          </cell>
          <cell r="AN80" t="str">
            <v>UNION AVE</v>
          </cell>
          <cell r="AO80" t="str">
            <v>BRONX</v>
          </cell>
          <cell r="AP80">
            <v>3</v>
          </cell>
          <cell r="AQ80">
            <v>15</v>
          </cell>
          <cell r="AR80">
            <v>32</v>
          </cell>
          <cell r="AS80">
            <v>79</v>
          </cell>
          <cell r="AT80">
            <v>17</v>
          </cell>
          <cell r="AU80">
            <v>26907</v>
          </cell>
          <cell r="AW80" t="str">
            <v>PARTIALLY</v>
          </cell>
        </row>
        <row r="81">
          <cell r="B81" t="str">
            <v>DE HOSTOS APARTMENTS</v>
          </cell>
          <cell r="C81" t="str">
            <v>NY005011270</v>
          </cell>
          <cell r="D81">
            <v>155</v>
          </cell>
          <cell r="E81">
            <v>127</v>
          </cell>
          <cell r="F81">
            <v>265</v>
          </cell>
          <cell r="G81">
            <v>259</v>
          </cell>
          <cell r="H81" t="str">
            <v>NY005066</v>
          </cell>
          <cell r="I81" t="str">
            <v>FEDERAL</v>
          </cell>
          <cell r="J81" t="str">
            <v>CONVENTIONAL</v>
          </cell>
          <cell r="K81" t="str">
            <v>NEW CONST</v>
          </cell>
          <cell r="M81">
            <v>219</v>
          </cell>
          <cell r="N81">
            <v>223</v>
          </cell>
          <cell r="O81">
            <v>953.5</v>
          </cell>
          <cell r="P81">
            <v>4.3499999999999996</v>
          </cell>
          <cell r="R81">
            <v>453</v>
          </cell>
          <cell r="S81">
            <v>453</v>
          </cell>
          <cell r="T81">
            <v>87</v>
          </cell>
          <cell r="U81">
            <v>0.40699999999999997</v>
          </cell>
          <cell r="V81">
            <v>1</v>
          </cell>
          <cell r="W81">
            <v>0</v>
          </cell>
          <cell r="X81">
            <v>1</v>
          </cell>
          <cell r="Y81">
            <v>22</v>
          </cell>
          <cell r="Z81">
            <v>32690</v>
          </cell>
          <cell r="AA81">
            <v>0.75</v>
          </cell>
          <cell r="AB81">
            <v>32690</v>
          </cell>
          <cell r="AC81">
            <v>0.75</v>
          </cell>
          <cell r="AD81">
            <v>10319</v>
          </cell>
          <cell r="AE81">
            <v>1794597</v>
          </cell>
          <cell r="AF81">
            <v>0.31569999999999998</v>
          </cell>
          <cell r="AG81">
            <v>604</v>
          </cell>
          <cell r="AH81">
            <v>4044899</v>
          </cell>
          <cell r="AI81">
            <v>4130</v>
          </cell>
          <cell r="AJ81">
            <v>532</v>
          </cell>
          <cell r="AK81" t="str">
            <v>AMSTERDAM AVE</v>
          </cell>
          <cell r="AL81" t="str">
            <v>W 93RD ST</v>
          </cell>
          <cell r="AM81" t="str">
            <v>BROADWAY</v>
          </cell>
          <cell r="AN81" t="str">
            <v>W 94TH ST</v>
          </cell>
          <cell r="AO81" t="str">
            <v>MANHATTAN</v>
          </cell>
          <cell r="AP81">
            <v>7</v>
          </cell>
          <cell r="AQ81">
            <v>10</v>
          </cell>
          <cell r="AR81">
            <v>30</v>
          </cell>
          <cell r="AS81">
            <v>69</v>
          </cell>
          <cell r="AT81">
            <v>6</v>
          </cell>
          <cell r="AU81">
            <v>25290</v>
          </cell>
        </row>
        <row r="82">
          <cell r="B82" t="str">
            <v>DOUGLASS</v>
          </cell>
          <cell r="D82" t="str">
            <v>082, 582</v>
          </cell>
          <cell r="E82">
            <v>82</v>
          </cell>
          <cell r="F82">
            <v>569</v>
          </cell>
          <cell r="G82">
            <v>569</v>
          </cell>
          <cell r="H82" t="str">
            <v>NY005244B</v>
          </cell>
          <cell r="I82" t="str">
            <v>FEDERAL</v>
          </cell>
          <cell r="J82" t="str">
            <v>CONVENTIONAL</v>
          </cell>
          <cell r="K82" t="str">
            <v>NEW CONST</v>
          </cell>
          <cell r="M82">
            <v>2054</v>
          </cell>
          <cell r="N82">
            <v>2058</v>
          </cell>
          <cell r="O82">
            <v>9269</v>
          </cell>
          <cell r="P82">
            <v>4.51</v>
          </cell>
          <cell r="R82">
            <v>4240</v>
          </cell>
          <cell r="S82">
            <v>4240</v>
          </cell>
          <cell r="T82">
            <v>850</v>
          </cell>
          <cell r="U82">
            <v>0.41599999999999998</v>
          </cell>
          <cell r="V82">
            <v>17</v>
          </cell>
          <cell r="W82">
            <v>0</v>
          </cell>
          <cell r="X82">
            <v>17</v>
          </cell>
          <cell r="Y82" t="str">
            <v>5-9-12-17-18-20</v>
          </cell>
          <cell r="Z82">
            <v>947991</v>
          </cell>
          <cell r="AA82">
            <v>21.76</v>
          </cell>
          <cell r="AB82">
            <v>863250</v>
          </cell>
          <cell r="AC82">
            <v>19.82</v>
          </cell>
          <cell r="AD82">
            <v>138552</v>
          </cell>
          <cell r="AE82">
            <v>17567741</v>
          </cell>
          <cell r="AF82">
            <v>0.1462</v>
          </cell>
          <cell r="AG82">
            <v>195</v>
          </cell>
          <cell r="AH82">
            <v>37441000</v>
          </cell>
          <cell r="AI82">
            <v>4062</v>
          </cell>
          <cell r="AJ82">
            <v>564</v>
          </cell>
          <cell r="AK82" t="str">
            <v>W 104TH ST</v>
          </cell>
          <cell r="AL82" t="str">
            <v>MANHATTAN AVE</v>
          </cell>
          <cell r="AM82" t="str">
            <v>W 100TH ST</v>
          </cell>
          <cell r="AN82" t="str">
            <v>AMSTERDAM AVE</v>
          </cell>
          <cell r="AO82" t="str">
            <v>MANHATTAN</v>
          </cell>
          <cell r="AP82">
            <v>7</v>
          </cell>
          <cell r="AQ82">
            <v>13</v>
          </cell>
          <cell r="AR82">
            <v>30</v>
          </cell>
          <cell r="AS82">
            <v>69</v>
          </cell>
          <cell r="AT82">
            <v>7</v>
          </cell>
          <cell r="AU82">
            <v>21453</v>
          </cell>
          <cell r="AV82" t="str">
            <v>1979/08/01-ATP 4</v>
          </cell>
        </row>
        <row r="83">
          <cell r="B83" t="str">
            <v>DOUGLASS ADDITION</v>
          </cell>
          <cell r="C83" t="str">
            <v>NY005010820</v>
          </cell>
          <cell r="D83">
            <v>148</v>
          </cell>
          <cell r="E83">
            <v>82</v>
          </cell>
          <cell r="F83">
            <v>569</v>
          </cell>
          <cell r="G83">
            <v>569</v>
          </cell>
          <cell r="H83" t="str">
            <v>NY005244B</v>
          </cell>
          <cell r="I83" t="str">
            <v>FEDERAL</v>
          </cell>
          <cell r="J83" t="str">
            <v>CONVENTIONAL</v>
          </cell>
          <cell r="K83" t="str">
            <v>NEW CONST</v>
          </cell>
          <cell r="M83">
            <v>135</v>
          </cell>
          <cell r="N83">
            <v>135</v>
          </cell>
          <cell r="O83">
            <v>667.5</v>
          </cell>
          <cell r="P83">
            <v>4.9400000000000004</v>
          </cell>
          <cell r="R83">
            <v>337</v>
          </cell>
          <cell r="S83">
            <v>337</v>
          </cell>
          <cell r="T83">
            <v>50</v>
          </cell>
          <cell r="U83">
            <v>0.37</v>
          </cell>
          <cell r="V83">
            <v>1</v>
          </cell>
          <cell r="W83">
            <v>0</v>
          </cell>
          <cell r="X83">
            <v>1</v>
          </cell>
          <cell r="Y83">
            <v>16</v>
          </cell>
          <cell r="Z83">
            <v>23957</v>
          </cell>
          <cell r="AA83">
            <v>0.55000000000000004</v>
          </cell>
          <cell r="AB83">
            <v>23957</v>
          </cell>
          <cell r="AC83">
            <v>0.55000000000000004</v>
          </cell>
          <cell r="AD83">
            <v>8884</v>
          </cell>
          <cell r="AE83">
            <v>1289500</v>
          </cell>
          <cell r="AF83">
            <v>0.37080000000000002</v>
          </cell>
          <cell r="AG83">
            <v>613</v>
          </cell>
          <cell r="AH83">
            <v>3783000</v>
          </cell>
          <cell r="AI83">
            <v>5667</v>
          </cell>
          <cell r="AJ83">
            <v>600</v>
          </cell>
          <cell r="AK83" t="str">
            <v>W 102ND ST</v>
          </cell>
          <cell r="AL83" t="str">
            <v>W 103RD ST</v>
          </cell>
          <cell r="AM83" t="str">
            <v>AMSTERDAM AVE</v>
          </cell>
          <cell r="AO83" t="str">
            <v>MANHATTAN</v>
          </cell>
          <cell r="AP83">
            <v>7</v>
          </cell>
          <cell r="AQ83">
            <v>10</v>
          </cell>
          <cell r="AR83">
            <v>30</v>
          </cell>
          <cell r="AS83">
            <v>69</v>
          </cell>
          <cell r="AT83">
            <v>7</v>
          </cell>
          <cell r="AU83">
            <v>23923</v>
          </cell>
          <cell r="AV83" t="str">
            <v>1979/08/01-ATP 4</v>
          </cell>
        </row>
        <row r="84">
          <cell r="B84" t="str">
            <v>DOUGLASS I</v>
          </cell>
          <cell r="C84" t="str">
            <v>NY005010820</v>
          </cell>
          <cell r="D84">
            <v>82</v>
          </cell>
          <cell r="E84">
            <v>82</v>
          </cell>
          <cell r="F84">
            <v>569</v>
          </cell>
          <cell r="G84">
            <v>569</v>
          </cell>
          <cell r="H84" t="str">
            <v>NY005244B</v>
          </cell>
          <cell r="I84" t="str">
            <v>FEDERAL</v>
          </cell>
          <cell r="J84" t="str">
            <v>CONVENTIONAL</v>
          </cell>
          <cell r="K84" t="str">
            <v>NEW CONST</v>
          </cell>
          <cell r="M84">
            <v>1302</v>
          </cell>
          <cell r="N84">
            <v>1305</v>
          </cell>
          <cell r="O84">
            <v>5806</v>
          </cell>
          <cell r="P84">
            <v>4.46</v>
          </cell>
          <cell r="R84">
            <v>2651</v>
          </cell>
          <cell r="S84">
            <v>2651</v>
          </cell>
          <cell r="T84">
            <v>543</v>
          </cell>
          <cell r="U84">
            <v>0.42</v>
          </cell>
          <cell r="V84">
            <v>11</v>
          </cell>
          <cell r="W84">
            <v>0</v>
          </cell>
          <cell r="X84">
            <v>11</v>
          </cell>
          <cell r="Y84" t="str">
            <v>5-9-12-17-20</v>
          </cell>
          <cell r="Z84">
            <v>533018</v>
          </cell>
          <cell r="AA84">
            <v>12.24</v>
          </cell>
          <cell r="AB84">
            <v>533018</v>
          </cell>
          <cell r="AC84">
            <v>12.24</v>
          </cell>
          <cell r="AD84">
            <v>94508</v>
          </cell>
          <cell r="AE84">
            <v>10999163</v>
          </cell>
          <cell r="AF84">
            <v>0.17730000000000001</v>
          </cell>
          <cell r="AG84">
            <v>217</v>
          </cell>
          <cell r="AH84">
            <v>22701754</v>
          </cell>
          <cell r="AI84">
            <v>3933</v>
          </cell>
          <cell r="AJ84">
            <v>549</v>
          </cell>
          <cell r="AK84" t="str">
            <v>W 104TH ST</v>
          </cell>
          <cell r="AL84" t="str">
            <v>MANHATTAN AVE</v>
          </cell>
          <cell r="AM84" t="str">
            <v>W 100TH ST</v>
          </cell>
          <cell r="AN84" t="str">
            <v>COLUMBUS AVE</v>
          </cell>
          <cell r="AO84" t="str">
            <v>MANHATTAN</v>
          </cell>
          <cell r="AP84">
            <v>7</v>
          </cell>
          <cell r="AQ84">
            <v>13</v>
          </cell>
          <cell r="AR84">
            <v>30</v>
          </cell>
          <cell r="AS84">
            <v>69</v>
          </cell>
          <cell r="AT84">
            <v>7</v>
          </cell>
          <cell r="AU84">
            <v>21453</v>
          </cell>
          <cell r="AV84" t="str">
            <v>1979/08/01-ATP 4</v>
          </cell>
        </row>
        <row r="85">
          <cell r="B85" t="str">
            <v>DOUGLASS II</v>
          </cell>
          <cell r="C85" t="str">
            <v>NY005010820</v>
          </cell>
          <cell r="D85">
            <v>582</v>
          </cell>
          <cell r="E85">
            <v>82</v>
          </cell>
          <cell r="F85">
            <v>569</v>
          </cell>
          <cell r="G85">
            <v>569</v>
          </cell>
          <cell r="H85" t="str">
            <v>NY005244B</v>
          </cell>
          <cell r="I85" t="str">
            <v>FEDERAL</v>
          </cell>
          <cell r="J85" t="str">
            <v>CONVENTIONAL</v>
          </cell>
          <cell r="K85" t="str">
            <v>NEW CONST</v>
          </cell>
          <cell r="M85">
            <v>752</v>
          </cell>
          <cell r="N85">
            <v>753</v>
          </cell>
          <cell r="O85">
            <v>3463</v>
          </cell>
          <cell r="P85">
            <v>4.6100000000000003</v>
          </cell>
          <cell r="R85">
            <v>1589</v>
          </cell>
          <cell r="S85">
            <v>1589</v>
          </cell>
          <cell r="T85">
            <v>307</v>
          </cell>
          <cell r="U85">
            <v>0.41</v>
          </cell>
          <cell r="V85">
            <v>6</v>
          </cell>
          <cell r="W85">
            <v>0</v>
          </cell>
          <cell r="X85">
            <v>6</v>
          </cell>
          <cell r="Y85" t="str">
            <v>9-12-17-18-20</v>
          </cell>
          <cell r="Z85">
            <v>414973</v>
          </cell>
          <cell r="AA85">
            <v>9.5299999999999994</v>
          </cell>
          <cell r="AB85">
            <v>330232</v>
          </cell>
          <cell r="AC85">
            <v>7.58</v>
          </cell>
          <cell r="AD85">
            <v>44044</v>
          </cell>
          <cell r="AE85">
            <v>6568578</v>
          </cell>
          <cell r="AF85">
            <v>0.1061</v>
          </cell>
          <cell r="AG85">
            <v>167</v>
          </cell>
          <cell r="AH85">
            <v>14739246</v>
          </cell>
          <cell r="AI85">
            <v>4277</v>
          </cell>
          <cell r="AJ85">
            <v>589</v>
          </cell>
          <cell r="AK85" t="str">
            <v>W 104TH ST</v>
          </cell>
          <cell r="AL85" t="str">
            <v>COLUMBUS AVE</v>
          </cell>
          <cell r="AM85" t="str">
            <v>W 100TH ST</v>
          </cell>
          <cell r="AN85" t="str">
            <v>AMSTERDAM AVE</v>
          </cell>
          <cell r="AO85" t="str">
            <v>MANHATTAN</v>
          </cell>
          <cell r="AP85">
            <v>7</v>
          </cell>
          <cell r="AQ85">
            <v>13</v>
          </cell>
          <cell r="AR85">
            <v>30</v>
          </cell>
          <cell r="AS85">
            <v>69</v>
          </cell>
          <cell r="AT85">
            <v>7</v>
          </cell>
          <cell r="AU85">
            <v>21453</v>
          </cell>
          <cell r="AV85" t="str">
            <v>1979/08/01-ATP 4</v>
          </cell>
        </row>
        <row r="86">
          <cell r="B86" t="str">
            <v>DREW-HAMILTON</v>
          </cell>
          <cell r="C86" t="str">
            <v>NY005021110</v>
          </cell>
          <cell r="D86">
            <v>111</v>
          </cell>
          <cell r="E86">
            <v>111</v>
          </cell>
          <cell r="F86">
            <v>434</v>
          </cell>
          <cell r="G86">
            <v>434</v>
          </cell>
          <cell r="H86" t="str">
            <v>NY005373</v>
          </cell>
          <cell r="I86" t="str">
            <v>MIXED FINANCE/LLC1</v>
          </cell>
          <cell r="J86" t="str">
            <v>CONVENTIONAL</v>
          </cell>
          <cell r="K86" t="str">
            <v>NEW CONST</v>
          </cell>
          <cell r="L86">
            <v>278</v>
          </cell>
          <cell r="M86">
            <v>1211</v>
          </cell>
          <cell r="N86">
            <v>1217</v>
          </cell>
          <cell r="O86">
            <v>5344.5</v>
          </cell>
          <cell r="P86">
            <v>4.41</v>
          </cell>
          <cell r="Q86">
            <v>631</v>
          </cell>
          <cell r="R86">
            <v>2169</v>
          </cell>
          <cell r="S86">
            <v>2800</v>
          </cell>
          <cell r="T86">
            <v>474</v>
          </cell>
          <cell r="U86">
            <v>0.4</v>
          </cell>
          <cell r="V86">
            <v>5</v>
          </cell>
          <cell r="W86">
            <v>0</v>
          </cell>
          <cell r="X86">
            <v>5</v>
          </cell>
          <cell r="Y86">
            <v>21</v>
          </cell>
          <cell r="Z86">
            <v>312188</v>
          </cell>
          <cell r="AA86">
            <v>7.17</v>
          </cell>
          <cell r="AB86">
            <v>292159</v>
          </cell>
          <cell r="AC86">
            <v>6.71</v>
          </cell>
          <cell r="AD86">
            <v>74433</v>
          </cell>
          <cell r="AE86">
            <v>9889060</v>
          </cell>
          <cell r="AF86">
            <v>0.2384</v>
          </cell>
          <cell r="AG86">
            <v>391</v>
          </cell>
          <cell r="AH86">
            <v>25146000</v>
          </cell>
          <cell r="AI86">
            <v>4687</v>
          </cell>
          <cell r="AJ86">
            <v>482</v>
          </cell>
          <cell r="AK86" t="str">
            <v>W 141ST ST</v>
          </cell>
          <cell r="AL86" t="str">
            <v>W 144TH ST</v>
          </cell>
          <cell r="AM86" t="str">
            <v>POWELL BLVD</v>
          </cell>
          <cell r="AN86" t="str">
            <v>DOUGLASS BLVD</v>
          </cell>
          <cell r="AO86" t="str">
            <v>MANHATTAN</v>
          </cell>
          <cell r="AP86">
            <v>10</v>
          </cell>
          <cell r="AQ86">
            <v>13</v>
          </cell>
          <cell r="AR86">
            <v>30</v>
          </cell>
          <cell r="AS86">
            <v>70</v>
          </cell>
          <cell r="AT86">
            <v>9</v>
          </cell>
          <cell r="AU86">
            <v>24015</v>
          </cell>
        </row>
        <row r="87">
          <cell r="B87" t="str">
            <v>DYCKMAN</v>
          </cell>
          <cell r="C87" t="str">
            <v>NY005000410</v>
          </cell>
          <cell r="D87">
            <v>41</v>
          </cell>
          <cell r="E87">
            <v>41</v>
          </cell>
          <cell r="F87">
            <v>373</v>
          </cell>
          <cell r="G87">
            <v>373</v>
          </cell>
          <cell r="H87" t="str">
            <v>NY005183A</v>
          </cell>
          <cell r="I87" t="str">
            <v>FEDERAL</v>
          </cell>
          <cell r="J87" t="str">
            <v>CONVENTIONAL</v>
          </cell>
          <cell r="K87" t="str">
            <v>NEW CONST</v>
          </cell>
          <cell r="M87">
            <v>1167</v>
          </cell>
          <cell r="N87">
            <v>1167</v>
          </cell>
          <cell r="O87">
            <v>5054.5</v>
          </cell>
          <cell r="P87">
            <v>4.33</v>
          </cell>
          <cell r="R87">
            <v>2270</v>
          </cell>
          <cell r="S87">
            <v>2270</v>
          </cell>
          <cell r="T87">
            <v>532</v>
          </cell>
          <cell r="U87">
            <v>0.45900000000000002</v>
          </cell>
          <cell r="V87">
            <v>7</v>
          </cell>
          <cell r="W87">
            <v>1</v>
          </cell>
          <cell r="X87">
            <v>8</v>
          </cell>
          <cell r="Y87">
            <v>14</v>
          </cell>
          <cell r="Z87">
            <v>613884</v>
          </cell>
          <cell r="AA87">
            <v>14.09</v>
          </cell>
          <cell r="AB87">
            <v>570318</v>
          </cell>
          <cell r="AC87">
            <v>13.09</v>
          </cell>
          <cell r="AD87">
            <v>80457</v>
          </cell>
          <cell r="AE87">
            <v>9780114</v>
          </cell>
          <cell r="AF87">
            <v>0.13109999999999999</v>
          </cell>
          <cell r="AG87">
            <v>161</v>
          </cell>
          <cell r="AH87">
            <v>14202915</v>
          </cell>
          <cell r="AI87">
            <v>2812</v>
          </cell>
          <cell r="AJ87">
            <v>543</v>
          </cell>
          <cell r="AK87" t="str">
            <v>DYCKMAN ST</v>
          </cell>
          <cell r="AL87" t="str">
            <v>NAGLE AVE</v>
          </cell>
          <cell r="AM87" t="str">
            <v>W 204TH ST</v>
          </cell>
          <cell r="AN87" t="str">
            <v>TENTH AVE</v>
          </cell>
          <cell r="AO87" t="str">
            <v>MANHATTAN</v>
          </cell>
          <cell r="AP87">
            <v>12</v>
          </cell>
          <cell r="AQ87">
            <v>13</v>
          </cell>
          <cell r="AR87">
            <v>31</v>
          </cell>
          <cell r="AS87">
            <v>72</v>
          </cell>
          <cell r="AT87">
            <v>10</v>
          </cell>
          <cell r="AU87">
            <v>18743</v>
          </cell>
          <cell r="AV87" t="str">
            <v>1972/06/29-FED TRAN</v>
          </cell>
        </row>
        <row r="88">
          <cell r="B88" t="str">
            <v>EAGLE AVENUE-EAST 163RD STREET</v>
          </cell>
          <cell r="C88" t="str">
            <v>NY005000590</v>
          </cell>
          <cell r="D88">
            <v>224</v>
          </cell>
          <cell r="E88">
            <v>59</v>
          </cell>
          <cell r="F88">
            <v>343</v>
          </cell>
          <cell r="G88">
            <v>236</v>
          </cell>
          <cell r="H88" t="str">
            <v>NY005165</v>
          </cell>
          <cell r="I88" t="str">
            <v>FEDERAL</v>
          </cell>
          <cell r="J88" t="str">
            <v>TURNKEY</v>
          </cell>
          <cell r="K88" t="str">
            <v>NEW CONST</v>
          </cell>
          <cell r="M88">
            <v>65</v>
          </cell>
          <cell r="N88">
            <v>66</v>
          </cell>
          <cell r="O88">
            <v>273.5</v>
          </cell>
          <cell r="P88">
            <v>4.21</v>
          </cell>
          <cell r="R88">
            <v>125</v>
          </cell>
          <cell r="S88">
            <v>125</v>
          </cell>
          <cell r="T88">
            <v>23</v>
          </cell>
          <cell r="U88">
            <v>0.35399999999999998</v>
          </cell>
          <cell r="V88">
            <v>1</v>
          </cell>
          <cell r="W88">
            <v>0</v>
          </cell>
          <cell r="X88">
            <v>1</v>
          </cell>
          <cell r="Y88">
            <v>6</v>
          </cell>
          <cell r="Z88">
            <v>28125</v>
          </cell>
          <cell r="AA88">
            <v>0.65</v>
          </cell>
          <cell r="AB88">
            <v>28125</v>
          </cell>
          <cell r="AC88">
            <v>0.65</v>
          </cell>
          <cell r="AD88">
            <v>9828</v>
          </cell>
          <cell r="AE88">
            <v>598000</v>
          </cell>
          <cell r="AF88">
            <v>0.34939999999999999</v>
          </cell>
          <cell r="AG88">
            <v>192</v>
          </cell>
          <cell r="AH88">
            <v>1710901</v>
          </cell>
          <cell r="AI88">
            <v>6078</v>
          </cell>
          <cell r="AJ88">
            <v>472</v>
          </cell>
          <cell r="AK88" t="str">
            <v>EAGLE AVE</v>
          </cell>
          <cell r="AL88" t="str">
            <v>E 163RD ST</v>
          </cell>
          <cell r="AM88" t="str">
            <v>THIRD AVE</v>
          </cell>
          <cell r="AN88" t="str">
            <v>E 161ST ST</v>
          </cell>
          <cell r="AO88" t="str">
            <v>BRONX</v>
          </cell>
          <cell r="AP88">
            <v>3</v>
          </cell>
          <cell r="AQ88">
            <v>15</v>
          </cell>
          <cell r="AR88">
            <v>32</v>
          </cell>
          <cell r="AS88">
            <v>79</v>
          </cell>
          <cell r="AT88">
            <v>17</v>
          </cell>
          <cell r="AU88">
            <v>26084</v>
          </cell>
        </row>
        <row r="89">
          <cell r="B89" t="str">
            <v>EAST 152ND STREET-COURTLANDT AVENUE</v>
          </cell>
          <cell r="C89" t="str">
            <v>NY005010280</v>
          </cell>
          <cell r="D89">
            <v>237</v>
          </cell>
          <cell r="E89">
            <v>28</v>
          </cell>
          <cell r="F89">
            <v>360</v>
          </cell>
          <cell r="G89">
            <v>360</v>
          </cell>
          <cell r="H89" t="str">
            <v>NY005154</v>
          </cell>
          <cell r="I89" t="str">
            <v>FEDERAL</v>
          </cell>
          <cell r="J89" t="str">
            <v>TURNKEY</v>
          </cell>
          <cell r="K89" t="str">
            <v>NEW CONST</v>
          </cell>
          <cell r="M89">
            <v>221</v>
          </cell>
          <cell r="N89">
            <v>221</v>
          </cell>
          <cell r="O89">
            <v>913.5</v>
          </cell>
          <cell r="P89">
            <v>4.13</v>
          </cell>
          <cell r="R89">
            <v>382</v>
          </cell>
          <cell r="S89">
            <v>382</v>
          </cell>
          <cell r="T89">
            <v>144</v>
          </cell>
          <cell r="U89">
            <v>0.65200000000000002</v>
          </cell>
          <cell r="V89">
            <v>2</v>
          </cell>
          <cell r="W89">
            <v>0</v>
          </cell>
          <cell r="X89">
            <v>2</v>
          </cell>
          <cell r="Y89">
            <v>43783</v>
          </cell>
          <cell r="Z89">
            <v>63175</v>
          </cell>
          <cell r="AA89">
            <v>1.45</v>
          </cell>
          <cell r="AB89">
            <v>63175</v>
          </cell>
          <cell r="AC89">
            <v>1.45</v>
          </cell>
          <cell r="AD89">
            <v>21301</v>
          </cell>
          <cell r="AE89">
            <v>1801668</v>
          </cell>
          <cell r="AF89">
            <v>0.3372</v>
          </cell>
          <cell r="AG89">
            <v>263</v>
          </cell>
          <cell r="AH89">
            <v>7717944</v>
          </cell>
          <cell r="AI89">
            <v>8330</v>
          </cell>
          <cell r="AJ89">
            <v>423</v>
          </cell>
          <cell r="AK89" t="str">
            <v>E 151ST ST</v>
          </cell>
          <cell r="AL89" t="str">
            <v>E 153RD ST</v>
          </cell>
          <cell r="AM89" t="str">
            <v>COURTLANDT AVE</v>
          </cell>
          <cell r="AN89" t="str">
            <v>MELROSE AVE</v>
          </cell>
          <cell r="AO89" t="str">
            <v>BRONX</v>
          </cell>
          <cell r="AP89">
            <v>1</v>
          </cell>
          <cell r="AQ89">
            <v>15</v>
          </cell>
          <cell r="AR89">
            <v>32</v>
          </cell>
          <cell r="AS89">
            <v>84</v>
          </cell>
          <cell r="AT89">
            <v>17</v>
          </cell>
          <cell r="AU89">
            <v>26907</v>
          </cell>
          <cell r="AW89" t="str">
            <v>PARTIALLY</v>
          </cell>
        </row>
        <row r="90">
          <cell r="B90" t="str">
            <v>EAST 165TH STREET-BRYANT AVENUE</v>
          </cell>
          <cell r="C90" t="str">
            <v>NY005015300</v>
          </cell>
          <cell r="D90">
            <v>304</v>
          </cell>
          <cell r="E90">
            <v>530</v>
          </cell>
          <cell r="F90">
            <v>552</v>
          </cell>
          <cell r="G90">
            <v>748</v>
          </cell>
          <cell r="H90" t="str">
            <v>NY005226</v>
          </cell>
          <cell r="I90" t="str">
            <v>FEDERAL</v>
          </cell>
          <cell r="J90" t="str">
            <v>TURNKEY</v>
          </cell>
          <cell r="K90" t="str">
            <v>NEW CONST</v>
          </cell>
          <cell r="M90">
            <v>111</v>
          </cell>
          <cell r="N90">
            <v>111</v>
          </cell>
          <cell r="O90">
            <v>588.5</v>
          </cell>
          <cell r="P90">
            <v>5.3</v>
          </cell>
          <cell r="R90">
            <v>362</v>
          </cell>
          <cell r="S90">
            <v>362</v>
          </cell>
          <cell r="T90">
            <v>21</v>
          </cell>
          <cell r="U90">
            <v>0.191</v>
          </cell>
          <cell r="V90">
            <v>5</v>
          </cell>
          <cell r="W90">
            <v>0</v>
          </cell>
          <cell r="X90">
            <v>19</v>
          </cell>
          <cell r="Y90">
            <v>3</v>
          </cell>
          <cell r="Z90">
            <v>137566</v>
          </cell>
          <cell r="AA90">
            <v>3.16</v>
          </cell>
          <cell r="AB90">
            <v>137566</v>
          </cell>
          <cell r="AC90">
            <v>3.16</v>
          </cell>
          <cell r="AD90">
            <v>41134</v>
          </cell>
          <cell r="AE90">
            <v>1286795</v>
          </cell>
          <cell r="AF90">
            <v>0.29899999999999999</v>
          </cell>
          <cell r="AG90">
            <v>115</v>
          </cell>
          <cell r="AH90">
            <v>8178643</v>
          </cell>
          <cell r="AI90">
            <v>13874</v>
          </cell>
          <cell r="AJ90">
            <v>729</v>
          </cell>
          <cell r="AK90" t="str">
            <v>WESTCHESTER AVE</v>
          </cell>
          <cell r="AL90" t="str">
            <v>LONGFELLOW AVE</v>
          </cell>
          <cell r="AM90" t="str">
            <v>ALDUS ST</v>
          </cell>
          <cell r="AN90" t="str">
            <v>HOE AVE</v>
          </cell>
          <cell r="AO90" t="str">
            <v>BRONX</v>
          </cell>
          <cell r="AP90">
            <v>2</v>
          </cell>
          <cell r="AQ90">
            <v>15</v>
          </cell>
          <cell r="AR90">
            <v>32</v>
          </cell>
          <cell r="AS90">
            <v>85</v>
          </cell>
          <cell r="AT90">
            <v>17</v>
          </cell>
          <cell r="AU90">
            <v>32081</v>
          </cell>
          <cell r="AX90" t="str">
            <v>YES</v>
          </cell>
          <cell r="AY90" t="str">
            <v>YES</v>
          </cell>
        </row>
        <row r="91">
          <cell r="B91" t="str">
            <v>EAST 173RD STREET-VYSE AVENUE</v>
          </cell>
          <cell r="C91" t="str">
            <v>NY005015300</v>
          </cell>
          <cell r="D91">
            <v>338</v>
          </cell>
          <cell r="E91">
            <v>530</v>
          </cell>
          <cell r="F91">
            <v>778</v>
          </cell>
          <cell r="G91">
            <v>748</v>
          </cell>
          <cell r="H91" t="str">
            <v>NY005252</v>
          </cell>
          <cell r="I91" t="str">
            <v>FEDERAL</v>
          </cell>
          <cell r="J91" t="str">
            <v>TURNKEY</v>
          </cell>
          <cell r="K91" t="str">
            <v>NEW CONST</v>
          </cell>
          <cell r="M91">
            <v>168</v>
          </cell>
          <cell r="N91">
            <v>168</v>
          </cell>
          <cell r="O91">
            <v>758</v>
          </cell>
          <cell r="P91">
            <v>4.51</v>
          </cell>
          <cell r="R91">
            <v>403</v>
          </cell>
          <cell r="S91">
            <v>403</v>
          </cell>
          <cell r="T91">
            <v>52</v>
          </cell>
          <cell r="U91">
            <v>0.313</v>
          </cell>
          <cell r="V91">
            <v>7</v>
          </cell>
          <cell r="W91">
            <v>0</v>
          </cell>
          <cell r="X91">
            <v>28</v>
          </cell>
          <cell r="Y91">
            <v>3</v>
          </cell>
          <cell r="Z91">
            <v>196060</v>
          </cell>
          <cell r="AA91">
            <v>4.5</v>
          </cell>
          <cell r="AB91">
            <v>196060</v>
          </cell>
          <cell r="AC91">
            <v>4.5</v>
          </cell>
          <cell r="AD91">
            <v>59524</v>
          </cell>
          <cell r="AE91">
            <v>1547624</v>
          </cell>
          <cell r="AF91">
            <v>0.28460000000000002</v>
          </cell>
          <cell r="AG91">
            <v>90</v>
          </cell>
          <cell r="AH91">
            <v>12629936</v>
          </cell>
          <cell r="AI91">
            <v>16684</v>
          </cell>
          <cell r="AJ91">
            <v>562</v>
          </cell>
          <cell r="AK91" t="str">
            <v>SOUTHERN BLVD</v>
          </cell>
          <cell r="AL91" t="str">
            <v>E 173RD ST</v>
          </cell>
          <cell r="AM91" t="str">
            <v>VYSE AVE</v>
          </cell>
          <cell r="AN91" t="str">
            <v>JENNINGS ST</v>
          </cell>
          <cell r="AO91" t="str">
            <v>BRONX</v>
          </cell>
          <cell r="AP91">
            <v>3</v>
          </cell>
          <cell r="AQ91">
            <v>15</v>
          </cell>
          <cell r="AR91">
            <v>32</v>
          </cell>
          <cell r="AS91">
            <v>79</v>
          </cell>
          <cell r="AT91">
            <v>17</v>
          </cell>
          <cell r="AU91">
            <v>32081</v>
          </cell>
          <cell r="AX91" t="str">
            <v>YES</v>
          </cell>
          <cell r="AY91" t="str">
            <v>YES</v>
          </cell>
        </row>
        <row r="92">
          <cell r="B92" t="str">
            <v>EAST 180TH STREET-MONTEREY AVENUE</v>
          </cell>
          <cell r="C92" t="str">
            <v>NY005012270</v>
          </cell>
          <cell r="D92">
            <v>208</v>
          </cell>
          <cell r="E92">
            <v>180</v>
          </cell>
          <cell r="F92">
            <v>323</v>
          </cell>
          <cell r="G92">
            <v>363</v>
          </cell>
          <cell r="H92" t="str">
            <v>NY005124</v>
          </cell>
          <cell r="I92" t="str">
            <v>FEDERAL</v>
          </cell>
          <cell r="J92" t="str">
            <v>CONVENTIONAL</v>
          </cell>
          <cell r="K92" t="str">
            <v>NEW CONST</v>
          </cell>
          <cell r="M92">
            <v>239</v>
          </cell>
          <cell r="N92">
            <v>239</v>
          </cell>
          <cell r="O92">
            <v>1052.5</v>
          </cell>
          <cell r="P92">
            <v>4.4000000000000004</v>
          </cell>
          <cell r="R92">
            <v>531</v>
          </cell>
          <cell r="S92">
            <v>531</v>
          </cell>
          <cell r="T92">
            <v>88</v>
          </cell>
          <cell r="U92">
            <v>0.373</v>
          </cell>
          <cell r="V92">
            <v>1</v>
          </cell>
          <cell r="W92">
            <v>1</v>
          </cell>
          <cell r="X92">
            <v>3</v>
          </cell>
          <cell r="Y92">
            <v>10</v>
          </cell>
          <cell r="Z92">
            <v>78743</v>
          </cell>
          <cell r="AA92">
            <v>1.81</v>
          </cell>
          <cell r="AB92">
            <v>78743</v>
          </cell>
          <cell r="AC92">
            <v>1.81</v>
          </cell>
          <cell r="AD92">
            <v>30800</v>
          </cell>
          <cell r="AE92">
            <v>2072776</v>
          </cell>
          <cell r="AF92">
            <v>0.3911</v>
          </cell>
          <cell r="AG92">
            <v>293</v>
          </cell>
          <cell r="AH92">
            <v>8727000</v>
          </cell>
          <cell r="AI92">
            <v>8221</v>
          </cell>
          <cell r="AJ92">
            <v>531</v>
          </cell>
          <cell r="AK92" t="str">
            <v>E 180TH ST</v>
          </cell>
          <cell r="AL92" t="str">
            <v>E 181ST ST</v>
          </cell>
          <cell r="AM92" t="str">
            <v>LAFONTAINE AVE</v>
          </cell>
          <cell r="AN92" t="str">
            <v>QUARRY RD</v>
          </cell>
          <cell r="AO92" t="str">
            <v>BRONX</v>
          </cell>
          <cell r="AP92">
            <v>6</v>
          </cell>
          <cell r="AQ92">
            <v>15</v>
          </cell>
          <cell r="AR92">
            <v>33</v>
          </cell>
          <cell r="AS92">
            <v>86</v>
          </cell>
          <cell r="AT92">
            <v>15</v>
          </cell>
          <cell r="AU92">
            <v>26937</v>
          </cell>
        </row>
        <row r="93">
          <cell r="B93" t="str">
            <v>EAST NEW YORK CITY LINE</v>
          </cell>
          <cell r="C93" t="str">
            <v>NY005010700</v>
          </cell>
          <cell r="D93">
            <v>263</v>
          </cell>
          <cell r="E93">
            <v>70</v>
          </cell>
          <cell r="F93">
            <v>378</v>
          </cell>
          <cell r="G93">
            <v>378</v>
          </cell>
          <cell r="H93" t="str">
            <v>NY005171</v>
          </cell>
          <cell r="I93" t="str">
            <v>FEDERAL</v>
          </cell>
          <cell r="J93" t="str">
            <v>TURNKEY</v>
          </cell>
          <cell r="K93" t="str">
            <v>NEW CONST</v>
          </cell>
          <cell r="M93">
            <v>66</v>
          </cell>
          <cell r="N93">
            <v>66</v>
          </cell>
          <cell r="O93">
            <v>409</v>
          </cell>
          <cell r="P93">
            <v>6.2</v>
          </cell>
          <cell r="R93">
            <v>258</v>
          </cell>
          <cell r="S93">
            <v>258</v>
          </cell>
          <cell r="T93">
            <v>19</v>
          </cell>
          <cell r="U93">
            <v>0.29199999999999998</v>
          </cell>
          <cell r="V93">
            <v>33</v>
          </cell>
          <cell r="W93">
            <v>0</v>
          </cell>
          <cell r="X93">
            <v>33</v>
          </cell>
          <cell r="Y93">
            <v>3</v>
          </cell>
          <cell r="Z93">
            <v>84400</v>
          </cell>
          <cell r="AA93">
            <v>1.94</v>
          </cell>
          <cell r="AB93">
            <v>84400</v>
          </cell>
          <cell r="AC93">
            <v>1.94</v>
          </cell>
          <cell r="AD93">
            <v>26943</v>
          </cell>
          <cell r="AE93">
            <v>719300</v>
          </cell>
          <cell r="AF93">
            <v>0.31919999999999998</v>
          </cell>
          <cell r="AG93">
            <v>133</v>
          </cell>
          <cell r="AH93">
            <v>2774644</v>
          </cell>
          <cell r="AI93">
            <v>6784</v>
          </cell>
          <cell r="AJ93">
            <v>633</v>
          </cell>
          <cell r="AK93" t="str">
            <v>FOUNTAIN AVE</v>
          </cell>
          <cell r="AL93" t="str">
            <v>HEGEMAN AVE</v>
          </cell>
          <cell r="AM93" t="str">
            <v>LOGAN ST</v>
          </cell>
          <cell r="AO93" t="str">
            <v>BROOKLYN</v>
          </cell>
          <cell r="AP93">
            <v>5</v>
          </cell>
          <cell r="AQ93">
            <v>8</v>
          </cell>
          <cell r="AR93">
            <v>19</v>
          </cell>
          <cell r="AS93">
            <v>60</v>
          </cell>
          <cell r="AT93">
            <v>42</v>
          </cell>
          <cell r="AU93">
            <v>27850</v>
          </cell>
        </row>
        <row r="94">
          <cell r="B94" t="str">
            <v>EAST RIVER</v>
          </cell>
          <cell r="C94" t="str">
            <v>NY005010090</v>
          </cell>
          <cell r="D94">
            <v>9</v>
          </cell>
          <cell r="E94">
            <v>9</v>
          </cell>
          <cell r="F94">
            <v>207</v>
          </cell>
          <cell r="G94">
            <v>207</v>
          </cell>
          <cell r="H94" t="str">
            <v>NY005005</v>
          </cell>
          <cell r="I94" t="str">
            <v>FEDERAL</v>
          </cell>
          <cell r="J94" t="str">
            <v>CONVENTIONAL</v>
          </cell>
          <cell r="K94" t="str">
            <v>NEW CONST</v>
          </cell>
          <cell r="M94">
            <v>1156</v>
          </cell>
          <cell r="N94">
            <v>1170</v>
          </cell>
          <cell r="O94">
            <v>4846</v>
          </cell>
          <cell r="P94">
            <v>4.1900000000000004</v>
          </cell>
          <cell r="R94">
            <v>2284</v>
          </cell>
          <cell r="S94">
            <v>2284</v>
          </cell>
          <cell r="T94">
            <v>470</v>
          </cell>
          <cell r="U94">
            <v>0.41699999999999998</v>
          </cell>
          <cell r="V94">
            <v>10</v>
          </cell>
          <cell r="W94">
            <v>1</v>
          </cell>
          <cell r="X94">
            <v>30</v>
          </cell>
          <cell r="Y94">
            <v>40704</v>
          </cell>
          <cell r="Z94">
            <v>512822</v>
          </cell>
          <cell r="AA94">
            <v>11.77</v>
          </cell>
          <cell r="AB94">
            <v>466607</v>
          </cell>
          <cell r="AC94">
            <v>10.71</v>
          </cell>
          <cell r="AD94">
            <v>112140</v>
          </cell>
          <cell r="AE94">
            <v>7963515</v>
          </cell>
          <cell r="AF94">
            <v>0.21870000000000001</v>
          </cell>
          <cell r="AG94">
            <v>194</v>
          </cell>
          <cell r="AH94">
            <v>5304700</v>
          </cell>
          <cell r="AI94">
            <v>1086</v>
          </cell>
          <cell r="AJ94">
            <v>466</v>
          </cell>
          <cell r="AK94" t="str">
            <v>FIRST AVE</v>
          </cell>
          <cell r="AL94" t="str">
            <v>FDR DRIVE</v>
          </cell>
          <cell r="AM94" t="str">
            <v>E 102ND ST</v>
          </cell>
          <cell r="AN94" t="str">
            <v>E 105TH ST</v>
          </cell>
          <cell r="AO94" t="str">
            <v>MANHATTAN</v>
          </cell>
          <cell r="AP94">
            <v>11</v>
          </cell>
          <cell r="AQ94">
            <v>13</v>
          </cell>
          <cell r="AR94">
            <v>30</v>
          </cell>
          <cell r="AS94">
            <v>68</v>
          </cell>
          <cell r="AT94">
            <v>8</v>
          </cell>
          <cell r="AU94">
            <v>15116</v>
          </cell>
        </row>
        <row r="95">
          <cell r="B95" t="str">
            <v>EASTCHESTER GARDENS</v>
          </cell>
          <cell r="C95" t="str">
            <v>NY005010340</v>
          </cell>
          <cell r="D95">
            <v>34</v>
          </cell>
          <cell r="E95">
            <v>34</v>
          </cell>
          <cell r="F95">
            <v>313</v>
          </cell>
          <cell r="G95">
            <v>313</v>
          </cell>
          <cell r="H95" t="str">
            <v>NY005114A</v>
          </cell>
          <cell r="I95" t="str">
            <v>FEDERAL</v>
          </cell>
          <cell r="J95" t="str">
            <v>CONVENTIONAL</v>
          </cell>
          <cell r="K95" t="str">
            <v>NEW CONST</v>
          </cell>
          <cell r="M95">
            <v>877</v>
          </cell>
          <cell r="N95">
            <v>877</v>
          </cell>
          <cell r="O95">
            <v>4249.5</v>
          </cell>
          <cell r="P95">
            <v>4.8499999999999996</v>
          </cell>
          <cell r="R95">
            <v>2051</v>
          </cell>
          <cell r="S95">
            <v>2051</v>
          </cell>
          <cell r="T95">
            <v>323</v>
          </cell>
          <cell r="U95">
            <v>0.371</v>
          </cell>
          <cell r="V95">
            <v>10</v>
          </cell>
          <cell r="W95">
            <v>0</v>
          </cell>
          <cell r="X95">
            <v>15</v>
          </cell>
          <cell r="Y95">
            <v>43654</v>
          </cell>
          <cell r="Z95">
            <v>653856</v>
          </cell>
          <cell r="AA95">
            <v>15.01</v>
          </cell>
          <cell r="AB95">
            <v>607396</v>
          </cell>
          <cell r="AC95">
            <v>13.94</v>
          </cell>
          <cell r="AD95">
            <v>115918</v>
          </cell>
          <cell r="AE95">
            <v>7891470</v>
          </cell>
          <cell r="AF95">
            <v>0.17730000000000001</v>
          </cell>
          <cell r="AG95">
            <v>137</v>
          </cell>
          <cell r="AH95">
            <v>9514000</v>
          </cell>
          <cell r="AI95">
            <v>2244</v>
          </cell>
          <cell r="AJ95">
            <v>551</v>
          </cell>
          <cell r="AK95" t="str">
            <v>BURKE AVE</v>
          </cell>
          <cell r="AL95" t="str">
            <v>BOUCK AVE</v>
          </cell>
          <cell r="AM95" t="str">
            <v>ADEE AVE</v>
          </cell>
          <cell r="AN95" t="str">
            <v>YATES AVE</v>
          </cell>
          <cell r="AO95" t="str">
            <v>BRONX</v>
          </cell>
          <cell r="AP95">
            <v>11</v>
          </cell>
          <cell r="AQ95">
            <v>16</v>
          </cell>
          <cell r="AR95">
            <v>36</v>
          </cell>
          <cell r="AS95">
            <v>83</v>
          </cell>
          <cell r="AT95">
            <v>12</v>
          </cell>
          <cell r="AU95">
            <v>18415</v>
          </cell>
          <cell r="AV95" t="str">
            <v>1968/08/29-FED TRAN</v>
          </cell>
        </row>
        <row r="96">
          <cell r="B96" t="str">
            <v>EDENWALD</v>
          </cell>
          <cell r="C96" t="str">
            <v>NY005000570</v>
          </cell>
          <cell r="D96">
            <v>57</v>
          </cell>
          <cell r="E96">
            <v>57</v>
          </cell>
          <cell r="F96">
            <v>214</v>
          </cell>
          <cell r="G96">
            <v>214</v>
          </cell>
          <cell r="H96" t="str">
            <v>NY005019</v>
          </cell>
          <cell r="I96" t="str">
            <v>FEDERAL</v>
          </cell>
          <cell r="J96" t="str">
            <v>CONVENTIONAL</v>
          </cell>
          <cell r="K96" t="str">
            <v>NEW CONST</v>
          </cell>
          <cell r="M96">
            <v>2035</v>
          </cell>
          <cell r="N96">
            <v>2039</v>
          </cell>
          <cell r="O96">
            <v>9675.5</v>
          </cell>
          <cell r="P96">
            <v>4.75</v>
          </cell>
          <cell r="R96">
            <v>4852</v>
          </cell>
          <cell r="S96">
            <v>4852</v>
          </cell>
          <cell r="T96">
            <v>596</v>
          </cell>
          <cell r="U96">
            <v>0.29699999999999999</v>
          </cell>
          <cell r="V96">
            <v>40</v>
          </cell>
          <cell r="W96">
            <v>2</v>
          </cell>
          <cell r="X96">
            <v>71</v>
          </cell>
          <cell r="Y96">
            <v>43538</v>
          </cell>
          <cell r="Z96">
            <v>2129275</v>
          </cell>
          <cell r="AA96">
            <v>48.88</v>
          </cell>
          <cell r="AB96">
            <v>2023005</v>
          </cell>
          <cell r="AC96">
            <v>46.44</v>
          </cell>
          <cell r="AD96">
            <v>344433</v>
          </cell>
          <cell r="AE96">
            <v>17847449</v>
          </cell>
          <cell r="AF96">
            <v>0.1618</v>
          </cell>
          <cell r="AG96">
            <v>99</v>
          </cell>
          <cell r="AH96">
            <v>22862156</v>
          </cell>
          <cell r="AI96">
            <v>2359</v>
          </cell>
          <cell r="AJ96">
            <v>564</v>
          </cell>
          <cell r="AK96" t="str">
            <v>GRENADA PL</v>
          </cell>
          <cell r="AL96" t="str">
            <v>BAYCHESTER AVE</v>
          </cell>
          <cell r="AM96" t="str">
            <v>E 225TH ST</v>
          </cell>
          <cell r="AN96" t="str">
            <v>LACONIA AVE</v>
          </cell>
          <cell r="AO96" t="str">
            <v>BRONX</v>
          </cell>
          <cell r="AP96">
            <v>12</v>
          </cell>
          <cell r="AQ96">
            <v>16</v>
          </cell>
          <cell r="AR96">
            <v>36</v>
          </cell>
          <cell r="AS96">
            <v>83</v>
          </cell>
          <cell r="AT96">
            <v>12</v>
          </cell>
          <cell r="AU96">
            <v>19662</v>
          </cell>
        </row>
        <row r="97">
          <cell r="B97" t="str">
            <v>ELLIOTT</v>
          </cell>
          <cell r="C97" t="str">
            <v>NY005011340</v>
          </cell>
          <cell r="D97">
            <v>15</v>
          </cell>
          <cell r="E97">
            <v>134</v>
          </cell>
          <cell r="F97">
            <v>367</v>
          </cell>
          <cell r="G97">
            <v>367</v>
          </cell>
          <cell r="H97" t="str">
            <v>NY005181C</v>
          </cell>
          <cell r="I97" t="str">
            <v>FEDERAL</v>
          </cell>
          <cell r="J97" t="str">
            <v>CONVENTIONAL</v>
          </cell>
          <cell r="K97" t="str">
            <v>NEW CONST</v>
          </cell>
          <cell r="M97">
            <v>606</v>
          </cell>
          <cell r="N97">
            <v>608</v>
          </cell>
          <cell r="O97">
            <v>2843</v>
          </cell>
          <cell r="P97">
            <v>4.6900000000000004</v>
          </cell>
          <cell r="R97">
            <v>1355</v>
          </cell>
          <cell r="S97">
            <v>1355</v>
          </cell>
          <cell r="T97">
            <v>223</v>
          </cell>
          <cell r="U97">
            <v>0.38300000000000001</v>
          </cell>
          <cell r="V97">
            <v>4</v>
          </cell>
          <cell r="W97">
            <v>0</v>
          </cell>
          <cell r="X97">
            <v>8</v>
          </cell>
          <cell r="Y97">
            <v>43781</v>
          </cell>
          <cell r="Z97">
            <v>204530</v>
          </cell>
          <cell r="AA97">
            <v>4.7</v>
          </cell>
          <cell r="AB97">
            <v>204530</v>
          </cell>
          <cell r="AC97">
            <v>4.7</v>
          </cell>
          <cell r="AD97">
            <v>45023</v>
          </cell>
          <cell r="AE97">
            <v>4301454</v>
          </cell>
          <cell r="AF97">
            <v>0.22009999999999999</v>
          </cell>
          <cell r="AG97">
            <v>288</v>
          </cell>
          <cell r="AH97">
            <v>5042342</v>
          </cell>
          <cell r="AI97">
            <v>1808</v>
          </cell>
          <cell r="AJ97">
            <v>577</v>
          </cell>
          <cell r="AK97" t="str">
            <v>W 25TH ST</v>
          </cell>
          <cell r="AL97" t="str">
            <v>CHELSEA PARK</v>
          </cell>
          <cell r="AM97" t="str">
            <v>NINTH AVE</v>
          </cell>
          <cell r="AN97" t="str">
            <v>TENTH AVE</v>
          </cell>
          <cell r="AO97" t="str">
            <v>MANHATTAN</v>
          </cell>
          <cell r="AP97">
            <v>4</v>
          </cell>
          <cell r="AQ97">
            <v>10</v>
          </cell>
          <cell r="AR97" t="str">
            <v>27, 31</v>
          </cell>
          <cell r="AS97">
            <v>75</v>
          </cell>
          <cell r="AT97">
            <v>3</v>
          </cell>
          <cell r="AU97">
            <v>17363</v>
          </cell>
          <cell r="AV97" t="str">
            <v>1972/06/29-FED TRAN</v>
          </cell>
        </row>
        <row r="98">
          <cell r="B98" t="str">
            <v>FARRAGUT</v>
          </cell>
          <cell r="C98" t="str">
            <v>NY005000290</v>
          </cell>
          <cell r="D98">
            <v>29</v>
          </cell>
          <cell r="E98">
            <v>29</v>
          </cell>
          <cell r="F98">
            <v>532</v>
          </cell>
          <cell r="G98">
            <v>532</v>
          </cell>
          <cell r="H98" t="str">
            <v>NY005220C</v>
          </cell>
          <cell r="I98" t="str">
            <v>FEDERAL</v>
          </cell>
          <cell r="J98" t="str">
            <v>CONVENTIONAL</v>
          </cell>
          <cell r="K98" t="str">
            <v>NEW CONST</v>
          </cell>
          <cell r="M98">
            <v>1389</v>
          </cell>
          <cell r="N98">
            <v>1390</v>
          </cell>
          <cell r="O98">
            <v>6512.5</v>
          </cell>
          <cell r="P98">
            <v>4.6900000000000004</v>
          </cell>
          <cell r="R98">
            <v>3185</v>
          </cell>
          <cell r="S98">
            <v>3185</v>
          </cell>
          <cell r="T98">
            <v>537</v>
          </cell>
          <cell r="U98">
            <v>0.38800000000000001</v>
          </cell>
          <cell r="V98">
            <v>10</v>
          </cell>
          <cell r="W98">
            <v>0</v>
          </cell>
          <cell r="X98">
            <v>10</v>
          </cell>
          <cell r="Y98">
            <v>14</v>
          </cell>
          <cell r="Z98">
            <v>723570</v>
          </cell>
          <cell r="AA98">
            <v>16.61</v>
          </cell>
          <cell r="AB98">
            <v>723570</v>
          </cell>
          <cell r="AC98">
            <v>16.61</v>
          </cell>
          <cell r="AD98">
            <v>100746</v>
          </cell>
          <cell r="AE98">
            <v>11639930</v>
          </cell>
          <cell r="AF98">
            <v>0.13919999999999999</v>
          </cell>
          <cell r="AG98">
            <v>192</v>
          </cell>
          <cell r="AH98">
            <v>15187000</v>
          </cell>
          <cell r="AI98">
            <v>2324</v>
          </cell>
          <cell r="AJ98">
            <v>532</v>
          </cell>
          <cell r="AK98" t="str">
            <v>YORK ST</v>
          </cell>
          <cell r="AL98" t="str">
            <v>NASSAU ST</v>
          </cell>
          <cell r="AM98" t="str">
            <v>NAVY ST</v>
          </cell>
          <cell r="AN98" t="str">
            <v>BRIDGE ST</v>
          </cell>
          <cell r="AO98" t="str">
            <v>BROOKLYN</v>
          </cell>
          <cell r="AP98">
            <v>2</v>
          </cell>
          <cell r="AQ98">
            <v>8</v>
          </cell>
          <cell r="AR98">
            <v>25</v>
          </cell>
          <cell r="AS98">
            <v>57</v>
          </cell>
          <cell r="AT98">
            <v>35</v>
          </cell>
          <cell r="AU98">
            <v>19121</v>
          </cell>
          <cell r="AV98" t="str">
            <v>1978/07/01-ATP 3</v>
          </cell>
        </row>
        <row r="99">
          <cell r="B99" t="str">
            <v>FENIMORE-LEFFERTS</v>
          </cell>
          <cell r="C99" t="str">
            <v>NY005011670</v>
          </cell>
          <cell r="D99">
            <v>205</v>
          </cell>
          <cell r="E99">
            <v>167</v>
          </cell>
          <cell r="F99">
            <v>322</v>
          </cell>
          <cell r="G99">
            <v>283</v>
          </cell>
          <cell r="H99" t="str">
            <v>NY005129</v>
          </cell>
          <cell r="I99" t="str">
            <v>FEDERAL</v>
          </cell>
          <cell r="J99" t="str">
            <v>TURNKEY</v>
          </cell>
          <cell r="K99" t="str">
            <v>NEW CONST</v>
          </cell>
          <cell r="M99">
            <v>36</v>
          </cell>
          <cell r="N99">
            <v>36</v>
          </cell>
          <cell r="O99">
            <v>180</v>
          </cell>
          <cell r="P99">
            <v>5</v>
          </cell>
          <cell r="R99">
            <v>98</v>
          </cell>
          <cell r="S99">
            <v>98</v>
          </cell>
          <cell r="T99">
            <v>12</v>
          </cell>
          <cell r="U99">
            <v>0.33300000000000002</v>
          </cell>
          <cell r="V99">
            <v>18</v>
          </cell>
          <cell r="W99">
            <v>0</v>
          </cell>
          <cell r="X99">
            <v>18</v>
          </cell>
          <cell r="Y99">
            <v>2</v>
          </cell>
          <cell r="Z99">
            <v>33705</v>
          </cell>
          <cell r="AA99">
            <v>0.77</v>
          </cell>
          <cell r="AB99">
            <v>33705</v>
          </cell>
          <cell r="AC99">
            <v>0.77</v>
          </cell>
          <cell r="AD99">
            <v>20339</v>
          </cell>
          <cell r="AE99">
            <v>564300</v>
          </cell>
          <cell r="AF99">
            <v>0.60340000000000005</v>
          </cell>
          <cell r="AG99">
            <v>127</v>
          </cell>
          <cell r="AH99">
            <v>633673</v>
          </cell>
          <cell r="AI99">
            <v>3520</v>
          </cell>
          <cell r="AJ99">
            <v>741</v>
          </cell>
          <cell r="AK99" t="str">
            <v>FENIMORE ST</v>
          </cell>
          <cell r="AL99" t="str">
            <v>TROY AVE</v>
          </cell>
          <cell r="AM99" t="str">
            <v>LEFFERTS AVE</v>
          </cell>
          <cell r="AN99" t="str">
            <v>NOSTRAND AVE</v>
          </cell>
          <cell r="AO99" t="str">
            <v>BROOKLYN</v>
          </cell>
          <cell r="AP99">
            <v>9</v>
          </cell>
          <cell r="AQ99">
            <v>9</v>
          </cell>
          <cell r="AR99">
            <v>20</v>
          </cell>
          <cell r="AS99">
            <v>43</v>
          </cell>
          <cell r="AT99" t="str">
            <v>40, 41</v>
          </cell>
          <cell r="AU99">
            <v>25476</v>
          </cell>
          <cell r="AX99" t="str">
            <v>YES</v>
          </cell>
        </row>
        <row r="100">
          <cell r="B100" t="str">
            <v>FHA REPOSSESSED HOUSES (GROUP I)</v>
          </cell>
          <cell r="C100" t="str">
            <v>NY005012090</v>
          </cell>
          <cell r="D100">
            <v>209</v>
          </cell>
          <cell r="E100">
            <v>91</v>
          </cell>
          <cell r="F100">
            <v>324</v>
          </cell>
          <cell r="G100">
            <v>324</v>
          </cell>
          <cell r="H100" t="str">
            <v>NY005140</v>
          </cell>
          <cell r="I100" t="str">
            <v>FEDERAL</v>
          </cell>
          <cell r="J100" t="str">
            <v>CONVENTIONAL</v>
          </cell>
          <cell r="K100" t="str">
            <v>REHAB</v>
          </cell>
          <cell r="M100">
            <v>21</v>
          </cell>
          <cell r="N100">
            <v>29</v>
          </cell>
          <cell r="O100">
            <v>111.5</v>
          </cell>
          <cell r="P100">
            <v>5.31</v>
          </cell>
          <cell r="S100">
            <v>35</v>
          </cell>
          <cell r="V100">
            <v>26</v>
          </cell>
          <cell r="Y100">
            <v>43467</v>
          </cell>
          <cell r="Z100">
            <v>109109</v>
          </cell>
          <cell r="AA100">
            <v>2.5</v>
          </cell>
          <cell r="AB100">
            <v>109109</v>
          </cell>
          <cell r="AC100">
            <v>2.5</v>
          </cell>
          <cell r="AG100">
            <v>14</v>
          </cell>
          <cell r="AH100">
            <v>815005</v>
          </cell>
          <cell r="AI100">
            <v>6.56</v>
          </cell>
          <cell r="AJ100">
            <v>812</v>
          </cell>
          <cell r="AK100" t="str">
            <v>26 QUEENS</v>
          </cell>
          <cell r="AU100">
            <v>25507</v>
          </cell>
        </row>
        <row r="101">
          <cell r="B101" t="str">
            <v>FHA REPOSSESSED HOUSES (GROUP II)</v>
          </cell>
          <cell r="C101" t="str">
            <v>NY005012090</v>
          </cell>
          <cell r="D101">
            <v>212</v>
          </cell>
          <cell r="E101">
            <v>91</v>
          </cell>
          <cell r="F101">
            <v>327</v>
          </cell>
          <cell r="G101">
            <v>324</v>
          </cell>
          <cell r="H101" t="str">
            <v>NY005155</v>
          </cell>
          <cell r="I101" t="str">
            <v>FEDERAL</v>
          </cell>
          <cell r="J101" t="str">
            <v>CONVENTIONAL</v>
          </cell>
          <cell r="K101" t="str">
            <v>REHAB</v>
          </cell>
          <cell r="M101">
            <v>10</v>
          </cell>
          <cell r="N101">
            <v>14</v>
          </cell>
          <cell r="O101">
            <v>54</v>
          </cell>
          <cell r="P101">
            <v>5.4</v>
          </cell>
          <cell r="S101">
            <v>25</v>
          </cell>
          <cell r="V101">
            <v>12</v>
          </cell>
          <cell r="Y101">
            <v>37623</v>
          </cell>
          <cell r="Z101">
            <v>71102</v>
          </cell>
          <cell r="AA101">
            <v>1.63</v>
          </cell>
          <cell r="AB101">
            <v>71102</v>
          </cell>
          <cell r="AC101">
            <v>1.63</v>
          </cell>
          <cell r="AG101">
            <v>15</v>
          </cell>
          <cell r="AH101">
            <v>594100</v>
          </cell>
          <cell r="AI101">
            <v>6.93</v>
          </cell>
          <cell r="AJ101">
            <v>920</v>
          </cell>
          <cell r="AK101" t="str">
            <v>11 QUEENS</v>
          </cell>
          <cell r="AL101" t="str">
            <v>1 BRONX</v>
          </cell>
          <cell r="AU101">
            <v>25841</v>
          </cell>
        </row>
        <row r="102">
          <cell r="B102" t="str">
            <v>FHA REPOSSESSED HOUSES (GROUP III)</v>
          </cell>
          <cell r="C102" t="str">
            <v>NY005012090</v>
          </cell>
          <cell r="D102">
            <v>213</v>
          </cell>
          <cell r="E102">
            <v>91</v>
          </cell>
          <cell r="F102">
            <v>340</v>
          </cell>
          <cell r="G102">
            <v>324</v>
          </cell>
          <cell r="H102" t="str">
            <v>NY005158</v>
          </cell>
          <cell r="I102" t="str">
            <v>FEDERAL</v>
          </cell>
          <cell r="J102" t="str">
            <v>CONVENTIONAL</v>
          </cell>
          <cell r="K102" t="str">
            <v>REHAB</v>
          </cell>
          <cell r="M102">
            <v>11</v>
          </cell>
          <cell r="N102">
            <v>13</v>
          </cell>
          <cell r="O102">
            <v>60.5</v>
          </cell>
          <cell r="P102">
            <v>5.5</v>
          </cell>
          <cell r="S102">
            <v>20</v>
          </cell>
          <cell r="V102">
            <v>12</v>
          </cell>
          <cell r="Y102">
            <v>43467</v>
          </cell>
          <cell r="Z102">
            <v>48377</v>
          </cell>
          <cell r="AA102">
            <v>1.1100000000000001</v>
          </cell>
          <cell r="AB102">
            <v>48377</v>
          </cell>
          <cell r="AC102">
            <v>1.1100000000000001</v>
          </cell>
          <cell r="AG102">
            <v>18</v>
          </cell>
          <cell r="AH102">
            <v>363764</v>
          </cell>
          <cell r="AI102">
            <v>7.52</v>
          </cell>
          <cell r="AJ102">
            <v>1089</v>
          </cell>
          <cell r="AK102" t="str">
            <v>11 QUEENS</v>
          </cell>
          <cell r="AL102" t="str">
            <v>1 BRONX</v>
          </cell>
          <cell r="AU102">
            <v>26053</v>
          </cell>
        </row>
        <row r="103">
          <cell r="B103" t="str">
            <v>FHA REPOSSESSED HOUSES (GROUP IV)</v>
          </cell>
          <cell r="C103" t="str">
            <v>NY005012090</v>
          </cell>
          <cell r="D103">
            <v>226</v>
          </cell>
          <cell r="E103">
            <v>91</v>
          </cell>
          <cell r="F103">
            <v>345</v>
          </cell>
          <cell r="G103">
            <v>324</v>
          </cell>
          <cell r="H103" t="str">
            <v>NY005159</v>
          </cell>
          <cell r="I103" t="str">
            <v>FEDERAL</v>
          </cell>
          <cell r="J103" t="str">
            <v>CONVENTIONAL</v>
          </cell>
          <cell r="K103" t="str">
            <v>REHAB</v>
          </cell>
          <cell r="M103">
            <v>10</v>
          </cell>
          <cell r="N103">
            <v>13</v>
          </cell>
          <cell r="O103">
            <v>59</v>
          </cell>
          <cell r="P103">
            <v>5.9</v>
          </cell>
          <cell r="S103">
            <v>20</v>
          </cell>
          <cell r="V103">
            <v>13</v>
          </cell>
          <cell r="Y103">
            <v>37623</v>
          </cell>
          <cell r="Z103">
            <v>59855</v>
          </cell>
          <cell r="AA103">
            <v>1.37</v>
          </cell>
          <cell r="AB103">
            <v>59855</v>
          </cell>
          <cell r="AC103">
            <v>1.37</v>
          </cell>
          <cell r="AG103">
            <v>15</v>
          </cell>
          <cell r="AH103">
            <v>500168</v>
          </cell>
          <cell r="AI103">
            <v>7.38</v>
          </cell>
          <cell r="AJ103">
            <v>943</v>
          </cell>
          <cell r="AK103" t="str">
            <v>12 QUEENS</v>
          </cell>
          <cell r="AL103" t="str">
            <v>1 BRONX</v>
          </cell>
          <cell r="AU103">
            <v>26114</v>
          </cell>
        </row>
        <row r="104">
          <cell r="B104" t="str">
            <v>FHA REPOSSESSED HOUSES (GROUP IX)</v>
          </cell>
          <cell r="C104" t="str">
            <v>NY005012090</v>
          </cell>
          <cell r="D104">
            <v>283</v>
          </cell>
          <cell r="E104">
            <v>91</v>
          </cell>
          <cell r="F104">
            <v>376</v>
          </cell>
          <cell r="G104">
            <v>324</v>
          </cell>
          <cell r="H104" t="str">
            <v>NY005206</v>
          </cell>
          <cell r="I104" t="str">
            <v>FEDERAL</v>
          </cell>
          <cell r="J104" t="str">
            <v>CONVENTIONAL</v>
          </cell>
          <cell r="K104" t="str">
            <v>REHAB</v>
          </cell>
          <cell r="M104">
            <v>16</v>
          </cell>
          <cell r="N104">
            <v>40</v>
          </cell>
          <cell r="O104">
            <v>79</v>
          </cell>
          <cell r="P104">
            <v>4.9400000000000004</v>
          </cell>
          <cell r="S104">
            <v>31</v>
          </cell>
          <cell r="V104">
            <v>16</v>
          </cell>
          <cell r="Y104" t="str">
            <v>1-1.5-2-2.5-3</v>
          </cell>
          <cell r="Z104">
            <v>50476</v>
          </cell>
          <cell r="AA104">
            <v>1.1599999999999999</v>
          </cell>
          <cell r="AB104">
            <v>50476</v>
          </cell>
          <cell r="AC104">
            <v>1.1599999999999999</v>
          </cell>
          <cell r="AG104">
            <v>27</v>
          </cell>
          <cell r="AH104">
            <v>0</v>
          </cell>
          <cell r="AI104">
            <v>0</v>
          </cell>
          <cell r="AJ104">
            <v>1076</v>
          </cell>
          <cell r="AK104" t="str">
            <v>2 QUEENS</v>
          </cell>
          <cell r="AL104" t="str">
            <v>14 BROOKLYN</v>
          </cell>
          <cell r="AU104">
            <v>30132</v>
          </cell>
        </row>
        <row r="105">
          <cell r="B105" t="str">
            <v>FHA REPOSSESSED HOUSES (GROUP V)</v>
          </cell>
          <cell r="C105" t="str">
            <v>NY005012090</v>
          </cell>
          <cell r="D105">
            <v>260</v>
          </cell>
          <cell r="E105">
            <v>91</v>
          </cell>
          <cell r="F105">
            <v>397</v>
          </cell>
          <cell r="G105">
            <v>324</v>
          </cell>
          <cell r="H105" t="str">
            <v>NY005182</v>
          </cell>
          <cell r="I105" t="str">
            <v>FEDERAL</v>
          </cell>
          <cell r="J105" t="str">
            <v>CONVENTIONAL</v>
          </cell>
          <cell r="K105" t="str">
            <v>REHAB</v>
          </cell>
          <cell r="M105">
            <v>29</v>
          </cell>
          <cell r="N105">
            <v>36</v>
          </cell>
          <cell r="O105">
            <v>153.5</v>
          </cell>
          <cell r="P105">
            <v>5.29</v>
          </cell>
          <cell r="S105">
            <v>65</v>
          </cell>
          <cell r="V105">
            <v>31</v>
          </cell>
          <cell r="Y105">
            <v>37623</v>
          </cell>
          <cell r="Z105">
            <v>140965</v>
          </cell>
          <cell r="AA105">
            <v>3.24</v>
          </cell>
          <cell r="AB105">
            <v>140965</v>
          </cell>
          <cell r="AC105">
            <v>3.24</v>
          </cell>
          <cell r="AG105">
            <v>20</v>
          </cell>
          <cell r="AH105">
            <v>1123771</v>
          </cell>
          <cell r="AI105">
            <v>7.17</v>
          </cell>
          <cell r="AJ105">
            <v>833</v>
          </cell>
          <cell r="AK105" t="str">
            <v>30 QUEENS</v>
          </cell>
          <cell r="AL105" t="str">
            <v>1 BROOKLYN</v>
          </cell>
          <cell r="AU105">
            <v>26572</v>
          </cell>
        </row>
        <row r="106">
          <cell r="B106" t="str">
            <v>FHA REPOSSESSED HOUSES (GROUP VI)</v>
          </cell>
          <cell r="C106" t="str">
            <v>NY005012090</v>
          </cell>
          <cell r="D106">
            <v>273</v>
          </cell>
          <cell r="E106">
            <v>91</v>
          </cell>
          <cell r="F106">
            <v>395</v>
          </cell>
          <cell r="G106">
            <v>324</v>
          </cell>
          <cell r="H106" t="str">
            <v>NY005199</v>
          </cell>
          <cell r="I106" t="str">
            <v>FEDERAL</v>
          </cell>
          <cell r="J106" t="str">
            <v>CONVENTIONAL</v>
          </cell>
          <cell r="K106" t="str">
            <v>REHAB</v>
          </cell>
          <cell r="M106">
            <v>6</v>
          </cell>
          <cell r="N106">
            <v>9</v>
          </cell>
          <cell r="O106">
            <v>32</v>
          </cell>
          <cell r="P106">
            <v>5.33</v>
          </cell>
          <cell r="S106">
            <v>11</v>
          </cell>
          <cell r="V106">
            <v>7</v>
          </cell>
          <cell r="Y106" t="str">
            <v>1-1.5-2-2.5</v>
          </cell>
          <cell r="Z106">
            <v>46406</v>
          </cell>
          <cell r="AA106">
            <v>1.07</v>
          </cell>
          <cell r="AB106">
            <v>46406</v>
          </cell>
          <cell r="AC106">
            <v>1.07</v>
          </cell>
          <cell r="AG106">
            <v>10</v>
          </cell>
          <cell r="AH106">
            <v>339911</v>
          </cell>
          <cell r="AI106">
            <v>7.32</v>
          </cell>
          <cell r="AJ106">
            <v>750</v>
          </cell>
          <cell r="AK106" t="str">
            <v>7 QUEENS</v>
          </cell>
          <cell r="AU106">
            <v>27972</v>
          </cell>
        </row>
        <row r="107">
          <cell r="B107" t="str">
            <v>FHA REPOSSESSED HOUSES (GROUP VII)</v>
          </cell>
          <cell r="C107" t="str">
            <v>NY005012090</v>
          </cell>
          <cell r="D107">
            <v>274</v>
          </cell>
          <cell r="E107">
            <v>91</v>
          </cell>
          <cell r="F107">
            <v>396</v>
          </cell>
          <cell r="G107">
            <v>324</v>
          </cell>
          <cell r="H107" t="str">
            <v>NY005197</v>
          </cell>
          <cell r="I107" t="str">
            <v>FEDERAL</v>
          </cell>
          <cell r="J107" t="str">
            <v>CONVENTIONAL</v>
          </cell>
          <cell r="K107" t="str">
            <v>REHAB</v>
          </cell>
          <cell r="M107">
            <v>5</v>
          </cell>
          <cell r="N107">
            <v>8</v>
          </cell>
          <cell r="O107">
            <v>29.5</v>
          </cell>
          <cell r="P107">
            <v>5.9</v>
          </cell>
          <cell r="S107">
            <v>9</v>
          </cell>
          <cell r="V107">
            <v>8</v>
          </cell>
          <cell r="Y107" t="str">
            <v>1-1.5-2-2.5</v>
          </cell>
          <cell r="Z107">
            <v>41138</v>
          </cell>
          <cell r="AA107">
            <v>0.94</v>
          </cell>
          <cell r="AB107">
            <v>41138</v>
          </cell>
          <cell r="AC107">
            <v>0.94</v>
          </cell>
          <cell r="AG107">
            <v>10</v>
          </cell>
          <cell r="AH107">
            <v>419377</v>
          </cell>
          <cell r="AI107">
            <v>8.26</v>
          </cell>
          <cell r="AJ107">
            <v>929</v>
          </cell>
          <cell r="AK107" t="str">
            <v>8 QUEENS</v>
          </cell>
          <cell r="AU107">
            <v>27954</v>
          </cell>
        </row>
        <row r="108">
          <cell r="B108" t="str">
            <v>FHA REPOSSESSED HOUSES (GROUP VIII)</v>
          </cell>
          <cell r="C108" t="str">
            <v>NY005012090</v>
          </cell>
          <cell r="D108">
            <v>275</v>
          </cell>
          <cell r="E108">
            <v>91</v>
          </cell>
          <cell r="F108">
            <v>520</v>
          </cell>
          <cell r="G108">
            <v>324</v>
          </cell>
          <cell r="H108" t="str">
            <v>NY005198</v>
          </cell>
          <cell r="I108" t="str">
            <v>FEDERAL</v>
          </cell>
          <cell r="J108" t="str">
            <v>CONVENTIONAL</v>
          </cell>
          <cell r="K108" t="str">
            <v>REHAB</v>
          </cell>
          <cell r="M108">
            <v>5</v>
          </cell>
          <cell r="N108">
            <v>9</v>
          </cell>
          <cell r="O108">
            <v>29.5</v>
          </cell>
          <cell r="P108">
            <v>5.9</v>
          </cell>
          <cell r="S108">
            <v>16</v>
          </cell>
          <cell r="V108">
            <v>9</v>
          </cell>
          <cell r="Y108" t="str">
            <v>1-1.5-2-2.5</v>
          </cell>
          <cell r="Z108">
            <v>34842</v>
          </cell>
          <cell r="AA108">
            <v>0.8</v>
          </cell>
          <cell r="AB108">
            <v>34842</v>
          </cell>
          <cell r="AC108">
            <v>0.8</v>
          </cell>
          <cell r="AG108">
            <v>20</v>
          </cell>
          <cell r="AH108">
            <v>298491</v>
          </cell>
          <cell r="AI108">
            <v>8.57</v>
          </cell>
          <cell r="AJ108">
            <v>1249</v>
          </cell>
          <cell r="AK108" t="str">
            <v>9 QUEENS</v>
          </cell>
          <cell r="AU108">
            <v>27972</v>
          </cell>
        </row>
        <row r="109">
          <cell r="B109" t="str">
            <v>FHA REPOSSESSED HOUSES (GROUP X)</v>
          </cell>
          <cell r="C109" t="str">
            <v>NY005012090</v>
          </cell>
          <cell r="D109">
            <v>284</v>
          </cell>
          <cell r="E109">
            <v>91</v>
          </cell>
          <cell r="F109">
            <v>521</v>
          </cell>
          <cell r="G109">
            <v>324</v>
          </cell>
          <cell r="H109" t="str">
            <v>NY005212</v>
          </cell>
          <cell r="I109" t="str">
            <v>FEDERAL</v>
          </cell>
          <cell r="J109" t="str">
            <v>CONVENTIONAL</v>
          </cell>
          <cell r="K109" t="str">
            <v>REHAB</v>
          </cell>
          <cell r="M109">
            <v>16</v>
          </cell>
          <cell r="N109">
            <v>21</v>
          </cell>
          <cell r="O109">
            <v>87</v>
          </cell>
          <cell r="P109">
            <v>5.44</v>
          </cell>
          <cell r="S109">
            <v>37</v>
          </cell>
          <cell r="V109">
            <v>20</v>
          </cell>
          <cell r="Y109" t="str">
            <v>1-1.5-2-2.5</v>
          </cell>
          <cell r="Z109">
            <v>99627</v>
          </cell>
          <cell r="AA109">
            <v>2.29</v>
          </cell>
          <cell r="AB109">
            <v>99627</v>
          </cell>
          <cell r="AC109">
            <v>2.29</v>
          </cell>
          <cell r="AG109">
            <v>16</v>
          </cell>
          <cell r="AH109">
            <v>850661</v>
          </cell>
          <cell r="AI109">
            <v>6.56</v>
          </cell>
          <cell r="AJ109">
            <v>713</v>
          </cell>
          <cell r="AK109" t="str">
            <v>20 QUEENS</v>
          </cell>
          <cell r="AU109">
            <v>30132</v>
          </cell>
        </row>
        <row r="110">
          <cell r="B110" t="str">
            <v>FIORENTINO PLAZA</v>
          </cell>
          <cell r="C110" t="str">
            <v>NY005012610</v>
          </cell>
          <cell r="D110">
            <v>207</v>
          </cell>
          <cell r="E110">
            <v>261</v>
          </cell>
          <cell r="F110">
            <v>375</v>
          </cell>
          <cell r="G110">
            <v>375</v>
          </cell>
          <cell r="H110" t="str">
            <v>NY005188</v>
          </cell>
          <cell r="I110" t="str">
            <v>FEDERAL</v>
          </cell>
          <cell r="J110" t="str">
            <v>CONVENTIONAL</v>
          </cell>
          <cell r="K110" t="str">
            <v>NEW CONST</v>
          </cell>
          <cell r="M110">
            <v>158</v>
          </cell>
          <cell r="N110">
            <v>160</v>
          </cell>
          <cell r="O110">
            <v>787</v>
          </cell>
          <cell r="P110">
            <v>4.9800000000000004</v>
          </cell>
          <cell r="R110">
            <v>443</v>
          </cell>
          <cell r="S110">
            <v>443</v>
          </cell>
          <cell r="T110">
            <v>31</v>
          </cell>
          <cell r="U110">
            <v>0.19700000000000001</v>
          </cell>
          <cell r="V110">
            <v>8</v>
          </cell>
          <cell r="W110">
            <v>0</v>
          </cell>
          <cell r="X110">
            <v>10</v>
          </cell>
          <cell r="Y110">
            <v>4</v>
          </cell>
          <cell r="Z110">
            <v>95000</v>
          </cell>
          <cell r="AA110">
            <v>2.1800000000000002</v>
          </cell>
          <cell r="AB110">
            <v>95000</v>
          </cell>
          <cell r="AC110">
            <v>2.1800000000000002</v>
          </cell>
          <cell r="AD110">
            <v>42189</v>
          </cell>
          <cell r="AE110">
            <v>1916306</v>
          </cell>
          <cell r="AF110">
            <v>0.44409999999999999</v>
          </cell>
          <cell r="AG110">
            <v>203</v>
          </cell>
          <cell r="AH110">
            <v>6138432</v>
          </cell>
          <cell r="AI110">
            <v>7712</v>
          </cell>
          <cell r="AJ110">
            <v>537</v>
          </cell>
          <cell r="AK110" t="str">
            <v>GLENMORE AVE</v>
          </cell>
          <cell r="AL110" t="str">
            <v>VAN SICLEN AVE</v>
          </cell>
          <cell r="AM110" t="str">
            <v>PITKIN AVE</v>
          </cell>
          <cell r="AN110" t="str">
            <v>WYONA ST</v>
          </cell>
          <cell r="AO110" t="str">
            <v>BROOKLYN</v>
          </cell>
          <cell r="AP110">
            <v>5</v>
          </cell>
          <cell r="AQ110">
            <v>8</v>
          </cell>
          <cell r="AR110">
            <v>19</v>
          </cell>
          <cell r="AS110">
            <v>55</v>
          </cell>
          <cell r="AT110">
            <v>37</v>
          </cell>
          <cell r="AU110">
            <v>26237</v>
          </cell>
        </row>
        <row r="111">
          <cell r="B111" t="str">
            <v>FIRST HOUSES</v>
          </cell>
          <cell r="C111" t="str">
            <v>NY005012920</v>
          </cell>
          <cell r="D111">
            <v>1</v>
          </cell>
          <cell r="E111">
            <v>337</v>
          </cell>
          <cell r="F111">
            <v>370</v>
          </cell>
          <cell r="G111">
            <v>370</v>
          </cell>
          <cell r="H111" t="str">
            <v>NY005181A</v>
          </cell>
          <cell r="I111" t="str">
            <v>FEDERAL</v>
          </cell>
          <cell r="J111" t="str">
            <v>CONVENTIONAL</v>
          </cell>
          <cell r="K111" t="str">
            <v>NEW CONST</v>
          </cell>
          <cell r="M111">
            <v>126</v>
          </cell>
          <cell r="N111">
            <v>126</v>
          </cell>
          <cell r="O111">
            <v>448</v>
          </cell>
          <cell r="P111">
            <v>3.56</v>
          </cell>
          <cell r="R111">
            <v>178</v>
          </cell>
          <cell r="S111">
            <v>178</v>
          </cell>
          <cell r="T111">
            <v>56</v>
          </cell>
          <cell r="U111">
            <v>0.47099999999999997</v>
          </cell>
          <cell r="V111">
            <v>8</v>
          </cell>
          <cell r="W111">
            <v>0</v>
          </cell>
          <cell r="X111">
            <v>8</v>
          </cell>
          <cell r="Y111">
            <v>43560</v>
          </cell>
          <cell r="Z111">
            <v>53532</v>
          </cell>
          <cell r="AA111">
            <v>1.23</v>
          </cell>
          <cell r="AB111">
            <v>53532</v>
          </cell>
          <cell r="AC111">
            <v>1.23</v>
          </cell>
          <cell r="AD111">
            <v>24540</v>
          </cell>
          <cell r="AE111">
            <v>1411795</v>
          </cell>
          <cell r="AF111">
            <v>0.45839999999999997</v>
          </cell>
          <cell r="AG111">
            <v>145</v>
          </cell>
          <cell r="AH111">
            <v>1384643</v>
          </cell>
          <cell r="AI111">
            <v>3653</v>
          </cell>
          <cell r="AJ111">
            <v>500</v>
          </cell>
          <cell r="AK111" t="str">
            <v>E 2ND ST</v>
          </cell>
          <cell r="AL111" t="str">
            <v>E 3RD ST</v>
          </cell>
          <cell r="AM111" t="str">
            <v>AVENUE A</v>
          </cell>
          <cell r="AN111" t="str">
            <v>FIRST AVE</v>
          </cell>
          <cell r="AO111" t="str">
            <v>MANHATTAN</v>
          </cell>
          <cell r="AP111">
            <v>3</v>
          </cell>
          <cell r="AQ111">
            <v>12</v>
          </cell>
          <cell r="AR111">
            <v>26</v>
          </cell>
          <cell r="AS111">
            <v>74</v>
          </cell>
          <cell r="AT111">
            <v>2</v>
          </cell>
          <cell r="AU111">
            <v>13301</v>
          </cell>
          <cell r="AV111" t="str">
            <v>1972/06/29-FED TRAN</v>
          </cell>
          <cell r="AX111" t="str">
            <v>YES</v>
          </cell>
        </row>
        <row r="112">
          <cell r="B112" t="str">
            <v>FOREST</v>
          </cell>
          <cell r="C112" t="str">
            <v>NY005000590</v>
          </cell>
          <cell r="D112">
            <v>59</v>
          </cell>
          <cell r="E112">
            <v>59</v>
          </cell>
          <cell r="F112">
            <v>535</v>
          </cell>
          <cell r="G112">
            <v>535</v>
          </cell>
          <cell r="H112" t="str">
            <v>NY005220F</v>
          </cell>
          <cell r="I112" t="str">
            <v>FEDERAL</v>
          </cell>
          <cell r="J112" t="str">
            <v>CONVENTIONAL</v>
          </cell>
          <cell r="K112" t="str">
            <v>NEW CONST</v>
          </cell>
          <cell r="M112">
            <v>1348</v>
          </cell>
          <cell r="N112">
            <v>1350</v>
          </cell>
          <cell r="O112">
            <v>6154</v>
          </cell>
          <cell r="P112">
            <v>4.57</v>
          </cell>
          <cell r="R112">
            <v>3002</v>
          </cell>
          <cell r="S112">
            <v>3002</v>
          </cell>
          <cell r="T112">
            <v>498</v>
          </cell>
          <cell r="U112">
            <v>0.373</v>
          </cell>
          <cell r="V112">
            <v>15</v>
          </cell>
          <cell r="W112">
            <v>0</v>
          </cell>
          <cell r="X112">
            <v>15</v>
          </cell>
          <cell r="Y112">
            <v>41892</v>
          </cell>
          <cell r="Z112">
            <v>771920</v>
          </cell>
          <cell r="AA112">
            <v>17.72</v>
          </cell>
          <cell r="AB112">
            <v>700087</v>
          </cell>
          <cell r="AC112">
            <v>16.07</v>
          </cell>
          <cell r="AD112">
            <v>125002</v>
          </cell>
          <cell r="AE112">
            <v>11465400</v>
          </cell>
          <cell r="AF112">
            <v>0.16189999999999999</v>
          </cell>
          <cell r="AG112">
            <v>169</v>
          </cell>
          <cell r="AH112">
            <v>19576000</v>
          </cell>
          <cell r="AI112">
            <v>3186</v>
          </cell>
          <cell r="AJ112">
            <v>526</v>
          </cell>
          <cell r="AK112" t="str">
            <v>TINTON AVE</v>
          </cell>
          <cell r="AL112" t="str">
            <v>E 163RD ST</v>
          </cell>
          <cell r="AM112" t="str">
            <v>TRINITY AVE</v>
          </cell>
          <cell r="AN112" t="str">
            <v>E 166TH ST</v>
          </cell>
          <cell r="AO112" t="str">
            <v>BRONX</v>
          </cell>
          <cell r="AP112">
            <v>3</v>
          </cell>
          <cell r="AQ112">
            <v>15</v>
          </cell>
          <cell r="AR112">
            <v>32</v>
          </cell>
          <cell r="AS112">
            <v>79</v>
          </cell>
          <cell r="AT112">
            <v>16</v>
          </cell>
          <cell r="AU112">
            <v>20771</v>
          </cell>
          <cell r="AV112" t="str">
            <v>1978/07/01-ATP 3</v>
          </cell>
        </row>
        <row r="113">
          <cell r="B113" t="str">
            <v>FORT INDEPENDENCE STREET-HEATH AVENUE</v>
          </cell>
          <cell r="C113" t="str">
            <v>NY005012020</v>
          </cell>
          <cell r="D113">
            <v>197</v>
          </cell>
          <cell r="E113">
            <v>197</v>
          </cell>
          <cell r="F113">
            <v>308</v>
          </cell>
          <cell r="G113">
            <v>311</v>
          </cell>
          <cell r="H113" t="str">
            <v>NY005110</v>
          </cell>
          <cell r="I113" t="str">
            <v>FEDERAL</v>
          </cell>
          <cell r="J113" t="str">
            <v>TURNKEY</v>
          </cell>
          <cell r="K113" t="str">
            <v>NEW CONST</v>
          </cell>
          <cell r="M113">
            <v>342</v>
          </cell>
          <cell r="N113">
            <v>344</v>
          </cell>
          <cell r="O113">
            <v>1509</v>
          </cell>
          <cell r="P113">
            <v>4.41</v>
          </cell>
          <cell r="R113">
            <v>733</v>
          </cell>
          <cell r="S113">
            <v>733</v>
          </cell>
          <cell r="T113">
            <v>117</v>
          </cell>
          <cell r="U113">
            <v>0.34699999999999998</v>
          </cell>
          <cell r="V113">
            <v>1</v>
          </cell>
          <cell r="W113">
            <v>0</v>
          </cell>
          <cell r="X113">
            <v>2</v>
          </cell>
          <cell r="Y113">
            <v>21</v>
          </cell>
          <cell r="Z113">
            <v>149152</v>
          </cell>
          <cell r="AA113">
            <v>3.42</v>
          </cell>
          <cell r="AB113">
            <v>149152</v>
          </cell>
          <cell r="AC113">
            <v>3.42</v>
          </cell>
          <cell r="AD113">
            <v>25162</v>
          </cell>
          <cell r="AE113">
            <v>3321343</v>
          </cell>
          <cell r="AF113">
            <v>0.16869999999999999</v>
          </cell>
          <cell r="AG113">
            <v>214</v>
          </cell>
          <cell r="AH113">
            <v>10566070</v>
          </cell>
          <cell r="AI113">
            <v>6933</v>
          </cell>
          <cell r="AJ113">
            <v>544</v>
          </cell>
          <cell r="AK113" t="str">
            <v>FT INDEPENDENCE ST</v>
          </cell>
          <cell r="AL113" t="str">
            <v>HEATH AVE</v>
          </cell>
          <cell r="AM113" t="str">
            <v>BAILEY AVE</v>
          </cell>
          <cell r="AN113" t="str">
            <v>SUMMIT PL</v>
          </cell>
          <cell r="AO113" t="str">
            <v>BRONX</v>
          </cell>
          <cell r="AP113">
            <v>8</v>
          </cell>
          <cell r="AQ113">
            <v>13</v>
          </cell>
          <cell r="AR113">
            <v>33</v>
          </cell>
          <cell r="AS113">
            <v>81</v>
          </cell>
          <cell r="AT113">
            <v>14</v>
          </cell>
          <cell r="AU113">
            <v>27363</v>
          </cell>
        </row>
        <row r="114">
          <cell r="B114" t="str">
            <v>FORT WASHINGTON AVENUE REHAB</v>
          </cell>
          <cell r="C114" t="str">
            <v>NY005013090</v>
          </cell>
          <cell r="D114">
            <v>309</v>
          </cell>
          <cell r="E114">
            <v>309</v>
          </cell>
          <cell r="F114">
            <v>341</v>
          </cell>
          <cell r="G114">
            <v>341</v>
          </cell>
          <cell r="H114" t="str">
            <v>NY005266</v>
          </cell>
          <cell r="I114" t="str">
            <v>FEDERAL</v>
          </cell>
          <cell r="J114" t="str">
            <v>TURNKEY</v>
          </cell>
          <cell r="K114" t="str">
            <v>REHAB (ELD)</v>
          </cell>
          <cell r="M114">
            <v>226</v>
          </cell>
          <cell r="N114">
            <v>226</v>
          </cell>
          <cell r="O114">
            <v>814</v>
          </cell>
          <cell r="P114">
            <v>3.6</v>
          </cell>
          <cell r="R114">
            <v>277</v>
          </cell>
          <cell r="S114">
            <v>277</v>
          </cell>
          <cell r="T114">
            <v>204</v>
          </cell>
          <cell r="U114">
            <v>0.90300000000000002</v>
          </cell>
          <cell r="V114">
            <v>1</v>
          </cell>
          <cell r="W114">
            <v>0</v>
          </cell>
          <cell r="X114">
            <v>2</v>
          </cell>
          <cell r="Y114">
            <v>7</v>
          </cell>
          <cell r="Z114">
            <v>112034</v>
          </cell>
          <cell r="AA114">
            <v>2.57</v>
          </cell>
          <cell r="AB114">
            <v>112034</v>
          </cell>
          <cell r="AC114">
            <v>2.57</v>
          </cell>
          <cell r="AD114">
            <v>43735</v>
          </cell>
          <cell r="AE114">
            <v>3690779</v>
          </cell>
          <cell r="AF114">
            <v>0.39040000000000002</v>
          </cell>
          <cell r="AG114">
            <v>108</v>
          </cell>
          <cell r="AH114">
            <v>16237236</v>
          </cell>
          <cell r="AI114">
            <v>19862</v>
          </cell>
          <cell r="AJ114">
            <v>327</v>
          </cell>
          <cell r="AK114" t="str">
            <v>RIVERSIDE DR</v>
          </cell>
          <cell r="AL114" t="str">
            <v>W 163RD ST</v>
          </cell>
          <cell r="AM114" t="str">
            <v>FT WASHINGTON AVE</v>
          </cell>
          <cell r="AN114" t="str">
            <v>W 165TH ST</v>
          </cell>
          <cell r="AO114" t="str">
            <v>MANHATTAN</v>
          </cell>
          <cell r="AP114">
            <v>12</v>
          </cell>
          <cell r="AQ114">
            <v>13</v>
          </cell>
          <cell r="AR114">
            <v>31</v>
          </cell>
          <cell r="AS114">
            <v>71</v>
          </cell>
          <cell r="AT114">
            <v>7</v>
          </cell>
          <cell r="AU114">
            <v>31321</v>
          </cell>
          <cell r="AW114" t="str">
            <v>EXCLUSIVELY</v>
          </cell>
          <cell r="AX114" t="str">
            <v>YES</v>
          </cell>
        </row>
        <row r="115">
          <cell r="B115" t="str">
            <v>FULTON</v>
          </cell>
          <cell r="C115" t="str">
            <v>NY005001360</v>
          </cell>
          <cell r="D115">
            <v>136</v>
          </cell>
          <cell r="E115">
            <v>136</v>
          </cell>
          <cell r="F115">
            <v>252</v>
          </cell>
          <cell r="G115">
            <v>252</v>
          </cell>
          <cell r="H115" t="str">
            <v>NY005053</v>
          </cell>
          <cell r="I115" t="str">
            <v>FEDERAL</v>
          </cell>
          <cell r="J115" t="str">
            <v>CONVENTIONAL</v>
          </cell>
          <cell r="K115" t="str">
            <v>NEW CONST</v>
          </cell>
          <cell r="M115">
            <v>944</v>
          </cell>
          <cell r="N115">
            <v>944</v>
          </cell>
          <cell r="O115">
            <v>4223</v>
          </cell>
          <cell r="P115">
            <v>4.47</v>
          </cell>
          <cell r="R115">
            <v>2166</v>
          </cell>
          <cell r="S115">
            <v>2166</v>
          </cell>
          <cell r="T115">
            <v>374</v>
          </cell>
          <cell r="U115">
            <v>0.39900000000000002</v>
          </cell>
          <cell r="V115">
            <v>11</v>
          </cell>
          <cell r="W115">
            <v>1</v>
          </cell>
          <cell r="X115">
            <v>12</v>
          </cell>
          <cell r="Y115">
            <v>43641</v>
          </cell>
          <cell r="Z115">
            <v>214139</v>
          </cell>
          <cell r="AA115">
            <v>4.92</v>
          </cell>
          <cell r="AB115">
            <v>214139</v>
          </cell>
          <cell r="AC115">
            <v>4.92</v>
          </cell>
          <cell r="AD115">
            <v>70645</v>
          </cell>
          <cell r="AE115">
            <v>8097991</v>
          </cell>
          <cell r="AF115">
            <v>0.25879999999999997</v>
          </cell>
          <cell r="AG115">
            <v>440</v>
          </cell>
          <cell r="AH115">
            <v>20727847</v>
          </cell>
          <cell r="AI115">
            <v>4866</v>
          </cell>
          <cell r="AJ115">
            <v>678</v>
          </cell>
          <cell r="AK115" t="str">
            <v>W 16TH ST</v>
          </cell>
          <cell r="AL115" t="str">
            <v>W 19TH ST</v>
          </cell>
          <cell r="AM115" t="str">
            <v>NINTH AVE</v>
          </cell>
          <cell r="AO115" t="str">
            <v>MANHATTAN</v>
          </cell>
          <cell r="AP115">
            <v>4</v>
          </cell>
          <cell r="AQ115">
            <v>10</v>
          </cell>
          <cell r="AR115">
            <v>27</v>
          </cell>
          <cell r="AS115">
            <v>75</v>
          </cell>
          <cell r="AT115">
            <v>3</v>
          </cell>
          <cell r="AU115">
            <v>23832</v>
          </cell>
        </row>
        <row r="116">
          <cell r="B116" t="str">
            <v>GARVEY (GROUP A)</v>
          </cell>
          <cell r="C116" t="str">
            <v>NY005012520</v>
          </cell>
          <cell r="D116">
            <v>252</v>
          </cell>
          <cell r="E116">
            <v>252</v>
          </cell>
          <cell r="F116">
            <v>381</v>
          </cell>
          <cell r="G116">
            <v>381</v>
          </cell>
          <cell r="H116" t="str">
            <v>NY005166</v>
          </cell>
          <cell r="I116" t="str">
            <v>FEDERAL</v>
          </cell>
          <cell r="J116" t="str">
            <v>CONVENTIONAL</v>
          </cell>
          <cell r="K116" t="str">
            <v>NEW CONST</v>
          </cell>
          <cell r="M116">
            <v>320</v>
          </cell>
          <cell r="N116">
            <v>321</v>
          </cell>
          <cell r="O116">
            <v>1525</v>
          </cell>
          <cell r="P116">
            <v>4.7699999999999996</v>
          </cell>
          <cell r="R116">
            <v>863</v>
          </cell>
          <cell r="S116">
            <v>863</v>
          </cell>
          <cell r="T116">
            <v>124</v>
          </cell>
          <cell r="U116">
            <v>0.39400000000000002</v>
          </cell>
          <cell r="V116">
            <v>3</v>
          </cell>
          <cell r="W116">
            <v>1</v>
          </cell>
          <cell r="X116">
            <v>6</v>
          </cell>
          <cell r="Y116" t="str">
            <v>2, 6-14</v>
          </cell>
          <cell r="Z116">
            <v>142730</v>
          </cell>
          <cell r="AA116">
            <v>3.28</v>
          </cell>
          <cell r="AB116">
            <v>142730</v>
          </cell>
          <cell r="AC116">
            <v>3.28</v>
          </cell>
          <cell r="AD116">
            <v>40745</v>
          </cell>
          <cell r="AE116">
            <v>3257257</v>
          </cell>
          <cell r="AF116">
            <v>0.28549999999999998</v>
          </cell>
          <cell r="AG116">
            <v>263</v>
          </cell>
          <cell r="AH116">
            <v>12599489</v>
          </cell>
          <cell r="AI116">
            <v>8168</v>
          </cell>
          <cell r="AJ116">
            <v>563</v>
          </cell>
          <cell r="AK116" t="str">
            <v>EAST NEW YORK AVE</v>
          </cell>
          <cell r="AL116" t="str">
            <v>AMBOY ST</v>
          </cell>
          <cell r="AM116" t="str">
            <v>PITKIN AVE</v>
          </cell>
          <cell r="AO116" t="str">
            <v>BROOKLYN</v>
          </cell>
          <cell r="AP116">
            <v>16</v>
          </cell>
          <cell r="AQ116">
            <v>9</v>
          </cell>
          <cell r="AR116">
            <v>20</v>
          </cell>
          <cell r="AS116">
            <v>55</v>
          </cell>
          <cell r="AT116">
            <v>41</v>
          </cell>
          <cell r="AU116">
            <v>27453</v>
          </cell>
          <cell r="AW116" t="str">
            <v>PARTIALLY</v>
          </cell>
        </row>
        <row r="117">
          <cell r="B117" t="str">
            <v>GLEBE AVENUE-WESTCHESTER AVENUE</v>
          </cell>
          <cell r="C117" t="str">
            <v>NY005010670</v>
          </cell>
          <cell r="D117">
            <v>225</v>
          </cell>
          <cell r="E117">
            <v>67</v>
          </cell>
          <cell r="F117">
            <v>342</v>
          </cell>
          <cell r="G117">
            <v>222</v>
          </cell>
          <cell r="H117" t="str">
            <v>NY005147</v>
          </cell>
          <cell r="I117" t="str">
            <v>FEDERAL</v>
          </cell>
          <cell r="J117" t="str">
            <v>TURNKEY</v>
          </cell>
          <cell r="K117" t="str">
            <v>NEW CONST (ELD)</v>
          </cell>
          <cell r="M117">
            <v>131</v>
          </cell>
          <cell r="N117">
            <v>132</v>
          </cell>
          <cell r="O117">
            <v>434.5</v>
          </cell>
          <cell r="P117">
            <v>3.32</v>
          </cell>
          <cell r="R117">
            <v>143</v>
          </cell>
          <cell r="S117">
            <v>143</v>
          </cell>
          <cell r="T117">
            <v>124</v>
          </cell>
          <cell r="U117">
            <v>0.94699999999999995</v>
          </cell>
          <cell r="V117">
            <v>1</v>
          </cell>
          <cell r="W117">
            <v>0</v>
          </cell>
          <cell r="X117">
            <v>1</v>
          </cell>
          <cell r="Y117">
            <v>6</v>
          </cell>
          <cell r="Z117">
            <v>47204</v>
          </cell>
          <cell r="AA117">
            <v>1.08</v>
          </cell>
          <cell r="AB117">
            <v>47204</v>
          </cell>
          <cell r="AC117">
            <v>1.08</v>
          </cell>
          <cell r="AD117">
            <v>18734</v>
          </cell>
          <cell r="AE117">
            <v>1123122</v>
          </cell>
          <cell r="AF117">
            <v>0.39689999999999998</v>
          </cell>
          <cell r="AG117">
            <v>132</v>
          </cell>
          <cell r="AH117">
            <v>3356367</v>
          </cell>
          <cell r="AI117">
            <v>7467</v>
          </cell>
          <cell r="AJ117">
            <v>324</v>
          </cell>
          <cell r="AK117" t="str">
            <v>GLEBE AVE</v>
          </cell>
          <cell r="AL117" t="str">
            <v>WESTCHESTER AVE</v>
          </cell>
          <cell r="AM117" t="str">
            <v>CASTLE HILL AVE</v>
          </cell>
          <cell r="AN117" t="str">
            <v>LYON AVE</v>
          </cell>
          <cell r="AO117" t="str">
            <v>BRONX</v>
          </cell>
          <cell r="AP117">
            <v>10</v>
          </cell>
          <cell r="AQ117">
            <v>14</v>
          </cell>
          <cell r="AR117">
            <v>34</v>
          </cell>
          <cell r="AS117">
            <v>87</v>
          </cell>
          <cell r="AT117">
            <v>18</v>
          </cell>
          <cell r="AU117">
            <v>26298</v>
          </cell>
          <cell r="AW117" t="str">
            <v>EXCLUSIVELY</v>
          </cell>
        </row>
        <row r="118">
          <cell r="B118" t="str">
            <v>GLENMORE PLAZA</v>
          </cell>
          <cell r="C118" t="str">
            <v>NY005011690</v>
          </cell>
          <cell r="D118">
            <v>171</v>
          </cell>
          <cell r="E118">
            <v>169</v>
          </cell>
          <cell r="F118">
            <v>581</v>
          </cell>
          <cell r="G118">
            <v>581</v>
          </cell>
          <cell r="H118" t="str">
            <v>NY005267C</v>
          </cell>
          <cell r="I118" t="str">
            <v>FEDERAL</v>
          </cell>
          <cell r="J118" t="str">
            <v>CONVENTIONAL</v>
          </cell>
          <cell r="K118" t="str">
            <v>NEW CONST</v>
          </cell>
          <cell r="M118">
            <v>439</v>
          </cell>
          <cell r="N118">
            <v>440</v>
          </cell>
          <cell r="O118">
            <v>1701.5</v>
          </cell>
          <cell r="P118">
            <v>3.88</v>
          </cell>
          <cell r="R118">
            <v>823</v>
          </cell>
          <cell r="S118">
            <v>823</v>
          </cell>
          <cell r="T118">
            <v>189</v>
          </cell>
          <cell r="U118">
            <v>0.441</v>
          </cell>
          <cell r="V118">
            <v>4</v>
          </cell>
          <cell r="W118">
            <v>0</v>
          </cell>
          <cell r="X118">
            <v>4</v>
          </cell>
          <cell r="Y118">
            <v>45583</v>
          </cell>
          <cell r="Z118">
            <v>186180</v>
          </cell>
          <cell r="AA118">
            <v>4.2699999999999996</v>
          </cell>
          <cell r="AB118">
            <v>186180</v>
          </cell>
          <cell r="AC118">
            <v>4.2699999999999996</v>
          </cell>
          <cell r="AD118">
            <v>24838</v>
          </cell>
          <cell r="AE118">
            <v>4024811</v>
          </cell>
          <cell r="AF118">
            <v>0.13339999999999999</v>
          </cell>
          <cell r="AG118">
            <v>193</v>
          </cell>
          <cell r="AH118">
            <v>10600000</v>
          </cell>
          <cell r="AI118">
            <v>6221</v>
          </cell>
          <cell r="AJ118">
            <v>499</v>
          </cell>
          <cell r="AK118" t="str">
            <v>PITKIN AVE</v>
          </cell>
          <cell r="AL118" t="str">
            <v>GLENMORE AVE</v>
          </cell>
          <cell r="AM118" t="str">
            <v>WATKINS ST</v>
          </cell>
          <cell r="AN118" t="str">
            <v>POWELL ST</v>
          </cell>
          <cell r="AO118" t="str">
            <v>BROOKLYN</v>
          </cell>
          <cell r="AP118">
            <v>16</v>
          </cell>
          <cell r="AQ118">
            <v>8</v>
          </cell>
          <cell r="AR118">
            <v>19</v>
          </cell>
          <cell r="AS118">
            <v>55</v>
          </cell>
          <cell r="AT118">
            <v>37</v>
          </cell>
          <cell r="AU118">
            <v>24958</v>
          </cell>
          <cell r="AV118" t="str">
            <v>1980/07/01-ATP 5</v>
          </cell>
        </row>
        <row r="119">
          <cell r="B119" t="str">
            <v>GLENWOOD</v>
          </cell>
          <cell r="C119" t="str">
            <v>NY005000440</v>
          </cell>
          <cell r="D119">
            <v>44</v>
          </cell>
          <cell r="E119">
            <v>44</v>
          </cell>
          <cell r="F119">
            <v>584</v>
          </cell>
          <cell r="G119">
            <v>584</v>
          </cell>
          <cell r="H119" t="str">
            <v>NY005268B</v>
          </cell>
          <cell r="I119" t="str">
            <v>FEDERAL</v>
          </cell>
          <cell r="J119" t="str">
            <v>CONVENTIONAL</v>
          </cell>
          <cell r="K119" t="str">
            <v>NEW CONST</v>
          </cell>
          <cell r="M119">
            <v>1186</v>
          </cell>
          <cell r="N119">
            <v>1188</v>
          </cell>
          <cell r="O119">
            <v>5207</v>
          </cell>
          <cell r="P119">
            <v>4.3899999999999997</v>
          </cell>
          <cell r="R119">
            <v>2512</v>
          </cell>
          <cell r="S119">
            <v>2512</v>
          </cell>
          <cell r="T119">
            <v>404</v>
          </cell>
          <cell r="U119">
            <v>0.34399999999999997</v>
          </cell>
          <cell r="V119">
            <v>20</v>
          </cell>
          <cell r="W119">
            <v>0</v>
          </cell>
          <cell r="X119">
            <v>40</v>
          </cell>
          <cell r="Y119">
            <v>6</v>
          </cell>
          <cell r="Z119">
            <v>975095</v>
          </cell>
          <cell r="AA119">
            <v>22.39</v>
          </cell>
          <cell r="AB119">
            <v>915230</v>
          </cell>
          <cell r="AC119">
            <v>21.01</v>
          </cell>
          <cell r="AD119">
            <v>183856</v>
          </cell>
          <cell r="AE119">
            <v>10242805</v>
          </cell>
          <cell r="AF119">
            <v>0.18859999999999999</v>
          </cell>
          <cell r="AG119">
            <v>112</v>
          </cell>
          <cell r="AH119">
            <v>12907133</v>
          </cell>
          <cell r="AI119">
            <v>2475</v>
          </cell>
          <cell r="AJ119">
            <v>599</v>
          </cell>
          <cell r="AK119" t="str">
            <v>E 56TH ST</v>
          </cell>
          <cell r="AL119" t="str">
            <v>FARRAGUT RD</v>
          </cell>
          <cell r="AM119" t="str">
            <v>RALPH AVE</v>
          </cell>
          <cell r="AN119" t="str">
            <v>AVENUE H</v>
          </cell>
          <cell r="AO119" t="str">
            <v>BROOKLYN</v>
          </cell>
          <cell r="AP119">
            <v>18</v>
          </cell>
          <cell r="AQ119">
            <v>8</v>
          </cell>
          <cell r="AR119">
            <v>21</v>
          </cell>
          <cell r="AS119">
            <v>59</v>
          </cell>
          <cell r="AT119">
            <v>45</v>
          </cell>
          <cell r="AU119">
            <v>18458</v>
          </cell>
          <cell r="AV119" t="str">
            <v>1980/07/01-ATP 6</v>
          </cell>
        </row>
        <row r="120">
          <cell r="B120" t="str">
            <v>GOMPERS</v>
          </cell>
          <cell r="C120" t="str">
            <v>NY005011000</v>
          </cell>
          <cell r="D120">
            <v>100</v>
          </cell>
          <cell r="E120">
            <v>100</v>
          </cell>
          <cell r="F120">
            <v>237</v>
          </cell>
          <cell r="G120">
            <v>237</v>
          </cell>
          <cell r="H120" t="str">
            <v>NY005032</v>
          </cell>
          <cell r="I120" t="str">
            <v>FEDERAL</v>
          </cell>
          <cell r="J120" t="str">
            <v>CONVENTIONAL</v>
          </cell>
          <cell r="K120" t="str">
            <v>NEW CONST</v>
          </cell>
          <cell r="M120">
            <v>472</v>
          </cell>
          <cell r="N120">
            <v>474</v>
          </cell>
          <cell r="O120">
            <v>2193</v>
          </cell>
          <cell r="P120">
            <v>4.6500000000000004</v>
          </cell>
          <cell r="R120">
            <v>1067</v>
          </cell>
          <cell r="S120">
            <v>1067</v>
          </cell>
          <cell r="T120">
            <v>205</v>
          </cell>
          <cell r="U120">
            <v>0.442</v>
          </cell>
          <cell r="V120">
            <v>2</v>
          </cell>
          <cell r="W120">
            <v>2</v>
          </cell>
          <cell r="X120">
            <v>5</v>
          </cell>
          <cell r="Y120">
            <v>20</v>
          </cell>
          <cell r="Z120">
            <v>161016</v>
          </cell>
          <cell r="AA120">
            <v>3.7</v>
          </cell>
          <cell r="AB120">
            <v>161016</v>
          </cell>
          <cell r="AC120">
            <v>3.7</v>
          </cell>
          <cell r="AD120">
            <v>24555</v>
          </cell>
          <cell r="AE120">
            <v>4083496</v>
          </cell>
          <cell r="AF120">
            <v>0.1525</v>
          </cell>
          <cell r="AG120">
            <v>288</v>
          </cell>
          <cell r="AH120">
            <v>9322807</v>
          </cell>
          <cell r="AI120">
            <v>4240</v>
          </cell>
          <cell r="AJ120">
            <v>556</v>
          </cell>
          <cell r="AK120" t="str">
            <v>DELANCY ST</v>
          </cell>
          <cell r="AL120" t="str">
            <v>PITT ST</v>
          </cell>
          <cell r="AM120" t="str">
            <v>STANTON ST</v>
          </cell>
          <cell r="AO120" t="str">
            <v>MANHATTAN</v>
          </cell>
          <cell r="AP120">
            <v>3</v>
          </cell>
          <cell r="AQ120">
            <v>7</v>
          </cell>
          <cell r="AR120">
            <v>26</v>
          </cell>
          <cell r="AS120">
            <v>74</v>
          </cell>
          <cell r="AT120">
            <v>2</v>
          </cell>
          <cell r="AU120">
            <v>23497</v>
          </cell>
        </row>
        <row r="121">
          <cell r="B121" t="str">
            <v>GOWANUS</v>
          </cell>
          <cell r="C121" t="str">
            <v>NY005000250</v>
          </cell>
          <cell r="D121">
            <v>25</v>
          </cell>
          <cell r="E121">
            <v>25</v>
          </cell>
          <cell r="F121">
            <v>515</v>
          </cell>
          <cell r="G121">
            <v>515</v>
          </cell>
          <cell r="H121" t="str">
            <v>NY005213G</v>
          </cell>
          <cell r="I121" t="str">
            <v>FEDERAL</v>
          </cell>
          <cell r="J121" t="str">
            <v>CONVENTIONAL</v>
          </cell>
          <cell r="K121" t="str">
            <v>NEW CONST</v>
          </cell>
          <cell r="M121">
            <v>1137</v>
          </cell>
          <cell r="N121">
            <v>1139</v>
          </cell>
          <cell r="O121">
            <v>5436.5</v>
          </cell>
          <cell r="P121">
            <v>4.78</v>
          </cell>
          <cell r="R121">
            <v>2669</v>
          </cell>
          <cell r="S121">
            <v>2669</v>
          </cell>
          <cell r="T121">
            <v>455</v>
          </cell>
          <cell r="U121">
            <v>0.40400000000000003</v>
          </cell>
          <cell r="V121">
            <v>15</v>
          </cell>
          <cell r="W121">
            <v>1</v>
          </cell>
          <cell r="X121">
            <v>25</v>
          </cell>
          <cell r="Y121" t="str">
            <v>4-6-9-13-14</v>
          </cell>
          <cell r="Z121">
            <v>547663</v>
          </cell>
          <cell r="AA121">
            <v>12.57</v>
          </cell>
          <cell r="AB121">
            <v>502216</v>
          </cell>
          <cell r="AC121">
            <v>11.53</v>
          </cell>
          <cell r="AD121">
            <v>105659</v>
          </cell>
          <cell r="AE121">
            <v>9028680</v>
          </cell>
          <cell r="AF121">
            <v>0.19289999999999999</v>
          </cell>
          <cell r="AG121">
            <v>212</v>
          </cell>
          <cell r="AH121">
            <v>11928000</v>
          </cell>
          <cell r="AI121">
            <v>2203</v>
          </cell>
          <cell r="AJ121">
            <v>556</v>
          </cell>
          <cell r="AK121" t="str">
            <v>WYCKOFF ST</v>
          </cell>
          <cell r="AL121" t="str">
            <v>DOUGLASS ST</v>
          </cell>
          <cell r="AM121" t="str">
            <v>BOND ST</v>
          </cell>
          <cell r="AN121" t="str">
            <v>HOYT ST</v>
          </cell>
          <cell r="AO121" t="str">
            <v>BROOKLYN</v>
          </cell>
          <cell r="AP121">
            <v>6</v>
          </cell>
          <cell r="AQ121">
            <v>7</v>
          </cell>
          <cell r="AR121">
            <v>25</v>
          </cell>
          <cell r="AS121">
            <v>52</v>
          </cell>
          <cell r="AT121">
            <v>33</v>
          </cell>
          <cell r="AU121">
            <v>18073</v>
          </cell>
          <cell r="AV121" t="str">
            <v>1977/07/01-ATP 1</v>
          </cell>
        </row>
        <row r="122">
          <cell r="B122" t="str">
            <v>GRAMPION</v>
          </cell>
          <cell r="C122" t="str">
            <v>NY005010300</v>
          </cell>
          <cell r="D122">
            <v>281</v>
          </cell>
          <cell r="E122">
            <v>30</v>
          </cell>
          <cell r="F122">
            <v>507</v>
          </cell>
          <cell r="G122">
            <v>503</v>
          </cell>
          <cell r="H122" t="str">
            <v>NY005210</v>
          </cell>
          <cell r="I122" t="str">
            <v>FEDERAL</v>
          </cell>
          <cell r="J122" t="str">
            <v>CONVENTIONAL</v>
          </cell>
          <cell r="K122" t="str">
            <v>REHAB</v>
          </cell>
          <cell r="M122">
            <v>35</v>
          </cell>
          <cell r="N122">
            <v>35</v>
          </cell>
          <cell r="O122">
            <v>155.5</v>
          </cell>
          <cell r="P122">
            <v>4.4400000000000004</v>
          </cell>
          <cell r="R122">
            <v>67</v>
          </cell>
          <cell r="S122">
            <v>67</v>
          </cell>
          <cell r="T122">
            <v>8</v>
          </cell>
          <cell r="U122">
            <v>0.24199999999999999</v>
          </cell>
          <cell r="V122">
            <v>1</v>
          </cell>
          <cell r="W122">
            <v>0</v>
          </cell>
          <cell r="X122">
            <v>1</v>
          </cell>
          <cell r="Y122">
            <v>7</v>
          </cell>
          <cell r="Z122">
            <v>7144</v>
          </cell>
          <cell r="AA122">
            <v>0.16</v>
          </cell>
          <cell r="AB122">
            <v>7144</v>
          </cell>
          <cell r="AC122">
            <v>0.16</v>
          </cell>
          <cell r="AD122">
            <v>5000</v>
          </cell>
          <cell r="AE122">
            <v>377500</v>
          </cell>
          <cell r="AF122">
            <v>0.69989999999999997</v>
          </cell>
          <cell r="AG122">
            <v>419</v>
          </cell>
          <cell r="AH122">
            <v>817621</v>
          </cell>
          <cell r="AI122">
            <v>5094</v>
          </cell>
          <cell r="AJ122">
            <v>522</v>
          </cell>
          <cell r="AK122" t="str">
            <v>W 119TH ST</v>
          </cell>
          <cell r="AL122" t="str">
            <v>SAINT NICHOLAS AVE</v>
          </cell>
          <cell r="AO122" t="str">
            <v>MANHATTAN</v>
          </cell>
          <cell r="AP122">
            <v>10</v>
          </cell>
          <cell r="AQ122">
            <v>13</v>
          </cell>
          <cell r="AR122">
            <v>30</v>
          </cell>
          <cell r="AS122">
            <v>70</v>
          </cell>
          <cell r="AT122">
            <v>9</v>
          </cell>
          <cell r="AU122">
            <v>28262</v>
          </cell>
          <cell r="AX122" t="str">
            <v>YES</v>
          </cell>
        </row>
        <row r="123">
          <cell r="B123" t="str">
            <v>GRANT</v>
          </cell>
          <cell r="C123" t="str">
            <v>NY005000870</v>
          </cell>
          <cell r="D123">
            <v>87</v>
          </cell>
          <cell r="E123">
            <v>87</v>
          </cell>
          <cell r="F123">
            <v>232</v>
          </cell>
          <cell r="G123">
            <v>232</v>
          </cell>
          <cell r="H123" t="str">
            <v>NY005030</v>
          </cell>
          <cell r="I123" t="str">
            <v>FEDERAL</v>
          </cell>
          <cell r="J123" t="str">
            <v>CONVENTIONAL</v>
          </cell>
          <cell r="K123" t="str">
            <v>NEW CONST</v>
          </cell>
          <cell r="M123">
            <v>1939</v>
          </cell>
          <cell r="N123">
            <v>1940</v>
          </cell>
          <cell r="O123">
            <v>9133.5</v>
          </cell>
          <cell r="P123">
            <v>4.71</v>
          </cell>
          <cell r="R123">
            <v>4282</v>
          </cell>
          <cell r="S123">
            <v>4282</v>
          </cell>
          <cell r="T123">
            <v>741</v>
          </cell>
          <cell r="U123">
            <v>0.39</v>
          </cell>
          <cell r="V123">
            <v>9</v>
          </cell>
          <cell r="W123">
            <v>1</v>
          </cell>
          <cell r="X123">
            <v>10</v>
          </cell>
          <cell r="Y123" t="str">
            <v>13-21</v>
          </cell>
          <cell r="Z123">
            <v>655681</v>
          </cell>
          <cell r="AA123">
            <v>15.05</v>
          </cell>
          <cell r="AB123">
            <v>655681</v>
          </cell>
          <cell r="AC123">
            <v>15.05</v>
          </cell>
          <cell r="AD123">
            <v>101477</v>
          </cell>
          <cell r="AE123">
            <v>16701596</v>
          </cell>
          <cell r="AF123">
            <v>0.15479999999999999</v>
          </cell>
          <cell r="AG123">
            <v>285</v>
          </cell>
          <cell r="AH123">
            <v>28783425</v>
          </cell>
          <cell r="AI123">
            <v>3150</v>
          </cell>
          <cell r="AJ123">
            <v>565</v>
          </cell>
          <cell r="AK123" t="str">
            <v>W 125TH ST</v>
          </cell>
          <cell r="AL123" t="str">
            <v>MORNINGSIDE AVE</v>
          </cell>
          <cell r="AM123" t="str">
            <v>W 123RD ST</v>
          </cell>
          <cell r="AN123" t="str">
            <v>BROADWAY</v>
          </cell>
          <cell r="AO123" t="str">
            <v>MANHATTAN</v>
          </cell>
          <cell r="AP123">
            <v>9</v>
          </cell>
          <cell r="AQ123">
            <v>13</v>
          </cell>
          <cell r="AR123">
            <v>30</v>
          </cell>
          <cell r="AS123">
            <v>69</v>
          </cell>
          <cell r="AT123">
            <v>7</v>
          </cell>
          <cell r="AU123">
            <v>21124</v>
          </cell>
        </row>
        <row r="124">
          <cell r="B124" t="str">
            <v>GRAVESEND</v>
          </cell>
          <cell r="C124" t="str">
            <v>NY005011720</v>
          </cell>
          <cell r="D124">
            <v>68</v>
          </cell>
          <cell r="E124">
            <v>172</v>
          </cell>
          <cell r="F124">
            <v>225</v>
          </cell>
          <cell r="G124">
            <v>225</v>
          </cell>
          <cell r="H124" t="str">
            <v>NY005025</v>
          </cell>
          <cell r="I124" t="str">
            <v>FEDERAL</v>
          </cell>
          <cell r="J124" t="str">
            <v>CONVENTIONAL</v>
          </cell>
          <cell r="K124" t="str">
            <v>NEW CONST</v>
          </cell>
          <cell r="M124">
            <v>627</v>
          </cell>
          <cell r="N124">
            <v>634</v>
          </cell>
          <cell r="O124">
            <v>2915.5</v>
          </cell>
          <cell r="P124">
            <v>4.6500000000000004</v>
          </cell>
          <cell r="R124">
            <v>1463</v>
          </cell>
          <cell r="S124">
            <v>1463</v>
          </cell>
          <cell r="T124">
            <v>217</v>
          </cell>
          <cell r="U124">
            <v>0.35099999999999998</v>
          </cell>
          <cell r="V124">
            <v>15</v>
          </cell>
          <cell r="W124">
            <v>0</v>
          </cell>
          <cell r="X124">
            <v>15</v>
          </cell>
          <cell r="Y124">
            <v>7</v>
          </cell>
          <cell r="Z124">
            <v>540725</v>
          </cell>
          <cell r="AA124">
            <v>12.41</v>
          </cell>
          <cell r="AB124">
            <v>540725</v>
          </cell>
          <cell r="AC124">
            <v>12.41</v>
          </cell>
          <cell r="AD124">
            <v>92855</v>
          </cell>
          <cell r="AE124">
            <v>5356500</v>
          </cell>
          <cell r="AF124">
            <v>0.17169999999999999</v>
          </cell>
          <cell r="AG124">
            <v>118</v>
          </cell>
          <cell r="AH124">
            <v>7927996</v>
          </cell>
          <cell r="AI124">
            <v>2687</v>
          </cell>
          <cell r="AJ124">
            <v>494</v>
          </cell>
          <cell r="AK124" t="str">
            <v>NEPTUNE AVE</v>
          </cell>
          <cell r="AL124" t="str">
            <v>BAYVIEW AVE</v>
          </cell>
          <cell r="AM124" t="str">
            <v>W 33RD ST</v>
          </cell>
          <cell r="AO124" t="str">
            <v>BROOKLYN</v>
          </cell>
          <cell r="AP124">
            <v>13</v>
          </cell>
          <cell r="AQ124">
            <v>8</v>
          </cell>
          <cell r="AR124">
            <v>23</v>
          </cell>
          <cell r="AS124">
            <v>46</v>
          </cell>
          <cell r="AT124">
            <v>47</v>
          </cell>
          <cell r="AU124">
            <v>19903</v>
          </cell>
        </row>
        <row r="125">
          <cell r="B125" t="str">
            <v>GUN HILL</v>
          </cell>
          <cell r="C125" t="str">
            <v>NY005010470</v>
          </cell>
          <cell r="D125">
            <v>40</v>
          </cell>
          <cell r="E125">
            <v>40</v>
          </cell>
          <cell r="F125">
            <v>579</v>
          </cell>
          <cell r="G125">
            <v>579</v>
          </cell>
          <cell r="H125" t="str">
            <v>NY005267A</v>
          </cell>
          <cell r="I125" t="str">
            <v>FEDERAL</v>
          </cell>
          <cell r="J125" t="str">
            <v>CONVENTIONAL</v>
          </cell>
          <cell r="K125" t="str">
            <v>NEW CONST</v>
          </cell>
          <cell r="M125">
            <v>732</v>
          </cell>
          <cell r="N125">
            <v>733</v>
          </cell>
          <cell r="O125">
            <v>3126</v>
          </cell>
          <cell r="P125">
            <v>4.2699999999999996</v>
          </cell>
          <cell r="R125">
            <v>1470</v>
          </cell>
          <cell r="S125">
            <v>1470</v>
          </cell>
          <cell r="T125">
            <v>283</v>
          </cell>
          <cell r="U125">
            <v>0.39100000000000001</v>
          </cell>
          <cell r="V125">
            <v>6</v>
          </cell>
          <cell r="W125">
            <v>0</v>
          </cell>
          <cell r="X125">
            <v>6</v>
          </cell>
          <cell r="Y125">
            <v>14</v>
          </cell>
          <cell r="Z125">
            <v>345256</v>
          </cell>
          <cell r="AA125">
            <v>7.93</v>
          </cell>
          <cell r="AB125">
            <v>314070</v>
          </cell>
          <cell r="AC125">
            <v>7.21</v>
          </cell>
          <cell r="AD125">
            <v>54684</v>
          </cell>
          <cell r="AE125">
            <v>6221645</v>
          </cell>
          <cell r="AF125">
            <v>0.15840000000000001</v>
          </cell>
          <cell r="AG125">
            <v>185</v>
          </cell>
          <cell r="AH125">
            <v>8709286</v>
          </cell>
          <cell r="AI125">
            <v>2784</v>
          </cell>
          <cell r="AJ125">
            <v>541</v>
          </cell>
          <cell r="AK125" t="str">
            <v>HOLLAND AVE</v>
          </cell>
          <cell r="AL125" t="str">
            <v>WHITE PLAINS RD</v>
          </cell>
          <cell r="AM125" t="str">
            <v>GUN HILL RD</v>
          </cell>
          <cell r="AN125" t="str">
            <v>MAGENTA ST</v>
          </cell>
          <cell r="AO125" t="str">
            <v>BRONX</v>
          </cell>
          <cell r="AP125">
            <v>12</v>
          </cell>
          <cell r="AQ125">
            <v>16</v>
          </cell>
          <cell r="AR125">
            <v>36</v>
          </cell>
          <cell r="AS125">
            <v>83</v>
          </cell>
          <cell r="AT125">
            <v>12</v>
          </cell>
          <cell r="AU125">
            <v>18597</v>
          </cell>
          <cell r="AV125" t="str">
            <v>1980/07/01-ATP 5</v>
          </cell>
        </row>
        <row r="126">
          <cell r="B126" t="str">
            <v>HABER</v>
          </cell>
          <cell r="C126" t="str">
            <v>NY005011660</v>
          </cell>
          <cell r="D126">
            <v>142</v>
          </cell>
          <cell r="E126">
            <v>166</v>
          </cell>
          <cell r="F126">
            <v>589</v>
          </cell>
          <cell r="G126">
            <v>589</v>
          </cell>
          <cell r="H126" t="str">
            <v>NY005271D</v>
          </cell>
          <cell r="I126" t="str">
            <v>FEDERAL</v>
          </cell>
          <cell r="J126" t="str">
            <v>CONVENTIONAL</v>
          </cell>
          <cell r="K126" t="str">
            <v>NEW CONST (ELD)</v>
          </cell>
          <cell r="M126">
            <v>380</v>
          </cell>
          <cell r="N126">
            <v>380</v>
          </cell>
          <cell r="O126">
            <v>1327</v>
          </cell>
          <cell r="P126">
            <v>3.49</v>
          </cell>
          <cell r="R126">
            <v>442</v>
          </cell>
          <cell r="S126">
            <v>442</v>
          </cell>
          <cell r="T126">
            <v>347</v>
          </cell>
          <cell r="U126">
            <v>0.92800000000000005</v>
          </cell>
          <cell r="V126">
            <v>3</v>
          </cell>
          <cell r="W126">
            <v>0</v>
          </cell>
          <cell r="X126">
            <v>3</v>
          </cell>
          <cell r="Y126">
            <v>14</v>
          </cell>
          <cell r="Z126">
            <v>134432</v>
          </cell>
          <cell r="AA126">
            <v>3.09</v>
          </cell>
          <cell r="AB126">
            <v>134432</v>
          </cell>
          <cell r="AC126">
            <v>3.09</v>
          </cell>
          <cell r="AD126">
            <v>23903</v>
          </cell>
          <cell r="AE126">
            <v>2547605</v>
          </cell>
          <cell r="AF126">
            <v>0.17780000000000001</v>
          </cell>
          <cell r="AG126">
            <v>143</v>
          </cell>
          <cell r="AH126">
            <v>7494000</v>
          </cell>
          <cell r="AI126">
            <v>5647</v>
          </cell>
          <cell r="AJ126">
            <v>295</v>
          </cell>
          <cell r="AK126" t="str">
            <v>W 24TH ST</v>
          </cell>
          <cell r="AL126" t="str">
            <v>SURF AVE</v>
          </cell>
          <cell r="AM126" t="str">
            <v>REIGELMANN BRDWLK</v>
          </cell>
          <cell r="AN126" t="str">
            <v>W 25TH ST</v>
          </cell>
          <cell r="AO126" t="str">
            <v>BROOKLYN</v>
          </cell>
          <cell r="AP126">
            <v>13</v>
          </cell>
          <cell r="AQ126">
            <v>8</v>
          </cell>
          <cell r="AR126">
            <v>23</v>
          </cell>
          <cell r="AS126">
            <v>46</v>
          </cell>
          <cell r="AT126">
            <v>47</v>
          </cell>
          <cell r="AU126">
            <v>23923</v>
          </cell>
          <cell r="AV126" t="str">
            <v>1980/10/01-ATP 7</v>
          </cell>
          <cell r="AW126" t="str">
            <v>EXCLUSIVELY</v>
          </cell>
        </row>
        <row r="127">
          <cell r="B127" t="str">
            <v>HAMMEL</v>
          </cell>
          <cell r="C127" t="str">
            <v>NY005010750</v>
          </cell>
          <cell r="D127">
            <v>75</v>
          </cell>
          <cell r="E127">
            <v>75</v>
          </cell>
          <cell r="F127">
            <v>226</v>
          </cell>
          <cell r="G127">
            <v>226</v>
          </cell>
          <cell r="H127" t="str">
            <v>NY005027</v>
          </cell>
          <cell r="I127" t="str">
            <v>FEDERAL</v>
          </cell>
          <cell r="J127" t="str">
            <v>CONVENTIONAL</v>
          </cell>
          <cell r="K127" t="str">
            <v>NEW CONST</v>
          </cell>
          <cell r="M127">
            <v>710</v>
          </cell>
          <cell r="N127">
            <v>712</v>
          </cell>
          <cell r="O127">
            <v>3296</v>
          </cell>
          <cell r="P127">
            <v>4.6399999999999997</v>
          </cell>
          <cell r="R127">
            <v>1790</v>
          </cell>
          <cell r="S127">
            <v>1790</v>
          </cell>
          <cell r="T127">
            <v>212</v>
          </cell>
          <cell r="U127">
            <v>0.30199999999999999</v>
          </cell>
          <cell r="V127">
            <v>14</v>
          </cell>
          <cell r="W127">
            <v>0</v>
          </cell>
          <cell r="X127">
            <v>14</v>
          </cell>
          <cell r="Y127">
            <v>7</v>
          </cell>
          <cell r="Z127">
            <v>616678</v>
          </cell>
          <cell r="AA127">
            <v>14.16</v>
          </cell>
          <cell r="AB127">
            <v>572678</v>
          </cell>
          <cell r="AC127">
            <v>13.15</v>
          </cell>
          <cell r="AD127">
            <v>107706</v>
          </cell>
          <cell r="AE127">
            <v>5991153</v>
          </cell>
          <cell r="AF127">
            <v>0.17469999999999999</v>
          </cell>
          <cell r="AG127">
            <v>126</v>
          </cell>
          <cell r="AH127">
            <v>9618901</v>
          </cell>
          <cell r="AI127">
            <v>2909</v>
          </cell>
          <cell r="AJ127">
            <v>453</v>
          </cell>
          <cell r="AK127" t="str">
            <v>B 86TH ST</v>
          </cell>
          <cell r="AL127" t="str">
            <v>HAMMELS BLVD</v>
          </cell>
          <cell r="AM127" t="str">
            <v>B 81ST ST</v>
          </cell>
          <cell r="AN127" t="str">
            <v>ROCKAWAY BCH BLVD</v>
          </cell>
          <cell r="AO127" t="str">
            <v>QUEENS</v>
          </cell>
          <cell r="AP127">
            <v>14</v>
          </cell>
          <cell r="AQ127">
            <v>5</v>
          </cell>
          <cell r="AR127">
            <v>10</v>
          </cell>
          <cell r="AS127">
            <v>31</v>
          </cell>
          <cell r="AT127">
            <v>31</v>
          </cell>
          <cell r="AU127">
            <v>20199</v>
          </cell>
        </row>
        <row r="128">
          <cell r="B128" t="str">
            <v>HARBORVIEW TERRACE</v>
          </cell>
          <cell r="C128" t="str">
            <v>NY005010220</v>
          </cell>
          <cell r="D128">
            <v>262</v>
          </cell>
          <cell r="E128">
            <v>22</v>
          </cell>
          <cell r="F128">
            <v>377</v>
          </cell>
          <cell r="G128">
            <v>377</v>
          </cell>
          <cell r="H128" t="str">
            <v>NY005168</v>
          </cell>
          <cell r="I128" t="str">
            <v>FEDERAL</v>
          </cell>
          <cell r="J128" t="str">
            <v>TURNKEY</v>
          </cell>
          <cell r="K128" t="str">
            <v>NEW CONST</v>
          </cell>
          <cell r="M128">
            <v>377</v>
          </cell>
          <cell r="N128">
            <v>377</v>
          </cell>
          <cell r="O128">
            <v>1493.5</v>
          </cell>
          <cell r="P128">
            <v>3.96</v>
          </cell>
          <cell r="R128">
            <v>648</v>
          </cell>
          <cell r="S128">
            <v>648</v>
          </cell>
          <cell r="T128">
            <v>241</v>
          </cell>
          <cell r="U128">
            <v>0.65</v>
          </cell>
          <cell r="V128">
            <v>2</v>
          </cell>
          <cell r="W128">
            <v>0</v>
          </cell>
          <cell r="X128">
            <v>2</v>
          </cell>
          <cell r="Y128" t="str">
            <v>14-15</v>
          </cell>
          <cell r="Z128">
            <v>120497</v>
          </cell>
          <cell r="AA128">
            <v>2.77</v>
          </cell>
          <cell r="AB128">
            <v>120497</v>
          </cell>
          <cell r="AC128">
            <v>2.77</v>
          </cell>
          <cell r="AD128">
            <v>22666</v>
          </cell>
          <cell r="AE128">
            <v>3139759</v>
          </cell>
          <cell r="AF128">
            <v>0.18809999999999999</v>
          </cell>
          <cell r="AG128">
            <v>234</v>
          </cell>
          <cell r="AH128">
            <v>16721224</v>
          </cell>
          <cell r="AI128">
            <v>10911</v>
          </cell>
          <cell r="AJ128">
            <v>522</v>
          </cell>
          <cell r="AK128" t="str">
            <v>W 54TH ST</v>
          </cell>
          <cell r="AL128" t="str">
            <v>W 56TH ST</v>
          </cell>
          <cell r="AM128" t="str">
            <v>TENTH AVE</v>
          </cell>
          <cell r="AN128" t="str">
            <v>ELEVENTH AVE</v>
          </cell>
          <cell r="AO128" t="str">
            <v>MANHATTAN</v>
          </cell>
          <cell r="AP128">
            <v>4</v>
          </cell>
          <cell r="AQ128">
            <v>10</v>
          </cell>
          <cell r="AR128" t="str">
            <v>27, 31</v>
          </cell>
          <cell r="AS128">
            <v>67</v>
          </cell>
          <cell r="AT128">
            <v>6</v>
          </cell>
          <cell r="AU128">
            <v>28306</v>
          </cell>
          <cell r="AW128" t="str">
            <v>PARTIALLY</v>
          </cell>
        </row>
        <row r="129">
          <cell r="B129" t="str">
            <v>HARLEM RIVER</v>
          </cell>
          <cell r="C129" t="str">
            <v>NY005010030</v>
          </cell>
          <cell r="D129">
            <v>3</v>
          </cell>
          <cell r="E129">
            <v>3</v>
          </cell>
          <cell r="F129">
            <v>201</v>
          </cell>
          <cell r="G129">
            <v>201</v>
          </cell>
          <cell r="H129" t="str">
            <v>NY005042</v>
          </cell>
          <cell r="I129" t="str">
            <v>FEDERAL</v>
          </cell>
          <cell r="J129" t="str">
            <v>CONVENTIONAL</v>
          </cell>
          <cell r="K129" t="str">
            <v>NEW CONST</v>
          </cell>
          <cell r="M129">
            <v>574</v>
          </cell>
          <cell r="N129">
            <v>577</v>
          </cell>
          <cell r="O129">
            <v>2231</v>
          </cell>
          <cell r="P129">
            <v>3.89</v>
          </cell>
          <cell r="R129">
            <v>1079</v>
          </cell>
          <cell r="S129">
            <v>1079</v>
          </cell>
          <cell r="T129">
            <v>181</v>
          </cell>
          <cell r="U129">
            <v>0.32300000000000001</v>
          </cell>
          <cell r="V129">
            <v>7</v>
          </cell>
          <cell r="W129">
            <v>0</v>
          </cell>
          <cell r="X129">
            <v>47</v>
          </cell>
          <cell r="Y129">
            <v>43560</v>
          </cell>
          <cell r="Z129">
            <v>322075</v>
          </cell>
          <cell r="AA129">
            <v>7.39</v>
          </cell>
          <cell r="AB129">
            <v>313137</v>
          </cell>
          <cell r="AC129">
            <v>7.19</v>
          </cell>
          <cell r="AD129">
            <v>103777</v>
          </cell>
          <cell r="AE129">
            <v>5237933</v>
          </cell>
          <cell r="AF129">
            <v>0.32219999999999999</v>
          </cell>
          <cell r="AG129">
            <v>146</v>
          </cell>
          <cell r="AH129">
            <v>4147782</v>
          </cell>
          <cell r="AI129">
            <v>2103</v>
          </cell>
          <cell r="AJ129">
            <v>548</v>
          </cell>
          <cell r="AK129" t="str">
            <v>MACOMBS PL</v>
          </cell>
          <cell r="AL129" t="str">
            <v>HARLEM RIVER DR</v>
          </cell>
          <cell r="AM129" t="str">
            <v>W 151ST ST</v>
          </cell>
          <cell r="AN129" t="str">
            <v>W 153RD ST</v>
          </cell>
          <cell r="AO129" t="str">
            <v>MANHATTAN</v>
          </cell>
          <cell r="AP129">
            <v>10</v>
          </cell>
          <cell r="AQ129">
            <v>13</v>
          </cell>
          <cell r="AR129">
            <v>30</v>
          </cell>
          <cell r="AS129">
            <v>71</v>
          </cell>
          <cell r="AT129">
            <v>9</v>
          </cell>
          <cell r="AU129">
            <v>13789</v>
          </cell>
        </row>
        <row r="130">
          <cell r="B130" t="str">
            <v>HARLEM RIVER II</v>
          </cell>
          <cell r="C130" t="str">
            <v>NY005010030</v>
          </cell>
          <cell r="D130">
            <v>147</v>
          </cell>
          <cell r="E130">
            <v>3</v>
          </cell>
          <cell r="F130">
            <v>256</v>
          </cell>
          <cell r="G130">
            <v>201</v>
          </cell>
          <cell r="H130" t="str">
            <v>NY005051</v>
          </cell>
          <cell r="I130" t="str">
            <v>FEDERAL</v>
          </cell>
          <cell r="J130" t="str">
            <v>CONVENTIONAL</v>
          </cell>
          <cell r="K130" t="str">
            <v>NEW CONST</v>
          </cell>
          <cell r="M130">
            <v>116</v>
          </cell>
          <cell r="N130">
            <v>116</v>
          </cell>
          <cell r="O130">
            <v>515</v>
          </cell>
          <cell r="P130">
            <v>4.4400000000000004</v>
          </cell>
          <cell r="R130">
            <v>272</v>
          </cell>
          <cell r="S130">
            <v>272</v>
          </cell>
          <cell r="T130">
            <v>40</v>
          </cell>
          <cell r="U130">
            <v>0.36</v>
          </cell>
          <cell r="V130">
            <v>1</v>
          </cell>
          <cell r="W130">
            <v>0</v>
          </cell>
          <cell r="X130">
            <v>1</v>
          </cell>
          <cell r="Y130">
            <v>15</v>
          </cell>
          <cell r="Z130">
            <v>28815</v>
          </cell>
          <cell r="AA130">
            <v>0.66</v>
          </cell>
          <cell r="AB130">
            <v>28815</v>
          </cell>
          <cell r="AC130">
            <v>0.66</v>
          </cell>
          <cell r="AD130">
            <v>7281</v>
          </cell>
          <cell r="AE130">
            <v>981227</v>
          </cell>
          <cell r="AF130">
            <v>0.25269999999999998</v>
          </cell>
          <cell r="AG130">
            <v>412</v>
          </cell>
          <cell r="AH130">
            <v>2605601</v>
          </cell>
          <cell r="AI130">
            <v>5059</v>
          </cell>
          <cell r="AJ130">
            <v>589</v>
          </cell>
          <cell r="AK130" t="str">
            <v>DOUGLASS BLVD</v>
          </cell>
          <cell r="AL130" t="str">
            <v>W 152ND ST</v>
          </cell>
          <cell r="AM130" t="str">
            <v>MACOMBS PL</v>
          </cell>
          <cell r="AN130" t="str">
            <v>W 151ST ST</v>
          </cell>
          <cell r="AO130" t="str">
            <v>MANHATTAN</v>
          </cell>
          <cell r="AP130">
            <v>10</v>
          </cell>
          <cell r="AQ130">
            <v>13</v>
          </cell>
          <cell r="AR130">
            <v>30</v>
          </cell>
          <cell r="AS130">
            <v>71</v>
          </cell>
          <cell r="AT130">
            <v>9</v>
          </cell>
          <cell r="AU130">
            <v>24046</v>
          </cell>
        </row>
        <row r="131">
          <cell r="B131" t="str">
            <v>HARRISON AVENUE REHAB (GROUP A)</v>
          </cell>
          <cell r="C131" t="str">
            <v>NY005013410</v>
          </cell>
          <cell r="D131">
            <v>347</v>
          </cell>
          <cell r="E131">
            <v>341</v>
          </cell>
          <cell r="F131">
            <v>772</v>
          </cell>
          <cell r="G131">
            <v>762</v>
          </cell>
          <cell r="H131" t="str">
            <v>NY005231</v>
          </cell>
          <cell r="I131" t="str">
            <v>FEDERAL</v>
          </cell>
          <cell r="J131" t="str">
            <v>TURNKEY</v>
          </cell>
          <cell r="K131" t="str">
            <v>REHAB</v>
          </cell>
          <cell r="M131">
            <v>34</v>
          </cell>
          <cell r="N131">
            <v>34</v>
          </cell>
          <cell r="O131">
            <v>146</v>
          </cell>
          <cell r="P131">
            <v>4.29</v>
          </cell>
          <cell r="R131">
            <v>75</v>
          </cell>
          <cell r="S131">
            <v>75</v>
          </cell>
          <cell r="T131">
            <v>11</v>
          </cell>
          <cell r="U131">
            <v>0.32400000000000001</v>
          </cell>
          <cell r="V131">
            <v>1</v>
          </cell>
          <cell r="W131">
            <v>0</v>
          </cell>
          <cell r="X131">
            <v>1</v>
          </cell>
          <cell r="Y131">
            <v>5</v>
          </cell>
          <cell r="Z131">
            <v>9167</v>
          </cell>
          <cell r="AA131">
            <v>0.21</v>
          </cell>
          <cell r="AB131">
            <v>9167</v>
          </cell>
          <cell r="AC131">
            <v>0.21</v>
          </cell>
          <cell r="AD131">
            <v>6698</v>
          </cell>
          <cell r="AE131">
            <v>404958</v>
          </cell>
          <cell r="AF131">
            <v>0.73070000000000002</v>
          </cell>
          <cell r="AG131">
            <v>357</v>
          </cell>
          <cell r="AH131">
            <v>2368803</v>
          </cell>
          <cell r="AI131">
            <v>16225</v>
          </cell>
          <cell r="AJ131">
            <v>486</v>
          </cell>
          <cell r="AK131" t="str">
            <v>HARRISON AVE</v>
          </cell>
          <cell r="AL131" t="str">
            <v>W BURNSIDE AVE</v>
          </cell>
          <cell r="AM131" t="str">
            <v>GRAND AVE</v>
          </cell>
          <cell r="AN131" t="str">
            <v>KINGSLAND PL</v>
          </cell>
          <cell r="AO131" t="str">
            <v>BRONX</v>
          </cell>
          <cell r="AP131">
            <v>5</v>
          </cell>
          <cell r="AQ131">
            <v>15</v>
          </cell>
          <cell r="AR131">
            <v>29</v>
          </cell>
          <cell r="AS131">
            <v>86</v>
          </cell>
          <cell r="AT131">
            <v>14</v>
          </cell>
          <cell r="AU131">
            <v>31656</v>
          </cell>
          <cell r="AX131" t="str">
            <v>YES</v>
          </cell>
          <cell r="AY131" t="str">
            <v>YES</v>
          </cell>
        </row>
        <row r="132">
          <cell r="B132" t="str">
            <v>HARRISON AVENUE REHAB (GROUP B)</v>
          </cell>
          <cell r="C132" t="str">
            <v>NY005013410</v>
          </cell>
          <cell r="D132">
            <v>547</v>
          </cell>
          <cell r="E132">
            <v>341</v>
          </cell>
          <cell r="F132">
            <v>773</v>
          </cell>
          <cell r="G132">
            <v>762</v>
          </cell>
          <cell r="H132" t="str">
            <v>NY005287</v>
          </cell>
          <cell r="I132" t="str">
            <v>FEDERAL</v>
          </cell>
          <cell r="J132" t="str">
            <v>TURNKEY</v>
          </cell>
          <cell r="K132" t="str">
            <v>REHAB</v>
          </cell>
          <cell r="M132">
            <v>150</v>
          </cell>
          <cell r="N132">
            <v>150</v>
          </cell>
          <cell r="O132">
            <v>664</v>
          </cell>
          <cell r="P132">
            <v>4.43</v>
          </cell>
          <cell r="R132">
            <v>326</v>
          </cell>
          <cell r="S132">
            <v>326</v>
          </cell>
          <cell r="T132">
            <v>60</v>
          </cell>
          <cell r="U132">
            <v>0.40300000000000002</v>
          </cell>
          <cell r="V132">
            <v>4</v>
          </cell>
          <cell r="W132">
            <v>0</v>
          </cell>
          <cell r="X132">
            <v>4</v>
          </cell>
          <cell r="Y132">
            <v>43591</v>
          </cell>
          <cell r="Z132">
            <v>44753</v>
          </cell>
          <cell r="AA132">
            <v>1.03</v>
          </cell>
          <cell r="AB132">
            <v>44753</v>
          </cell>
          <cell r="AC132">
            <v>1.03</v>
          </cell>
          <cell r="AD132">
            <v>29954</v>
          </cell>
          <cell r="AE132">
            <v>1856310</v>
          </cell>
          <cell r="AF132">
            <v>0.66930000000000001</v>
          </cell>
          <cell r="AG132">
            <v>317</v>
          </cell>
          <cell r="AH132">
            <v>10059298</v>
          </cell>
          <cell r="AI132">
            <v>15150</v>
          </cell>
          <cell r="AJ132">
            <v>517</v>
          </cell>
          <cell r="AK132" t="str">
            <v>UNIVERSITY PL</v>
          </cell>
          <cell r="AL132" t="str">
            <v>W BURNSIDE AVE</v>
          </cell>
          <cell r="AM132" t="str">
            <v>GRAND AVE</v>
          </cell>
          <cell r="AN132" t="str">
            <v>KINGSLAND PL</v>
          </cell>
          <cell r="AO132" t="str">
            <v>BRONX</v>
          </cell>
          <cell r="AP132">
            <v>5</v>
          </cell>
          <cell r="AQ132">
            <v>15</v>
          </cell>
          <cell r="AR132">
            <v>29</v>
          </cell>
          <cell r="AS132">
            <v>86</v>
          </cell>
          <cell r="AT132">
            <v>14</v>
          </cell>
          <cell r="AU132">
            <v>31747</v>
          </cell>
          <cell r="AX132" t="str">
            <v>YES</v>
          </cell>
          <cell r="AY132" t="str">
            <v>YES</v>
          </cell>
        </row>
        <row r="133">
          <cell r="B133" t="str">
            <v>HERNANDEZ</v>
          </cell>
          <cell r="C133" t="str">
            <v>NY005011000</v>
          </cell>
          <cell r="D133">
            <v>184</v>
          </cell>
          <cell r="E133">
            <v>100</v>
          </cell>
          <cell r="F133">
            <v>286</v>
          </cell>
          <cell r="G133">
            <v>237</v>
          </cell>
          <cell r="H133" t="str">
            <v>NY005085</v>
          </cell>
          <cell r="I133" t="str">
            <v>FEDERAL</v>
          </cell>
          <cell r="J133" t="str">
            <v>CONVENTIONAL</v>
          </cell>
          <cell r="K133" t="str">
            <v>NEW CONST</v>
          </cell>
          <cell r="M133">
            <v>149</v>
          </cell>
          <cell r="N133">
            <v>149</v>
          </cell>
          <cell r="O133">
            <v>601.5</v>
          </cell>
          <cell r="P133">
            <v>4.04</v>
          </cell>
          <cell r="R133">
            <v>260</v>
          </cell>
          <cell r="S133">
            <v>260</v>
          </cell>
          <cell r="T133">
            <v>80</v>
          </cell>
          <cell r="U133">
            <v>0.54400000000000004</v>
          </cell>
          <cell r="V133">
            <v>1</v>
          </cell>
          <cell r="W133">
            <v>0</v>
          </cell>
          <cell r="X133">
            <v>1</v>
          </cell>
          <cell r="Y133">
            <v>17</v>
          </cell>
          <cell r="Z133">
            <v>44689</v>
          </cell>
          <cell r="AA133">
            <v>1.03</v>
          </cell>
          <cell r="AB133">
            <v>44689</v>
          </cell>
          <cell r="AC133">
            <v>1.03</v>
          </cell>
          <cell r="AD133">
            <v>13167</v>
          </cell>
          <cell r="AE133">
            <v>1293680</v>
          </cell>
          <cell r="AF133">
            <v>0.29459999999999997</v>
          </cell>
          <cell r="AG133">
            <v>252</v>
          </cell>
          <cell r="AH133">
            <v>3731491</v>
          </cell>
          <cell r="AI133">
            <v>6077</v>
          </cell>
          <cell r="AJ133">
            <v>524</v>
          </cell>
          <cell r="AK133" t="str">
            <v>ALLEN ST</v>
          </cell>
          <cell r="AL133" t="str">
            <v>STANTON ST</v>
          </cell>
          <cell r="AM133" t="str">
            <v>ELDRIDGE ST</v>
          </cell>
          <cell r="AN133" t="str">
            <v>E HOUSTON ST</v>
          </cell>
          <cell r="AO133" t="str">
            <v>MANHATTAN</v>
          </cell>
          <cell r="AP133">
            <v>3</v>
          </cell>
          <cell r="AQ133">
            <v>7</v>
          </cell>
          <cell r="AR133">
            <v>26</v>
          </cell>
          <cell r="AS133">
            <v>65</v>
          </cell>
          <cell r="AT133">
            <v>1</v>
          </cell>
          <cell r="AU133">
            <v>26176</v>
          </cell>
        </row>
        <row r="134">
          <cell r="B134" t="str">
            <v>HIGHBRIDGE GARDENS</v>
          </cell>
          <cell r="C134" t="str">
            <v>NY005000780</v>
          </cell>
          <cell r="D134">
            <v>78</v>
          </cell>
          <cell r="E134">
            <v>78</v>
          </cell>
          <cell r="F134">
            <v>229</v>
          </cell>
          <cell r="G134">
            <v>229</v>
          </cell>
          <cell r="H134" t="str">
            <v>NY005026</v>
          </cell>
          <cell r="I134" t="str">
            <v>FEDERAL</v>
          </cell>
          <cell r="J134" t="str">
            <v>CONVENTIONAL</v>
          </cell>
          <cell r="K134" t="str">
            <v>NEW CONST</v>
          </cell>
          <cell r="M134">
            <v>700</v>
          </cell>
          <cell r="N134">
            <v>700</v>
          </cell>
          <cell r="O134">
            <v>3252</v>
          </cell>
          <cell r="P134">
            <v>4.6500000000000004</v>
          </cell>
          <cell r="R134">
            <v>1601</v>
          </cell>
          <cell r="S134">
            <v>1601</v>
          </cell>
          <cell r="T134">
            <v>256</v>
          </cell>
          <cell r="U134">
            <v>0.372</v>
          </cell>
          <cell r="V134">
            <v>6</v>
          </cell>
          <cell r="W134">
            <v>0</v>
          </cell>
          <cell r="X134">
            <v>6</v>
          </cell>
          <cell r="Y134" t="str">
            <v>13-14</v>
          </cell>
          <cell r="Z134">
            <v>496875</v>
          </cell>
          <cell r="AA134">
            <v>11.41</v>
          </cell>
          <cell r="AB134">
            <v>496875</v>
          </cell>
          <cell r="AC134">
            <v>11.41</v>
          </cell>
          <cell r="AD134">
            <v>55678</v>
          </cell>
          <cell r="AE134">
            <v>5837785</v>
          </cell>
          <cell r="AF134">
            <v>0.1012</v>
          </cell>
          <cell r="AG134">
            <v>140</v>
          </cell>
          <cell r="AH134">
            <v>7547875</v>
          </cell>
          <cell r="AI134">
            <v>2321</v>
          </cell>
          <cell r="AJ134">
            <v>521</v>
          </cell>
          <cell r="AK134" t="str">
            <v>SEDGWICK AVE</v>
          </cell>
          <cell r="AL134" t="str">
            <v>W 167TH ST</v>
          </cell>
          <cell r="AM134" t="str">
            <v>UNIVERSITY AVE</v>
          </cell>
          <cell r="AO134" t="str">
            <v>BRONX</v>
          </cell>
          <cell r="AP134">
            <v>4</v>
          </cell>
          <cell r="AQ134">
            <v>15</v>
          </cell>
          <cell r="AR134">
            <v>29</v>
          </cell>
          <cell r="AS134">
            <v>77</v>
          </cell>
          <cell r="AT134">
            <v>16</v>
          </cell>
          <cell r="AU134">
            <v>19893</v>
          </cell>
        </row>
        <row r="135">
          <cell r="B135" t="str">
            <v>HOE AVENUE-EAST 173RD STREET</v>
          </cell>
          <cell r="C135" t="str">
            <v>NY005015300</v>
          </cell>
          <cell r="D135">
            <v>215</v>
          </cell>
          <cell r="E135">
            <v>530</v>
          </cell>
          <cell r="F135">
            <v>333</v>
          </cell>
          <cell r="G135">
            <v>748</v>
          </cell>
          <cell r="H135" t="str">
            <v>NY005164</v>
          </cell>
          <cell r="I135" t="str">
            <v>FEDERAL</v>
          </cell>
          <cell r="J135" t="str">
            <v>TURNKEY</v>
          </cell>
          <cell r="K135" t="str">
            <v>NEW CONST</v>
          </cell>
          <cell r="M135">
            <v>65</v>
          </cell>
          <cell r="N135">
            <v>65</v>
          </cell>
          <cell r="O135">
            <v>270.5</v>
          </cell>
          <cell r="P135">
            <v>4.16</v>
          </cell>
          <cell r="R135">
            <v>144</v>
          </cell>
          <cell r="S135">
            <v>144</v>
          </cell>
          <cell r="T135">
            <v>22</v>
          </cell>
          <cell r="U135">
            <v>0.34399999999999997</v>
          </cell>
          <cell r="V135">
            <v>1</v>
          </cell>
          <cell r="W135">
            <v>0</v>
          </cell>
          <cell r="X135">
            <v>1</v>
          </cell>
          <cell r="Y135">
            <v>6</v>
          </cell>
          <cell r="Z135">
            <v>22000</v>
          </cell>
          <cell r="AA135">
            <v>0.51</v>
          </cell>
          <cell r="AB135">
            <v>22000</v>
          </cell>
          <cell r="AC135">
            <v>0.51</v>
          </cell>
          <cell r="AD135">
            <v>9242</v>
          </cell>
          <cell r="AE135">
            <v>602580</v>
          </cell>
          <cell r="AF135">
            <v>0.42009999999999997</v>
          </cell>
          <cell r="AG135">
            <v>282</v>
          </cell>
          <cell r="AH135">
            <v>1583566</v>
          </cell>
          <cell r="AI135">
            <v>5801</v>
          </cell>
          <cell r="AJ135">
            <v>505</v>
          </cell>
          <cell r="AK135" t="str">
            <v>HOE AVE</v>
          </cell>
          <cell r="AL135" t="str">
            <v>E 173RD ST</v>
          </cell>
          <cell r="AM135" t="str">
            <v>E 174TH ST</v>
          </cell>
          <cell r="AN135" t="str">
            <v>VYSE AVE</v>
          </cell>
          <cell r="AO135" t="str">
            <v>BRONX</v>
          </cell>
          <cell r="AP135">
            <v>3</v>
          </cell>
          <cell r="AQ135">
            <v>15</v>
          </cell>
          <cell r="AR135">
            <v>32</v>
          </cell>
          <cell r="AS135">
            <v>79</v>
          </cell>
          <cell r="AT135">
            <v>17</v>
          </cell>
          <cell r="AU135">
            <v>25933</v>
          </cell>
          <cell r="AY135" t="str">
            <v>YES</v>
          </cell>
        </row>
        <row r="136">
          <cell r="B136" t="str">
            <v>HOLMES TOWERS</v>
          </cell>
          <cell r="C136" t="str">
            <v>NY005011390</v>
          </cell>
          <cell r="D136">
            <v>159</v>
          </cell>
          <cell r="E136">
            <v>139</v>
          </cell>
          <cell r="F136">
            <v>277</v>
          </cell>
          <cell r="G136">
            <v>253</v>
          </cell>
          <cell r="H136" t="str">
            <v>NY005069</v>
          </cell>
          <cell r="I136" t="str">
            <v>FEDERAL</v>
          </cell>
          <cell r="J136" t="str">
            <v>CONVENTIONAL</v>
          </cell>
          <cell r="K136" t="str">
            <v>NEW CONST</v>
          </cell>
          <cell r="M136">
            <v>536</v>
          </cell>
          <cell r="N136">
            <v>537</v>
          </cell>
          <cell r="O136">
            <v>2070</v>
          </cell>
          <cell r="P136">
            <v>3.86</v>
          </cell>
          <cell r="R136">
            <v>941</v>
          </cell>
          <cell r="S136">
            <v>941</v>
          </cell>
          <cell r="T136">
            <v>257</v>
          </cell>
          <cell r="U136">
            <v>0.48099999999999998</v>
          </cell>
          <cell r="V136">
            <v>2</v>
          </cell>
          <cell r="W136">
            <v>0</v>
          </cell>
          <cell r="X136">
            <v>2</v>
          </cell>
          <cell r="Y136">
            <v>25</v>
          </cell>
          <cell r="Z136">
            <v>122341</v>
          </cell>
          <cell r="AA136">
            <v>2.81</v>
          </cell>
          <cell r="AB136">
            <v>122341</v>
          </cell>
          <cell r="AC136">
            <v>2.81</v>
          </cell>
          <cell r="AD136">
            <v>19872</v>
          </cell>
          <cell r="AE136">
            <v>3893920</v>
          </cell>
          <cell r="AF136">
            <v>0.16239999999999999</v>
          </cell>
          <cell r="AG136">
            <v>335</v>
          </cell>
          <cell r="AH136">
            <v>10435545</v>
          </cell>
          <cell r="AI136">
            <v>4952</v>
          </cell>
          <cell r="AJ136">
            <v>511</v>
          </cell>
          <cell r="AK136" t="str">
            <v>FIRST AVE</v>
          </cell>
          <cell r="AL136" t="str">
            <v>ISAACS HOUSES</v>
          </cell>
          <cell r="AM136" t="str">
            <v>FDR DRIVE</v>
          </cell>
          <cell r="AN136" t="str">
            <v>E 92ND ST</v>
          </cell>
          <cell r="AO136" t="str">
            <v>MANHATTAN</v>
          </cell>
          <cell r="AP136">
            <v>8</v>
          </cell>
          <cell r="AQ136">
            <v>12</v>
          </cell>
          <cell r="AR136">
            <v>28</v>
          </cell>
          <cell r="AS136">
            <v>68</v>
          </cell>
          <cell r="AT136">
            <v>5</v>
          </cell>
          <cell r="AU136">
            <v>25323</v>
          </cell>
        </row>
        <row r="137">
          <cell r="B137" t="str">
            <v>HOPE GARDENS</v>
          </cell>
          <cell r="C137" t="str">
            <v>NY005012470</v>
          </cell>
          <cell r="D137">
            <v>247</v>
          </cell>
          <cell r="E137">
            <v>247</v>
          </cell>
          <cell r="F137">
            <v>546</v>
          </cell>
          <cell r="G137">
            <v>546</v>
          </cell>
          <cell r="H137" t="str">
            <v>NY005218</v>
          </cell>
          <cell r="I137" t="str">
            <v>FEDERAL</v>
          </cell>
          <cell r="J137" t="str">
            <v>CONVENTIONAL</v>
          </cell>
          <cell r="K137" t="str">
            <v>NEW CONST</v>
          </cell>
          <cell r="M137">
            <v>323</v>
          </cell>
          <cell r="N137">
            <v>324</v>
          </cell>
          <cell r="O137">
            <v>1404.5</v>
          </cell>
          <cell r="P137">
            <v>4.3499999999999996</v>
          </cell>
          <cell r="R137">
            <v>696</v>
          </cell>
          <cell r="S137">
            <v>696</v>
          </cell>
          <cell r="T137">
            <v>176</v>
          </cell>
          <cell r="U137">
            <v>0.54700000000000004</v>
          </cell>
          <cell r="V137">
            <v>4</v>
          </cell>
          <cell r="W137">
            <v>1</v>
          </cell>
          <cell r="X137">
            <v>4</v>
          </cell>
          <cell r="Y137">
            <v>43660</v>
          </cell>
          <cell r="Z137">
            <v>202500</v>
          </cell>
          <cell r="AA137">
            <v>4.6500000000000004</v>
          </cell>
          <cell r="AB137">
            <v>202500</v>
          </cell>
          <cell r="AC137">
            <v>4.6500000000000004</v>
          </cell>
          <cell r="AD137">
            <v>41000</v>
          </cell>
          <cell r="AE137">
            <v>351600</v>
          </cell>
          <cell r="AF137">
            <v>0.20250000000000001</v>
          </cell>
          <cell r="AG137">
            <v>150</v>
          </cell>
          <cell r="AH137">
            <v>20632339</v>
          </cell>
          <cell r="AI137">
            <v>14504</v>
          </cell>
          <cell r="AJ137">
            <v>511</v>
          </cell>
          <cell r="AK137" t="str">
            <v>LINDEN ST</v>
          </cell>
          <cell r="AL137" t="str">
            <v>WILSON AVE</v>
          </cell>
          <cell r="AM137" t="str">
            <v>GROVE ST</v>
          </cell>
          <cell r="AO137" t="str">
            <v>BROOKLYN</v>
          </cell>
          <cell r="AP137">
            <v>4</v>
          </cell>
          <cell r="AQ137">
            <v>7</v>
          </cell>
          <cell r="AR137">
            <v>18</v>
          </cell>
          <cell r="AS137">
            <v>53</v>
          </cell>
          <cell r="AT137">
            <v>37</v>
          </cell>
          <cell r="AU137">
            <v>29829</v>
          </cell>
          <cell r="AW137" t="str">
            <v>PARTIALLY</v>
          </cell>
          <cell r="AX137" t="str">
            <v>YES</v>
          </cell>
        </row>
        <row r="138">
          <cell r="B138" t="str">
            <v>HOWARD</v>
          </cell>
          <cell r="C138" t="str">
            <v>NY005000720</v>
          </cell>
          <cell r="D138">
            <v>72</v>
          </cell>
          <cell r="E138">
            <v>72</v>
          </cell>
          <cell r="F138">
            <v>568</v>
          </cell>
          <cell r="G138">
            <v>568</v>
          </cell>
          <cell r="H138" t="str">
            <v>NY005244A</v>
          </cell>
          <cell r="I138" t="str">
            <v>FEDERAL</v>
          </cell>
          <cell r="J138" t="str">
            <v>CONVENTIONAL</v>
          </cell>
          <cell r="K138" t="str">
            <v>NEW CONST</v>
          </cell>
          <cell r="M138">
            <v>813</v>
          </cell>
          <cell r="N138">
            <v>815</v>
          </cell>
          <cell r="O138">
            <v>3699.5</v>
          </cell>
          <cell r="P138">
            <v>4.55</v>
          </cell>
          <cell r="R138">
            <v>1835</v>
          </cell>
          <cell r="S138">
            <v>1835</v>
          </cell>
          <cell r="T138">
            <v>279</v>
          </cell>
          <cell r="U138">
            <v>0.34799999999999998</v>
          </cell>
          <cell r="V138">
            <v>10</v>
          </cell>
          <cell r="W138">
            <v>0</v>
          </cell>
          <cell r="X138">
            <v>16</v>
          </cell>
          <cell r="Y138">
            <v>43659</v>
          </cell>
          <cell r="Z138">
            <v>664735</v>
          </cell>
          <cell r="AA138">
            <v>15.26</v>
          </cell>
          <cell r="AB138">
            <v>621176</v>
          </cell>
          <cell r="AC138">
            <v>14.26</v>
          </cell>
          <cell r="AD138">
            <v>87500</v>
          </cell>
          <cell r="AE138">
            <v>6943700</v>
          </cell>
          <cell r="AF138">
            <v>0.13159999999999999</v>
          </cell>
          <cell r="AG138">
            <v>120</v>
          </cell>
          <cell r="AH138">
            <v>11359000</v>
          </cell>
          <cell r="AI138">
            <v>3079</v>
          </cell>
          <cell r="AJ138">
            <v>504</v>
          </cell>
          <cell r="AK138" t="str">
            <v>EAST NEW YORK AVE</v>
          </cell>
          <cell r="AL138" t="str">
            <v>MOTHER GASTON BLVD</v>
          </cell>
          <cell r="AM138" t="str">
            <v>PITKIN AVE</v>
          </cell>
          <cell r="AN138" t="str">
            <v>ROCKAWAY AVE</v>
          </cell>
          <cell r="AO138" t="str">
            <v>BROOKLYN</v>
          </cell>
          <cell r="AP138">
            <v>16</v>
          </cell>
          <cell r="AQ138">
            <v>8</v>
          </cell>
          <cell r="AR138">
            <v>20</v>
          </cell>
          <cell r="AS138">
            <v>55</v>
          </cell>
          <cell r="AT138">
            <v>41</v>
          </cell>
          <cell r="AU138">
            <v>20453</v>
          </cell>
          <cell r="AV138" t="str">
            <v>1979/08/01-ATP 4</v>
          </cell>
        </row>
        <row r="139">
          <cell r="B139" t="str">
            <v>HOWARD AVENUE</v>
          </cell>
          <cell r="C139" t="str">
            <v>NY005013510</v>
          </cell>
          <cell r="D139">
            <v>339</v>
          </cell>
          <cell r="E139">
            <v>351</v>
          </cell>
          <cell r="F139">
            <v>782</v>
          </cell>
          <cell r="G139">
            <v>765</v>
          </cell>
          <cell r="H139" t="str">
            <v>NY005261</v>
          </cell>
          <cell r="I139" t="str">
            <v>FEDERAL</v>
          </cell>
          <cell r="J139" t="str">
            <v>TURNKEY</v>
          </cell>
          <cell r="K139" t="str">
            <v>NEW CONST</v>
          </cell>
          <cell r="M139">
            <v>148</v>
          </cell>
          <cell r="N139">
            <v>150</v>
          </cell>
          <cell r="O139">
            <v>669</v>
          </cell>
          <cell r="P139">
            <v>4.5199999999999996</v>
          </cell>
          <cell r="R139">
            <v>373</v>
          </cell>
          <cell r="S139">
            <v>373</v>
          </cell>
          <cell r="T139">
            <v>39</v>
          </cell>
          <cell r="U139">
            <v>0.26500000000000001</v>
          </cell>
          <cell r="V139">
            <v>5</v>
          </cell>
          <cell r="W139">
            <v>1</v>
          </cell>
          <cell r="X139">
            <v>25</v>
          </cell>
          <cell r="Y139">
            <v>3</v>
          </cell>
          <cell r="Z139">
            <v>132915</v>
          </cell>
          <cell r="AA139">
            <v>3.05</v>
          </cell>
          <cell r="AB139">
            <v>132915</v>
          </cell>
          <cell r="AC139">
            <v>3.05</v>
          </cell>
          <cell r="AD139">
            <v>50568</v>
          </cell>
          <cell r="AE139">
            <v>1536736</v>
          </cell>
          <cell r="AF139">
            <v>0.3805</v>
          </cell>
          <cell r="AG139">
            <v>122</v>
          </cell>
          <cell r="AH139">
            <v>11464557</v>
          </cell>
          <cell r="AI139">
            <v>15641</v>
          </cell>
          <cell r="AJ139">
            <v>663</v>
          </cell>
          <cell r="AK139" t="str">
            <v>EAST NEW YORK AVE</v>
          </cell>
          <cell r="AL139" t="str">
            <v>GRAFTON ST</v>
          </cell>
          <cell r="AM139" t="str">
            <v>SUTTER AVE</v>
          </cell>
          <cell r="AN139" t="str">
            <v>TAPSCOTT ST</v>
          </cell>
          <cell r="AO139" t="str">
            <v>BROOKLYN</v>
          </cell>
          <cell r="AP139">
            <v>16</v>
          </cell>
          <cell r="AQ139">
            <v>9</v>
          </cell>
          <cell r="AR139">
            <v>20</v>
          </cell>
          <cell r="AS139">
            <v>55</v>
          </cell>
          <cell r="AT139">
            <v>41</v>
          </cell>
          <cell r="AU139">
            <v>32356</v>
          </cell>
          <cell r="AX139" t="str">
            <v>YES</v>
          </cell>
        </row>
        <row r="140">
          <cell r="B140" t="str">
            <v>HOWARD AVENUE-PARK PLACE</v>
          </cell>
          <cell r="C140" t="str">
            <v>NY005013510</v>
          </cell>
          <cell r="D140">
            <v>365</v>
          </cell>
          <cell r="E140">
            <v>351</v>
          </cell>
          <cell r="F140">
            <v>551</v>
          </cell>
          <cell r="G140">
            <v>551</v>
          </cell>
          <cell r="H140" t="str">
            <v>NY005225</v>
          </cell>
          <cell r="I140" t="str">
            <v>FEDERAL</v>
          </cell>
          <cell r="J140" t="str">
            <v>TURNKEY</v>
          </cell>
          <cell r="K140" t="str">
            <v>NEW CONST</v>
          </cell>
          <cell r="M140">
            <v>155</v>
          </cell>
          <cell r="N140">
            <v>156</v>
          </cell>
          <cell r="O140">
            <v>776.5</v>
          </cell>
          <cell r="P140">
            <v>5.01</v>
          </cell>
          <cell r="R140">
            <v>449</v>
          </cell>
          <cell r="S140">
            <v>449</v>
          </cell>
          <cell r="T140">
            <v>28</v>
          </cell>
          <cell r="U140">
            <v>0.182</v>
          </cell>
          <cell r="V140">
            <v>8</v>
          </cell>
          <cell r="W140">
            <v>0</v>
          </cell>
          <cell r="X140">
            <v>159</v>
          </cell>
          <cell r="Y140">
            <v>3</v>
          </cell>
          <cell r="Z140">
            <v>197563</v>
          </cell>
          <cell r="AA140">
            <v>4.54</v>
          </cell>
          <cell r="AB140">
            <v>197563</v>
          </cell>
          <cell r="AC140">
            <v>4.54</v>
          </cell>
          <cell r="AD140">
            <v>54978</v>
          </cell>
          <cell r="AE140">
            <v>1657275</v>
          </cell>
          <cell r="AF140">
            <v>0.27829999999999999</v>
          </cell>
          <cell r="AG140">
            <v>99</v>
          </cell>
          <cell r="AH140">
            <v>15843706</v>
          </cell>
          <cell r="AI140">
            <v>20286</v>
          </cell>
          <cell r="AJ140">
            <v>700</v>
          </cell>
          <cell r="AK140" t="str">
            <v>HOWARD AVE</v>
          </cell>
          <cell r="AL140" t="str">
            <v>STERLING PL</v>
          </cell>
          <cell r="AM140" t="str">
            <v>EASTERN PKWY</v>
          </cell>
          <cell r="AN140" t="str">
            <v>SAINT JOHNS PL</v>
          </cell>
          <cell r="AO140" t="str">
            <v>BROOKLYN</v>
          </cell>
          <cell r="AP140">
            <v>16</v>
          </cell>
          <cell r="AQ140">
            <v>9</v>
          </cell>
          <cell r="AR140" t="str">
            <v>20, 25</v>
          </cell>
          <cell r="AS140">
            <v>55</v>
          </cell>
          <cell r="AT140">
            <v>41</v>
          </cell>
          <cell r="AU140">
            <v>34577</v>
          </cell>
          <cell r="AX140" t="str">
            <v>YES</v>
          </cell>
        </row>
        <row r="141">
          <cell r="B141" t="str">
            <v>HUGHES APARTMENTS</v>
          </cell>
          <cell r="C141" t="str">
            <v>NY005011680</v>
          </cell>
          <cell r="D141">
            <v>168</v>
          </cell>
          <cell r="E141">
            <v>168</v>
          </cell>
          <cell r="F141">
            <v>275</v>
          </cell>
          <cell r="G141">
            <v>275</v>
          </cell>
          <cell r="H141" t="str">
            <v>NY005081</v>
          </cell>
          <cell r="I141" t="str">
            <v>FEDERAL</v>
          </cell>
          <cell r="J141" t="str">
            <v>CONVENTIONAL</v>
          </cell>
          <cell r="K141" t="str">
            <v>NEW CONST</v>
          </cell>
          <cell r="M141">
            <v>509</v>
          </cell>
          <cell r="N141">
            <v>513</v>
          </cell>
          <cell r="O141">
            <v>2421.5</v>
          </cell>
          <cell r="P141">
            <v>4.76</v>
          </cell>
          <cell r="R141">
            <v>1366</v>
          </cell>
          <cell r="S141">
            <v>1366</v>
          </cell>
          <cell r="T141">
            <v>135</v>
          </cell>
          <cell r="U141">
            <v>0.26800000000000002</v>
          </cell>
          <cell r="V141">
            <v>3</v>
          </cell>
          <cell r="W141">
            <v>1</v>
          </cell>
          <cell r="X141">
            <v>4</v>
          </cell>
          <cell r="Y141">
            <v>22</v>
          </cell>
          <cell r="Z141">
            <v>241990</v>
          </cell>
          <cell r="AA141">
            <v>5.56</v>
          </cell>
          <cell r="AB141">
            <v>241990</v>
          </cell>
          <cell r="AC141">
            <v>5.56</v>
          </cell>
          <cell r="AD141">
            <v>23502</v>
          </cell>
          <cell r="AE141">
            <v>4599540</v>
          </cell>
          <cell r="AF141">
            <v>9.7100000000000006E-2</v>
          </cell>
          <cell r="AG141">
            <v>246</v>
          </cell>
          <cell r="AH141">
            <v>10288064</v>
          </cell>
          <cell r="AI141">
            <v>4201</v>
          </cell>
          <cell r="AJ141">
            <v>585</v>
          </cell>
          <cell r="AK141" t="str">
            <v>ROCKAWAY AVE</v>
          </cell>
          <cell r="AL141" t="str">
            <v>MOTHER GASTON BLVD</v>
          </cell>
          <cell r="AM141" t="str">
            <v>SUTTER AVE</v>
          </cell>
          <cell r="AN141" t="str">
            <v>BELMONT AVE</v>
          </cell>
          <cell r="AO141" t="str">
            <v>BROOKLYN</v>
          </cell>
          <cell r="AP141">
            <v>16</v>
          </cell>
          <cell r="AQ141">
            <v>9</v>
          </cell>
          <cell r="AR141">
            <v>20</v>
          </cell>
          <cell r="AS141">
            <v>55</v>
          </cell>
          <cell r="AT141">
            <v>41</v>
          </cell>
          <cell r="AU141">
            <v>25019</v>
          </cell>
        </row>
        <row r="142">
          <cell r="B142" t="str">
            <v>HUNTS POINT AVENUE REHAB</v>
          </cell>
          <cell r="C142" t="str">
            <v>NY005015300</v>
          </cell>
          <cell r="D142">
            <v>367</v>
          </cell>
          <cell r="E142">
            <v>530</v>
          </cell>
          <cell r="F142">
            <v>806</v>
          </cell>
          <cell r="G142">
            <v>748</v>
          </cell>
          <cell r="H142" t="str">
            <v>NY005299</v>
          </cell>
          <cell r="I142" t="str">
            <v>FEDERAL</v>
          </cell>
          <cell r="J142" t="str">
            <v>TURNKEY</v>
          </cell>
          <cell r="K142" t="str">
            <v>REHAB</v>
          </cell>
          <cell r="M142">
            <v>131</v>
          </cell>
          <cell r="N142">
            <v>131</v>
          </cell>
          <cell r="O142">
            <v>605.5</v>
          </cell>
          <cell r="P142">
            <v>4.62</v>
          </cell>
          <cell r="R142">
            <v>314</v>
          </cell>
          <cell r="S142">
            <v>314</v>
          </cell>
          <cell r="T142">
            <v>35</v>
          </cell>
          <cell r="U142">
            <v>0.27300000000000002</v>
          </cell>
          <cell r="V142">
            <v>13</v>
          </cell>
          <cell r="W142">
            <v>0</v>
          </cell>
          <cell r="X142">
            <v>13</v>
          </cell>
          <cell r="Y142">
            <v>43560</v>
          </cell>
          <cell r="Z142">
            <v>58206</v>
          </cell>
          <cell r="AA142">
            <v>1.34</v>
          </cell>
          <cell r="AB142">
            <v>58206</v>
          </cell>
          <cell r="AC142">
            <v>1.34</v>
          </cell>
          <cell r="AD142">
            <v>35180</v>
          </cell>
          <cell r="AE142">
            <v>1540888</v>
          </cell>
          <cell r="AF142">
            <v>0.60440000000000005</v>
          </cell>
          <cell r="AG142">
            <v>234</v>
          </cell>
          <cell r="AH142">
            <v>13280604</v>
          </cell>
          <cell r="AI142">
            <v>21933</v>
          </cell>
          <cell r="AJ142">
            <v>568</v>
          </cell>
          <cell r="AK142" t="str">
            <v>LAFAYETTE AVE</v>
          </cell>
          <cell r="AL142" t="str">
            <v>HUNTS POINT AVE</v>
          </cell>
          <cell r="AM142" t="str">
            <v>SENECA AVE</v>
          </cell>
          <cell r="AN142" t="str">
            <v>IRVINE ST</v>
          </cell>
          <cell r="AO142" t="str">
            <v>BRONX</v>
          </cell>
          <cell r="AP142">
            <v>2</v>
          </cell>
          <cell r="AQ142">
            <v>15</v>
          </cell>
          <cell r="AR142" t="str">
            <v>32, 34</v>
          </cell>
          <cell r="AS142">
            <v>85</v>
          </cell>
          <cell r="AT142">
            <v>17</v>
          </cell>
          <cell r="AU142">
            <v>33572</v>
          </cell>
          <cell r="AX142" t="str">
            <v>YES</v>
          </cell>
          <cell r="AY142" t="str">
            <v>YES</v>
          </cell>
        </row>
        <row r="143">
          <cell r="B143" t="str">
            <v>HYLAN</v>
          </cell>
          <cell r="C143" t="str">
            <v>NY005010860</v>
          </cell>
          <cell r="D143">
            <v>109</v>
          </cell>
          <cell r="E143">
            <v>86</v>
          </cell>
          <cell r="F143">
            <v>680</v>
          </cell>
          <cell r="G143">
            <v>680</v>
          </cell>
          <cell r="H143" t="str">
            <v>NY005364</v>
          </cell>
          <cell r="I143" t="str">
            <v>FEDERAL</v>
          </cell>
          <cell r="J143" t="str">
            <v>CONVENTIONAL</v>
          </cell>
          <cell r="K143" t="str">
            <v>NEW CONST</v>
          </cell>
          <cell r="M143">
            <v>209</v>
          </cell>
          <cell r="N143">
            <v>209</v>
          </cell>
          <cell r="O143">
            <v>933.5</v>
          </cell>
          <cell r="P143">
            <v>4.47</v>
          </cell>
          <cell r="R143">
            <v>456</v>
          </cell>
          <cell r="S143">
            <v>456</v>
          </cell>
          <cell r="T143">
            <v>82</v>
          </cell>
          <cell r="U143">
            <v>0.39400000000000002</v>
          </cell>
          <cell r="V143">
            <v>1</v>
          </cell>
          <cell r="W143">
            <v>0</v>
          </cell>
          <cell r="X143">
            <v>1</v>
          </cell>
          <cell r="Y143">
            <v>19</v>
          </cell>
          <cell r="Z143">
            <v>77658</v>
          </cell>
          <cell r="AA143">
            <v>1.78</v>
          </cell>
          <cell r="AB143">
            <v>77658</v>
          </cell>
          <cell r="AC143">
            <v>1.78</v>
          </cell>
          <cell r="AD143">
            <v>11403</v>
          </cell>
          <cell r="AE143">
            <v>1878400</v>
          </cell>
          <cell r="AF143">
            <v>0.14680000000000001</v>
          </cell>
          <cell r="AG143">
            <v>256</v>
          </cell>
          <cell r="AH143">
            <v>3945608</v>
          </cell>
          <cell r="AI143">
            <v>4240</v>
          </cell>
          <cell r="AJ143">
            <v>573</v>
          </cell>
          <cell r="AK143" t="str">
            <v>MOORE ST</v>
          </cell>
          <cell r="AL143" t="str">
            <v>HUMBOLDT ST</v>
          </cell>
          <cell r="AM143" t="str">
            <v>SEIGEL ST</v>
          </cell>
          <cell r="AN143" t="str">
            <v>BUSHWICK AVE</v>
          </cell>
          <cell r="AO143" t="str">
            <v>BROOKLYN</v>
          </cell>
          <cell r="AP143">
            <v>1</v>
          </cell>
          <cell r="AQ143">
            <v>7</v>
          </cell>
          <cell r="AR143">
            <v>18</v>
          </cell>
          <cell r="AS143">
            <v>53</v>
          </cell>
          <cell r="AT143">
            <v>34</v>
          </cell>
          <cell r="AU143">
            <v>22097</v>
          </cell>
          <cell r="AV143" t="str">
            <v>1995/07/13-PTA</v>
          </cell>
        </row>
        <row r="144">
          <cell r="B144" t="str">
            <v>INDEPENDENCE</v>
          </cell>
          <cell r="C144" t="str">
            <v>NY005021400</v>
          </cell>
          <cell r="D144">
            <v>140</v>
          </cell>
          <cell r="E144">
            <v>234</v>
          </cell>
          <cell r="F144">
            <v>442</v>
          </cell>
          <cell r="G144">
            <v>442</v>
          </cell>
          <cell r="H144" t="str">
            <v>NY005376</v>
          </cell>
          <cell r="I144" t="str">
            <v>MIXED FINANCE/LLC2</v>
          </cell>
          <cell r="J144" t="str">
            <v>CONVENTIONAL</v>
          </cell>
          <cell r="K144" t="str">
            <v>NEW CONST</v>
          </cell>
          <cell r="L144">
            <v>155</v>
          </cell>
          <cell r="M144">
            <v>741</v>
          </cell>
          <cell r="N144">
            <v>744</v>
          </cell>
          <cell r="O144">
            <v>3333.5</v>
          </cell>
          <cell r="P144">
            <v>4.5</v>
          </cell>
          <cell r="Q144">
            <v>354</v>
          </cell>
          <cell r="R144">
            <v>1360</v>
          </cell>
          <cell r="S144">
            <v>1714</v>
          </cell>
          <cell r="T144">
            <v>326</v>
          </cell>
          <cell r="U144">
            <v>0.44800000000000001</v>
          </cell>
          <cell r="V144">
            <v>6</v>
          </cell>
          <cell r="W144">
            <v>0</v>
          </cell>
          <cell r="X144">
            <v>6</v>
          </cell>
          <cell r="Y144">
            <v>21</v>
          </cell>
          <cell r="Z144">
            <v>232000</v>
          </cell>
          <cell r="AA144">
            <v>5.33</v>
          </cell>
          <cell r="AB144">
            <v>232000</v>
          </cell>
          <cell r="AC144">
            <v>5.33</v>
          </cell>
          <cell r="AD144">
            <v>44685</v>
          </cell>
          <cell r="AE144">
            <v>6457003</v>
          </cell>
          <cell r="AF144">
            <v>0.19259999999999999</v>
          </cell>
          <cell r="AG144">
            <v>322</v>
          </cell>
          <cell r="AH144">
            <v>14543000</v>
          </cell>
          <cell r="AI144">
            <v>4344</v>
          </cell>
          <cell r="AJ144">
            <v>470</v>
          </cell>
          <cell r="AK144" t="str">
            <v>CLYMER ST</v>
          </cell>
          <cell r="AL144" t="str">
            <v>WILSON ST</v>
          </cell>
          <cell r="AM144" t="str">
            <v>WYTHE AVE</v>
          </cell>
          <cell r="AN144" t="str">
            <v>BEDFORD AVE</v>
          </cell>
          <cell r="AO144" t="str">
            <v>BROOKLYN</v>
          </cell>
          <cell r="AP144">
            <v>1</v>
          </cell>
          <cell r="AQ144">
            <v>7</v>
          </cell>
          <cell r="AR144">
            <v>18</v>
          </cell>
          <cell r="AS144">
            <v>50</v>
          </cell>
          <cell r="AT144">
            <v>33</v>
          </cell>
          <cell r="AU144">
            <v>24046</v>
          </cell>
        </row>
        <row r="145">
          <cell r="B145" t="str">
            <v>INGERSOLL</v>
          </cell>
          <cell r="C145" t="str">
            <v>NY005000140</v>
          </cell>
          <cell r="D145">
            <v>14</v>
          </cell>
          <cell r="E145">
            <v>14</v>
          </cell>
          <cell r="F145">
            <v>510</v>
          </cell>
          <cell r="G145">
            <v>510</v>
          </cell>
          <cell r="H145" t="str">
            <v>NY005213B</v>
          </cell>
          <cell r="I145" t="str">
            <v>FEDERAL</v>
          </cell>
          <cell r="J145" t="str">
            <v>CONVENTIONAL</v>
          </cell>
          <cell r="K145" t="str">
            <v>NEW CONST</v>
          </cell>
          <cell r="M145">
            <v>1830</v>
          </cell>
          <cell r="N145">
            <v>1840</v>
          </cell>
          <cell r="O145">
            <v>8698</v>
          </cell>
          <cell r="P145">
            <v>4.75</v>
          </cell>
          <cell r="R145">
            <v>4198</v>
          </cell>
          <cell r="S145">
            <v>4198</v>
          </cell>
          <cell r="T145">
            <v>493</v>
          </cell>
          <cell r="U145">
            <v>0.29199999999999998</v>
          </cell>
          <cell r="V145">
            <v>20</v>
          </cell>
          <cell r="W145">
            <v>1</v>
          </cell>
          <cell r="X145">
            <v>46</v>
          </cell>
          <cell r="Y145">
            <v>43627</v>
          </cell>
          <cell r="Z145">
            <v>884521</v>
          </cell>
          <cell r="AA145">
            <v>20.309999999999999</v>
          </cell>
          <cell r="AB145">
            <v>812641</v>
          </cell>
          <cell r="AC145">
            <v>18.66</v>
          </cell>
          <cell r="AD145">
            <v>175748</v>
          </cell>
          <cell r="AE145">
            <v>10226288</v>
          </cell>
          <cell r="AF145">
            <v>0.1762</v>
          </cell>
          <cell r="AG145">
            <v>207</v>
          </cell>
          <cell r="AH145">
            <v>12236672</v>
          </cell>
          <cell r="AI145">
            <v>1681</v>
          </cell>
          <cell r="AJ145">
            <v>577</v>
          </cell>
          <cell r="AK145" t="str">
            <v>PARK AVE</v>
          </cell>
          <cell r="AL145" t="str">
            <v>SAINT EDWARDS ST</v>
          </cell>
          <cell r="AM145" t="str">
            <v>MYRTLE AVE</v>
          </cell>
          <cell r="AN145" t="str">
            <v>PRINCE ST</v>
          </cell>
          <cell r="AO145" t="str">
            <v>BROOKLYN</v>
          </cell>
          <cell r="AP145">
            <v>2</v>
          </cell>
          <cell r="AQ145">
            <v>8</v>
          </cell>
          <cell r="AR145">
            <v>25</v>
          </cell>
          <cell r="AS145">
            <v>57</v>
          </cell>
          <cell r="AT145">
            <v>35</v>
          </cell>
          <cell r="AU145">
            <v>16126</v>
          </cell>
          <cell r="AV145" t="str">
            <v>1977/07/01-ATP 1</v>
          </cell>
        </row>
        <row r="146">
          <cell r="B146" t="str">
            <v>INTERNATIONAL TOWER</v>
          </cell>
          <cell r="C146" t="str">
            <v>NY005010910</v>
          </cell>
          <cell r="D146">
            <v>316</v>
          </cell>
          <cell r="E146">
            <v>91</v>
          </cell>
          <cell r="F146">
            <v>296</v>
          </cell>
          <cell r="G146">
            <v>296</v>
          </cell>
          <cell r="H146" t="str">
            <v>NY005241</v>
          </cell>
          <cell r="I146" t="str">
            <v>FEDERAL</v>
          </cell>
          <cell r="J146" t="str">
            <v>TURNKEY</v>
          </cell>
          <cell r="K146" t="str">
            <v>NEW CONST (ELD)</v>
          </cell>
          <cell r="M146">
            <v>146</v>
          </cell>
          <cell r="N146">
            <v>159</v>
          </cell>
          <cell r="O146">
            <v>520</v>
          </cell>
          <cell r="P146">
            <v>3.56</v>
          </cell>
          <cell r="R146">
            <v>179</v>
          </cell>
          <cell r="S146">
            <v>179</v>
          </cell>
          <cell r="T146">
            <v>131</v>
          </cell>
          <cell r="U146">
            <v>0.90300000000000002</v>
          </cell>
          <cell r="V146">
            <v>1</v>
          </cell>
          <cell r="W146">
            <v>0</v>
          </cell>
          <cell r="X146">
            <v>1</v>
          </cell>
          <cell r="Y146">
            <v>10</v>
          </cell>
          <cell r="Z146">
            <v>42500</v>
          </cell>
          <cell r="AA146">
            <v>0.98</v>
          </cell>
          <cell r="AB146">
            <v>42500</v>
          </cell>
          <cell r="AC146">
            <v>0.98</v>
          </cell>
          <cell r="AD146">
            <v>12689</v>
          </cell>
          <cell r="AE146">
            <v>1126314</v>
          </cell>
          <cell r="AF146">
            <v>0.29859999999999998</v>
          </cell>
          <cell r="AG146">
            <v>183</v>
          </cell>
          <cell r="AH146">
            <v>10992764</v>
          </cell>
          <cell r="AI146">
            <v>19269</v>
          </cell>
          <cell r="AJ146">
            <v>383</v>
          </cell>
          <cell r="AK146" t="str">
            <v>170TH ST</v>
          </cell>
          <cell r="AL146" t="str">
            <v>90TH AVE</v>
          </cell>
          <cell r="AM146" t="str">
            <v>169TH ST</v>
          </cell>
          <cell r="AN146" t="str">
            <v>JAMAICA AVE</v>
          </cell>
          <cell r="AO146" t="str">
            <v>QUEENS</v>
          </cell>
          <cell r="AP146">
            <v>12</v>
          </cell>
          <cell r="AQ146">
            <v>5</v>
          </cell>
          <cell r="AR146">
            <v>14</v>
          </cell>
          <cell r="AS146">
            <v>29</v>
          </cell>
          <cell r="AT146">
            <v>27</v>
          </cell>
          <cell r="AU146">
            <v>30467</v>
          </cell>
          <cell r="AW146" t="str">
            <v>EXCLUSIVELY</v>
          </cell>
          <cell r="AX146" t="str">
            <v>YES</v>
          </cell>
        </row>
        <row r="147">
          <cell r="B147" t="str">
            <v>ISAACS</v>
          </cell>
          <cell r="C147" t="str">
            <v>NY005011390</v>
          </cell>
          <cell r="D147">
            <v>139</v>
          </cell>
          <cell r="E147">
            <v>139</v>
          </cell>
          <cell r="F147">
            <v>253</v>
          </cell>
          <cell r="G147">
            <v>253</v>
          </cell>
          <cell r="H147" t="str">
            <v>NY005057</v>
          </cell>
          <cell r="I147" t="str">
            <v>FEDERAL</v>
          </cell>
          <cell r="J147" t="str">
            <v>CONVENTIONAL</v>
          </cell>
          <cell r="K147" t="str">
            <v>NEW CONST</v>
          </cell>
          <cell r="M147">
            <v>634</v>
          </cell>
          <cell r="N147">
            <v>636</v>
          </cell>
          <cell r="O147">
            <v>2638</v>
          </cell>
          <cell r="P147">
            <v>4.16</v>
          </cell>
          <cell r="R147">
            <v>1250</v>
          </cell>
          <cell r="S147">
            <v>1250</v>
          </cell>
          <cell r="T147">
            <v>279</v>
          </cell>
          <cell r="U147">
            <v>0.441</v>
          </cell>
          <cell r="V147">
            <v>3</v>
          </cell>
          <cell r="W147">
            <v>1</v>
          </cell>
          <cell r="X147">
            <v>4</v>
          </cell>
          <cell r="Y147">
            <v>24</v>
          </cell>
          <cell r="Z147">
            <v>152173</v>
          </cell>
          <cell r="AA147">
            <v>3.49</v>
          </cell>
          <cell r="AB147">
            <v>152173</v>
          </cell>
          <cell r="AC147">
            <v>3.49</v>
          </cell>
          <cell r="AD147">
            <v>32645</v>
          </cell>
          <cell r="AE147">
            <v>4857894</v>
          </cell>
          <cell r="AF147">
            <v>0.2145</v>
          </cell>
          <cell r="AG147">
            <v>358</v>
          </cell>
          <cell r="AH147">
            <v>13251410</v>
          </cell>
          <cell r="AI147">
            <v>5009</v>
          </cell>
          <cell r="AJ147">
            <v>556</v>
          </cell>
          <cell r="AK147" t="str">
            <v>E 93RD ST</v>
          </cell>
          <cell r="AL147" t="str">
            <v>FIRST AVE</v>
          </cell>
          <cell r="AM147" t="str">
            <v>FDR DRIVE</v>
          </cell>
          <cell r="AO147" t="str">
            <v>MANHATTAN</v>
          </cell>
          <cell r="AP147">
            <v>8</v>
          </cell>
          <cell r="AQ147">
            <v>12</v>
          </cell>
          <cell r="AR147">
            <v>29</v>
          </cell>
          <cell r="AS147">
            <v>68</v>
          </cell>
          <cell r="AT147">
            <v>5</v>
          </cell>
          <cell r="AU147">
            <v>23954</v>
          </cell>
        </row>
        <row r="148">
          <cell r="B148" t="str">
            <v>JACKSON</v>
          </cell>
          <cell r="C148" t="str">
            <v>NY005012670</v>
          </cell>
          <cell r="D148">
            <v>120</v>
          </cell>
          <cell r="E148">
            <v>267</v>
          </cell>
          <cell r="F148">
            <v>243</v>
          </cell>
          <cell r="G148">
            <v>243</v>
          </cell>
          <cell r="H148" t="str">
            <v>NY005043</v>
          </cell>
          <cell r="I148" t="str">
            <v>FEDERAL</v>
          </cell>
          <cell r="J148" t="str">
            <v>CONVENTIONAL</v>
          </cell>
          <cell r="K148" t="str">
            <v>NEW CONST</v>
          </cell>
          <cell r="M148">
            <v>868</v>
          </cell>
          <cell r="N148">
            <v>868</v>
          </cell>
          <cell r="O148">
            <v>4137</v>
          </cell>
          <cell r="P148">
            <v>4.7699999999999996</v>
          </cell>
          <cell r="R148">
            <v>2203</v>
          </cell>
          <cell r="S148">
            <v>2203</v>
          </cell>
          <cell r="T148">
            <v>289</v>
          </cell>
          <cell r="U148">
            <v>0.33800000000000002</v>
          </cell>
          <cell r="V148">
            <v>7</v>
          </cell>
          <cell r="W148">
            <v>1</v>
          </cell>
          <cell r="X148">
            <v>7</v>
          </cell>
          <cell r="Y148">
            <v>16</v>
          </cell>
          <cell r="Z148">
            <v>343403</v>
          </cell>
          <cell r="AA148">
            <v>7.88</v>
          </cell>
          <cell r="AB148">
            <v>343403</v>
          </cell>
          <cell r="AC148">
            <v>7.88</v>
          </cell>
          <cell r="AD148">
            <v>59552</v>
          </cell>
          <cell r="AE148">
            <v>7682714</v>
          </cell>
          <cell r="AF148">
            <v>0.1734</v>
          </cell>
          <cell r="AG148">
            <v>280</v>
          </cell>
          <cell r="AH148">
            <v>14850303</v>
          </cell>
          <cell r="AI148">
            <v>3590</v>
          </cell>
          <cell r="AJ148">
            <v>533</v>
          </cell>
          <cell r="AK148" t="str">
            <v>PARK AVE</v>
          </cell>
          <cell r="AL148" t="str">
            <v>COURTLANDT AVE</v>
          </cell>
          <cell r="AM148" t="str">
            <v>E 158TH ST</v>
          </cell>
          <cell r="AN148" t="str">
            <v>E 156TH ST</v>
          </cell>
          <cell r="AO148" t="str">
            <v>BRONX</v>
          </cell>
          <cell r="AP148">
            <v>1</v>
          </cell>
          <cell r="AQ148">
            <v>15</v>
          </cell>
          <cell r="AR148">
            <v>32</v>
          </cell>
          <cell r="AS148">
            <v>79</v>
          </cell>
          <cell r="AT148">
            <v>17</v>
          </cell>
          <cell r="AU148">
            <v>23223</v>
          </cell>
        </row>
        <row r="149">
          <cell r="B149" t="str">
            <v>JEFFERSON</v>
          </cell>
          <cell r="C149" t="str">
            <v>NY005010640</v>
          </cell>
          <cell r="D149">
            <v>64</v>
          </cell>
          <cell r="E149">
            <v>64</v>
          </cell>
          <cell r="F149">
            <v>219</v>
          </cell>
          <cell r="G149">
            <v>219</v>
          </cell>
          <cell r="H149" t="str">
            <v>NY005016</v>
          </cell>
          <cell r="I149" t="str">
            <v>FEDERAL</v>
          </cell>
          <cell r="J149" t="str">
            <v>CONVENTIONAL</v>
          </cell>
          <cell r="K149" t="str">
            <v>NEW CONST</v>
          </cell>
          <cell r="M149">
            <v>1486</v>
          </cell>
          <cell r="N149">
            <v>1493</v>
          </cell>
          <cell r="O149">
            <v>6945</v>
          </cell>
          <cell r="P149">
            <v>4.67</v>
          </cell>
          <cell r="R149">
            <v>3314</v>
          </cell>
          <cell r="S149">
            <v>3314</v>
          </cell>
          <cell r="T149">
            <v>570</v>
          </cell>
          <cell r="U149">
            <v>0.38700000000000001</v>
          </cell>
          <cell r="V149">
            <v>18</v>
          </cell>
          <cell r="W149">
            <v>1</v>
          </cell>
          <cell r="X149">
            <v>35</v>
          </cell>
          <cell r="Y149">
            <v>41833</v>
          </cell>
          <cell r="Z149">
            <v>757179</v>
          </cell>
          <cell r="AA149">
            <v>17.38</v>
          </cell>
          <cell r="AB149">
            <v>757179</v>
          </cell>
          <cell r="AC149">
            <v>17.38</v>
          </cell>
          <cell r="AD149">
            <v>149778</v>
          </cell>
          <cell r="AE149">
            <v>13032612</v>
          </cell>
          <cell r="AF149">
            <v>0.1978</v>
          </cell>
          <cell r="AG149">
            <v>191</v>
          </cell>
          <cell r="AH149">
            <v>26894981</v>
          </cell>
          <cell r="AI149">
            <v>3854</v>
          </cell>
          <cell r="AJ149">
            <v>565</v>
          </cell>
          <cell r="AK149" t="str">
            <v>E 112TH ST</v>
          </cell>
          <cell r="AL149" t="str">
            <v>THIRD AVE</v>
          </cell>
          <cell r="AM149" t="str">
            <v>E 115TH ST</v>
          </cell>
          <cell r="AN149" t="str">
            <v>FIRST AVE</v>
          </cell>
          <cell r="AO149" t="str">
            <v>MANHATTAN</v>
          </cell>
          <cell r="AP149">
            <v>11</v>
          </cell>
          <cell r="AQ149">
            <v>13</v>
          </cell>
          <cell r="AR149">
            <v>30</v>
          </cell>
          <cell r="AS149">
            <v>68</v>
          </cell>
          <cell r="AT149">
            <v>8</v>
          </cell>
          <cell r="AU149">
            <v>21790</v>
          </cell>
        </row>
        <row r="150">
          <cell r="B150" t="str">
            <v>JOHNSON</v>
          </cell>
          <cell r="C150" t="str">
            <v>NY005000170</v>
          </cell>
          <cell r="D150">
            <v>17</v>
          </cell>
          <cell r="E150">
            <v>17</v>
          </cell>
          <cell r="F150">
            <v>516</v>
          </cell>
          <cell r="G150">
            <v>516</v>
          </cell>
          <cell r="H150" t="str">
            <v>NY005213H</v>
          </cell>
          <cell r="I150" t="str">
            <v>FEDERAL</v>
          </cell>
          <cell r="J150" t="str">
            <v>CONVENTIONAL</v>
          </cell>
          <cell r="K150" t="str">
            <v>NEW CONST</v>
          </cell>
          <cell r="M150">
            <v>1296</v>
          </cell>
          <cell r="N150">
            <v>1310</v>
          </cell>
          <cell r="O150">
            <v>6121</v>
          </cell>
          <cell r="P150">
            <v>4.72</v>
          </cell>
          <cell r="R150">
            <v>3076</v>
          </cell>
          <cell r="S150">
            <v>3076</v>
          </cell>
          <cell r="T150">
            <v>488</v>
          </cell>
          <cell r="U150">
            <v>0.38200000000000001</v>
          </cell>
          <cell r="V150">
            <v>10</v>
          </cell>
          <cell r="W150">
            <v>0</v>
          </cell>
          <cell r="X150">
            <v>17</v>
          </cell>
          <cell r="Y150">
            <v>14</v>
          </cell>
          <cell r="Z150">
            <v>517632</v>
          </cell>
          <cell r="AA150">
            <v>11.88</v>
          </cell>
          <cell r="AB150">
            <v>456630</v>
          </cell>
          <cell r="AC150">
            <v>10.48</v>
          </cell>
          <cell r="AD150">
            <v>97804</v>
          </cell>
          <cell r="AE150">
            <v>10582024</v>
          </cell>
          <cell r="AF150">
            <v>0.18890000000000001</v>
          </cell>
          <cell r="AG150">
            <v>259</v>
          </cell>
          <cell r="AH150">
            <v>14348000</v>
          </cell>
          <cell r="AI150">
            <v>2337</v>
          </cell>
          <cell r="AJ150">
            <v>573</v>
          </cell>
          <cell r="AK150" t="str">
            <v>E 112TH ST</v>
          </cell>
          <cell r="AL150" t="str">
            <v>E 115TH ST</v>
          </cell>
          <cell r="AM150" t="str">
            <v>THIRD AVE</v>
          </cell>
          <cell r="AN150" t="str">
            <v>PARK AVE</v>
          </cell>
          <cell r="AO150" t="str">
            <v>MANHATTAN</v>
          </cell>
          <cell r="AP150">
            <v>11</v>
          </cell>
          <cell r="AQ150">
            <v>13</v>
          </cell>
          <cell r="AR150">
            <v>30</v>
          </cell>
          <cell r="AS150">
            <v>68</v>
          </cell>
          <cell r="AT150">
            <v>8</v>
          </cell>
          <cell r="AU150">
            <v>17894</v>
          </cell>
          <cell r="AV150" t="str">
            <v>1977/07/01-ATP 1</v>
          </cell>
        </row>
        <row r="151">
          <cell r="B151" t="str">
            <v>KING TOWERS</v>
          </cell>
          <cell r="C151" t="str">
            <v>NY005010300</v>
          </cell>
          <cell r="D151">
            <v>30</v>
          </cell>
          <cell r="E151">
            <v>30</v>
          </cell>
          <cell r="F151">
            <v>518</v>
          </cell>
          <cell r="G151">
            <v>518</v>
          </cell>
          <cell r="H151" t="str">
            <v>NY005213J</v>
          </cell>
          <cell r="I151" t="str">
            <v>FEDERAL</v>
          </cell>
          <cell r="J151" t="str">
            <v>CONVENTIONAL</v>
          </cell>
          <cell r="K151" t="str">
            <v>NEW CONST</v>
          </cell>
          <cell r="M151">
            <v>1377</v>
          </cell>
          <cell r="N151">
            <v>1379</v>
          </cell>
          <cell r="O151">
            <v>6342.5</v>
          </cell>
          <cell r="P151">
            <v>4.6100000000000003</v>
          </cell>
          <cell r="R151">
            <v>3013</v>
          </cell>
          <cell r="S151">
            <v>3013</v>
          </cell>
          <cell r="T151">
            <v>511</v>
          </cell>
          <cell r="U151">
            <v>0.375</v>
          </cell>
          <cell r="V151">
            <v>10</v>
          </cell>
          <cell r="W151">
            <v>0</v>
          </cell>
          <cell r="X151">
            <v>10</v>
          </cell>
          <cell r="Y151" t="str">
            <v>13-14</v>
          </cell>
          <cell r="Z151">
            <v>599120</v>
          </cell>
          <cell r="AA151">
            <v>13.75</v>
          </cell>
          <cell r="AB151">
            <v>555560</v>
          </cell>
          <cell r="AC151">
            <v>12.75</v>
          </cell>
          <cell r="AD151">
            <v>98822</v>
          </cell>
          <cell r="AE151">
            <v>11745000</v>
          </cell>
          <cell r="AF151">
            <v>0.16489999999999999</v>
          </cell>
          <cell r="AG151">
            <v>219</v>
          </cell>
          <cell r="AH151">
            <v>19859000</v>
          </cell>
          <cell r="AI151">
            <v>3135</v>
          </cell>
          <cell r="AJ151">
            <v>559</v>
          </cell>
          <cell r="AK151" t="str">
            <v>W 112TH ST</v>
          </cell>
          <cell r="AL151" t="str">
            <v>LENOX AVE</v>
          </cell>
          <cell r="AM151" t="str">
            <v>W 115TH ST</v>
          </cell>
          <cell r="AN151" t="str">
            <v>FIFTH AVE</v>
          </cell>
          <cell r="AO151" t="str">
            <v>MANHATTAN</v>
          </cell>
          <cell r="AP151">
            <v>10</v>
          </cell>
          <cell r="AQ151">
            <v>13</v>
          </cell>
          <cell r="AR151">
            <v>30</v>
          </cell>
          <cell r="AS151">
            <v>68</v>
          </cell>
          <cell r="AT151">
            <v>9</v>
          </cell>
          <cell r="AU151">
            <v>20029</v>
          </cell>
          <cell r="AV151" t="str">
            <v>1977/07/01-ATP 1</v>
          </cell>
        </row>
        <row r="152">
          <cell r="B152" t="str">
            <v>KINGSBOROUGH</v>
          </cell>
          <cell r="C152" t="str">
            <v>NY005010100</v>
          </cell>
          <cell r="D152">
            <v>10</v>
          </cell>
          <cell r="E152">
            <v>10</v>
          </cell>
          <cell r="F152">
            <v>205</v>
          </cell>
          <cell r="G152">
            <v>205</v>
          </cell>
          <cell r="H152" t="str">
            <v>NY005006</v>
          </cell>
          <cell r="I152" t="str">
            <v>FEDERAL</v>
          </cell>
          <cell r="J152" t="str">
            <v>CONVENTIONAL</v>
          </cell>
          <cell r="K152" t="str">
            <v>NEW CONST</v>
          </cell>
          <cell r="M152">
            <v>1154</v>
          </cell>
          <cell r="N152">
            <v>1165</v>
          </cell>
          <cell r="O152">
            <v>4711</v>
          </cell>
          <cell r="P152">
            <v>4.08</v>
          </cell>
          <cell r="R152">
            <v>2408</v>
          </cell>
          <cell r="S152">
            <v>2408</v>
          </cell>
          <cell r="T152">
            <v>409</v>
          </cell>
          <cell r="U152">
            <v>0.36499999999999999</v>
          </cell>
          <cell r="V152">
            <v>16</v>
          </cell>
          <cell r="W152">
            <v>0</v>
          </cell>
          <cell r="X152">
            <v>35</v>
          </cell>
          <cell r="Y152">
            <v>6</v>
          </cell>
          <cell r="Z152">
            <v>695544</v>
          </cell>
          <cell r="AA152">
            <v>15.97</v>
          </cell>
          <cell r="AB152">
            <v>665526</v>
          </cell>
          <cell r="AC152">
            <v>15.28</v>
          </cell>
          <cell r="AD152">
            <v>129189</v>
          </cell>
          <cell r="AE152">
            <v>8037853</v>
          </cell>
          <cell r="AF152">
            <v>0.1857</v>
          </cell>
          <cell r="AG152">
            <v>151</v>
          </cell>
          <cell r="AH152">
            <v>5175100</v>
          </cell>
          <cell r="AI152">
            <v>1107</v>
          </cell>
          <cell r="AJ152">
            <v>504</v>
          </cell>
          <cell r="AK152" t="str">
            <v>RALPH AVE</v>
          </cell>
          <cell r="AL152" t="str">
            <v>PACIFIC ST</v>
          </cell>
          <cell r="AM152" t="str">
            <v>BERGEN ST</v>
          </cell>
          <cell r="AN152" t="str">
            <v>ROCHESTER AVE</v>
          </cell>
          <cell r="AO152" t="str">
            <v>BROOKLYN</v>
          </cell>
          <cell r="AP152" t="str">
            <v>8, 16</v>
          </cell>
          <cell r="AQ152">
            <v>8</v>
          </cell>
          <cell r="AR152">
            <v>25</v>
          </cell>
          <cell r="AS152" t="str">
            <v>55, 56</v>
          </cell>
          <cell r="AT152">
            <v>41</v>
          </cell>
          <cell r="AU152">
            <v>15280</v>
          </cell>
        </row>
        <row r="153">
          <cell r="B153" t="str">
            <v>KINGSBOROUGH EXTENSION</v>
          </cell>
          <cell r="C153" t="str">
            <v>NY005010100</v>
          </cell>
          <cell r="D153">
            <v>161</v>
          </cell>
          <cell r="E153">
            <v>10</v>
          </cell>
          <cell r="F153">
            <v>268</v>
          </cell>
          <cell r="G153">
            <v>205</v>
          </cell>
          <cell r="H153" t="str">
            <v>NY005071</v>
          </cell>
          <cell r="I153" t="str">
            <v>FEDERAL</v>
          </cell>
          <cell r="J153" t="str">
            <v>CONVENTIONAL</v>
          </cell>
          <cell r="K153" t="str">
            <v>NEW CONST (ELD)</v>
          </cell>
          <cell r="M153">
            <v>182</v>
          </cell>
          <cell r="N153">
            <v>184</v>
          </cell>
          <cell r="O153">
            <v>637</v>
          </cell>
          <cell r="P153">
            <v>3.5</v>
          </cell>
          <cell r="R153">
            <v>203</v>
          </cell>
          <cell r="S153">
            <v>203</v>
          </cell>
          <cell r="T153">
            <v>168</v>
          </cell>
          <cell r="U153">
            <v>0.92800000000000005</v>
          </cell>
          <cell r="V153">
            <v>1</v>
          </cell>
          <cell r="W153">
            <v>0</v>
          </cell>
          <cell r="X153">
            <v>1</v>
          </cell>
          <cell r="Y153">
            <v>25</v>
          </cell>
          <cell r="Z153">
            <v>63254</v>
          </cell>
          <cell r="AA153">
            <v>1.45</v>
          </cell>
          <cell r="AB153">
            <v>63254</v>
          </cell>
          <cell r="AC153">
            <v>1.45</v>
          </cell>
          <cell r="AD153">
            <v>7110</v>
          </cell>
          <cell r="AE153">
            <v>1224082</v>
          </cell>
          <cell r="AF153">
            <v>0.1124</v>
          </cell>
          <cell r="AG153">
            <v>140</v>
          </cell>
          <cell r="AH153">
            <v>2986383</v>
          </cell>
          <cell r="AI153">
            <v>4637</v>
          </cell>
          <cell r="AJ153">
            <v>343</v>
          </cell>
          <cell r="AK153" t="str">
            <v>BERGEN ST</v>
          </cell>
          <cell r="AL153" t="str">
            <v>PACIFIC ST</v>
          </cell>
          <cell r="AM153" t="str">
            <v>ROCHESTER AVE</v>
          </cell>
          <cell r="AN153" t="str">
            <v>RALPH AVE</v>
          </cell>
          <cell r="AO153" t="str">
            <v>BROOKLYN</v>
          </cell>
          <cell r="AP153">
            <v>8</v>
          </cell>
          <cell r="AQ153">
            <v>8</v>
          </cell>
          <cell r="AR153">
            <v>25</v>
          </cell>
          <cell r="AS153">
            <v>56</v>
          </cell>
          <cell r="AT153">
            <v>41</v>
          </cell>
          <cell r="AU153">
            <v>24258</v>
          </cell>
          <cell r="AW153" t="str">
            <v>EXCLUSIVELY</v>
          </cell>
        </row>
        <row r="154">
          <cell r="B154" t="str">
            <v>LA GUARDIA</v>
          </cell>
          <cell r="C154" t="str">
            <v>NY005010760</v>
          </cell>
          <cell r="D154">
            <v>76</v>
          </cell>
          <cell r="E154">
            <v>76</v>
          </cell>
          <cell r="F154">
            <v>221</v>
          </cell>
          <cell r="G154">
            <v>221</v>
          </cell>
          <cell r="H154" t="str">
            <v>NY005021</v>
          </cell>
          <cell r="I154" t="str">
            <v>FEDERAL</v>
          </cell>
          <cell r="J154" t="str">
            <v>CONVENTIONAL</v>
          </cell>
          <cell r="K154" t="str">
            <v>NEW CONST</v>
          </cell>
          <cell r="M154">
            <v>1091</v>
          </cell>
          <cell r="N154">
            <v>1094</v>
          </cell>
          <cell r="O154">
            <v>5097.5</v>
          </cell>
          <cell r="P154">
            <v>4.67</v>
          </cell>
          <cell r="R154">
            <v>2458</v>
          </cell>
          <cell r="S154">
            <v>2458</v>
          </cell>
          <cell r="T154">
            <v>488</v>
          </cell>
          <cell r="U154">
            <v>0.45</v>
          </cell>
          <cell r="V154">
            <v>9</v>
          </cell>
          <cell r="W154">
            <v>0</v>
          </cell>
          <cell r="X154">
            <v>9</v>
          </cell>
          <cell r="Y154">
            <v>16</v>
          </cell>
          <cell r="Z154">
            <v>469672</v>
          </cell>
          <cell r="AA154">
            <v>10.78</v>
          </cell>
          <cell r="AB154">
            <v>415455</v>
          </cell>
          <cell r="AC154">
            <v>9.5399999999999991</v>
          </cell>
          <cell r="AD154">
            <v>63621</v>
          </cell>
          <cell r="AE154">
            <v>8909852</v>
          </cell>
          <cell r="AF154">
            <v>0.13550000000000001</v>
          </cell>
          <cell r="AG154">
            <v>228</v>
          </cell>
          <cell r="AH154">
            <v>17157591</v>
          </cell>
          <cell r="AI154">
            <v>3356</v>
          </cell>
          <cell r="AJ154">
            <v>585</v>
          </cell>
          <cell r="AK154" t="str">
            <v>RUTGERS ST</v>
          </cell>
          <cell r="AL154" t="str">
            <v>MADISON ST</v>
          </cell>
          <cell r="AM154" t="str">
            <v>MONTGOMERY ST</v>
          </cell>
          <cell r="AN154" t="str">
            <v>CHERRY ST</v>
          </cell>
          <cell r="AO154" t="str">
            <v>MANHATTAN</v>
          </cell>
          <cell r="AP154">
            <v>3</v>
          </cell>
          <cell r="AQ154">
            <v>7</v>
          </cell>
          <cell r="AR154">
            <v>26</v>
          </cell>
          <cell r="AS154">
            <v>65</v>
          </cell>
          <cell r="AT154">
            <v>1</v>
          </cell>
          <cell r="AU154">
            <v>21040</v>
          </cell>
        </row>
        <row r="155">
          <cell r="B155" t="str">
            <v>LA GUARDIA ADDITION</v>
          </cell>
          <cell r="C155" t="str">
            <v>NY005010760</v>
          </cell>
          <cell r="D155">
            <v>152</v>
          </cell>
          <cell r="E155">
            <v>76</v>
          </cell>
          <cell r="F155">
            <v>262</v>
          </cell>
          <cell r="G155">
            <v>221</v>
          </cell>
          <cell r="H155" t="str">
            <v>NY005061</v>
          </cell>
          <cell r="I155" t="str">
            <v>FEDERAL</v>
          </cell>
          <cell r="J155" t="str">
            <v>CONVENTIONAL</v>
          </cell>
          <cell r="K155" t="str">
            <v>NEW CONST (ELD)</v>
          </cell>
          <cell r="M155">
            <v>149</v>
          </cell>
          <cell r="N155">
            <v>150</v>
          </cell>
          <cell r="O155">
            <v>491.5</v>
          </cell>
          <cell r="P155">
            <v>3.3</v>
          </cell>
          <cell r="R155">
            <v>193</v>
          </cell>
          <cell r="S155">
            <v>193</v>
          </cell>
          <cell r="T155">
            <v>142</v>
          </cell>
          <cell r="U155">
            <v>0.95299999999999996</v>
          </cell>
          <cell r="V155">
            <v>1</v>
          </cell>
          <cell r="W155">
            <v>0</v>
          </cell>
          <cell r="X155">
            <v>1</v>
          </cell>
          <cell r="Y155">
            <v>16</v>
          </cell>
          <cell r="Z155">
            <v>26052</v>
          </cell>
          <cell r="AA155">
            <v>0.6</v>
          </cell>
          <cell r="AB155">
            <v>26052</v>
          </cell>
          <cell r="AC155">
            <v>0.6</v>
          </cell>
          <cell r="AD155">
            <v>5618</v>
          </cell>
          <cell r="AE155">
            <v>914382</v>
          </cell>
          <cell r="AF155">
            <v>0.21560000000000001</v>
          </cell>
          <cell r="AG155">
            <v>322</v>
          </cell>
          <cell r="AH155">
            <v>2876132</v>
          </cell>
          <cell r="AI155">
            <v>5645</v>
          </cell>
          <cell r="AJ155">
            <v>297</v>
          </cell>
          <cell r="AK155" t="str">
            <v>CHERRY ST</v>
          </cell>
          <cell r="AL155" t="str">
            <v>MADISON ST</v>
          </cell>
          <cell r="AM155" t="str">
            <v>RUTGERS ST</v>
          </cell>
          <cell r="AN155" t="str">
            <v>MONTGOMERY ST</v>
          </cell>
          <cell r="AO155" t="str">
            <v>MANHATTAN</v>
          </cell>
          <cell r="AP155">
            <v>3</v>
          </cell>
          <cell r="AQ155">
            <v>7</v>
          </cell>
          <cell r="AR155">
            <v>26</v>
          </cell>
          <cell r="AS155">
            <v>65</v>
          </cell>
          <cell r="AT155">
            <v>1</v>
          </cell>
          <cell r="AU155">
            <v>23985</v>
          </cell>
          <cell r="AW155" t="str">
            <v>EXCLUSIVELY</v>
          </cell>
        </row>
        <row r="156">
          <cell r="B156" t="str">
            <v>LAFAYETTE</v>
          </cell>
          <cell r="C156" t="str">
            <v>NY005001220</v>
          </cell>
          <cell r="D156">
            <v>122</v>
          </cell>
          <cell r="E156">
            <v>122</v>
          </cell>
          <cell r="F156">
            <v>247</v>
          </cell>
          <cell r="G156">
            <v>247</v>
          </cell>
          <cell r="H156" t="str">
            <v>NY005047</v>
          </cell>
          <cell r="I156" t="str">
            <v>FEDERAL</v>
          </cell>
          <cell r="J156" t="str">
            <v>CONVENTIONAL</v>
          </cell>
          <cell r="K156" t="str">
            <v>NEW CONST</v>
          </cell>
          <cell r="M156">
            <v>882</v>
          </cell>
          <cell r="N156">
            <v>882</v>
          </cell>
          <cell r="O156">
            <v>4385</v>
          </cell>
          <cell r="P156">
            <v>4.97</v>
          </cell>
          <cell r="R156">
            <v>2422</v>
          </cell>
          <cell r="S156">
            <v>2422</v>
          </cell>
          <cell r="T156">
            <v>286</v>
          </cell>
          <cell r="U156">
            <v>0.32700000000000001</v>
          </cell>
          <cell r="V156">
            <v>7</v>
          </cell>
          <cell r="W156">
            <v>0</v>
          </cell>
          <cell r="X156">
            <v>7</v>
          </cell>
          <cell r="Y156" t="str">
            <v>13-15-20</v>
          </cell>
          <cell r="Z156">
            <v>334323</v>
          </cell>
          <cell r="AA156">
            <v>7.68</v>
          </cell>
          <cell r="AB156">
            <v>304776</v>
          </cell>
          <cell r="AC156">
            <v>7</v>
          </cell>
          <cell r="AD156">
            <v>58504</v>
          </cell>
          <cell r="AE156">
            <v>8369220</v>
          </cell>
          <cell r="AF156">
            <v>0.17499999999999999</v>
          </cell>
          <cell r="AG156">
            <v>315</v>
          </cell>
          <cell r="AH156">
            <v>14689766</v>
          </cell>
          <cell r="AI156">
            <v>3350</v>
          </cell>
          <cell r="AJ156">
            <v>609</v>
          </cell>
          <cell r="AK156" t="str">
            <v>LAFAYETTE AVE</v>
          </cell>
          <cell r="AL156" t="str">
            <v>CLASSON AVE</v>
          </cell>
          <cell r="AM156" t="str">
            <v>DEKALB AVE</v>
          </cell>
          <cell r="AN156" t="str">
            <v>FRANKLIN AVE</v>
          </cell>
          <cell r="AO156" t="str">
            <v>BROOKLYN</v>
          </cell>
          <cell r="AP156">
            <v>3</v>
          </cell>
          <cell r="AQ156">
            <v>8</v>
          </cell>
          <cell r="AR156">
            <v>25</v>
          </cell>
          <cell r="AS156">
            <v>57</v>
          </cell>
          <cell r="AT156">
            <v>35</v>
          </cell>
          <cell r="AU156">
            <v>22858</v>
          </cell>
        </row>
        <row r="157">
          <cell r="B157" t="str">
            <v>LATIMER GARDENS</v>
          </cell>
          <cell r="C157" t="str">
            <v>NY005011860</v>
          </cell>
          <cell r="D157">
            <v>186</v>
          </cell>
          <cell r="E157">
            <v>186</v>
          </cell>
          <cell r="F157">
            <v>290</v>
          </cell>
          <cell r="G157">
            <v>290</v>
          </cell>
          <cell r="H157" t="str">
            <v>NY005093</v>
          </cell>
          <cell r="I157" t="str">
            <v>FEDERAL</v>
          </cell>
          <cell r="J157" t="str">
            <v>CONVENTIONAL</v>
          </cell>
          <cell r="K157" t="str">
            <v>NEW CONST</v>
          </cell>
          <cell r="M157">
            <v>423</v>
          </cell>
          <cell r="N157">
            <v>423</v>
          </cell>
          <cell r="O157">
            <v>1708.5</v>
          </cell>
          <cell r="P157">
            <v>4.04</v>
          </cell>
          <cell r="R157">
            <v>792</v>
          </cell>
          <cell r="S157">
            <v>792</v>
          </cell>
          <cell r="T157">
            <v>217</v>
          </cell>
          <cell r="U157">
            <v>0.51300000000000001</v>
          </cell>
          <cell r="V157">
            <v>4</v>
          </cell>
          <cell r="W157">
            <v>0</v>
          </cell>
          <cell r="X157">
            <v>4</v>
          </cell>
          <cell r="Y157">
            <v>10</v>
          </cell>
          <cell r="Z157">
            <v>167134</v>
          </cell>
          <cell r="AA157">
            <v>3.84</v>
          </cell>
          <cell r="AB157">
            <v>167134</v>
          </cell>
          <cell r="AC157">
            <v>3.84</v>
          </cell>
          <cell r="AD157">
            <v>40077</v>
          </cell>
          <cell r="AE157">
            <v>3430247</v>
          </cell>
          <cell r="AF157">
            <v>0.23980000000000001</v>
          </cell>
          <cell r="AG157">
            <v>206</v>
          </cell>
          <cell r="AH157">
            <v>9310959</v>
          </cell>
          <cell r="AI157">
            <v>5442</v>
          </cell>
          <cell r="AJ157">
            <v>526</v>
          </cell>
          <cell r="AK157" t="str">
            <v>34TH, 35TH AVES</v>
          </cell>
          <cell r="AL157" t="str">
            <v>LINDEN PL</v>
          </cell>
          <cell r="AM157" t="str">
            <v>LEAVITT ST</v>
          </cell>
          <cell r="AN157" t="str">
            <v>137TH ST</v>
          </cell>
          <cell r="AO157" t="str">
            <v>QUEENS</v>
          </cell>
          <cell r="AP157">
            <v>7</v>
          </cell>
          <cell r="AQ157">
            <v>6</v>
          </cell>
          <cell r="AR157">
            <v>11</v>
          </cell>
          <cell r="AS157">
            <v>40</v>
          </cell>
          <cell r="AT157">
            <v>20</v>
          </cell>
          <cell r="AU157">
            <v>25841</v>
          </cell>
        </row>
        <row r="158">
          <cell r="B158" t="str">
            <v>LAVANBURG HOMES</v>
          </cell>
          <cell r="C158" t="str">
            <v>NY005003100</v>
          </cell>
          <cell r="D158">
            <v>310</v>
          </cell>
          <cell r="E158">
            <v>310</v>
          </cell>
          <cell r="F158">
            <v>578</v>
          </cell>
          <cell r="G158">
            <v>578</v>
          </cell>
          <cell r="H158" t="str">
            <v>NY005248</v>
          </cell>
          <cell r="I158" t="str">
            <v>FEDERAL</v>
          </cell>
          <cell r="J158" t="str">
            <v>CONVENTIONAL</v>
          </cell>
          <cell r="K158" t="str">
            <v>REHAB</v>
          </cell>
          <cell r="M158">
            <v>95</v>
          </cell>
          <cell r="N158">
            <v>104</v>
          </cell>
          <cell r="O158">
            <v>391.5</v>
          </cell>
          <cell r="P158">
            <v>4.12</v>
          </cell>
          <cell r="V158">
            <v>1</v>
          </cell>
          <cell r="X158">
            <v>6</v>
          </cell>
          <cell r="Y158">
            <v>6</v>
          </cell>
          <cell r="Z158">
            <v>23032</v>
          </cell>
          <cell r="AA158">
            <v>0.53</v>
          </cell>
          <cell r="AB158">
            <v>23032</v>
          </cell>
          <cell r="AC158">
            <v>0.53</v>
          </cell>
          <cell r="AD158">
            <v>12882</v>
          </cell>
          <cell r="AE158">
            <v>937200</v>
          </cell>
          <cell r="AF158">
            <v>0.55930000000000002</v>
          </cell>
          <cell r="AH158">
            <v>5742000</v>
          </cell>
          <cell r="AI158">
            <v>12903</v>
          </cell>
          <cell r="AK158" t="str">
            <v>E HOUSTON ST</v>
          </cell>
          <cell r="AL158" t="str">
            <v>BARUCH PL</v>
          </cell>
          <cell r="AM158" t="str">
            <v>A NEW ST</v>
          </cell>
          <cell r="AN158" t="str">
            <v>MANGIN ST</v>
          </cell>
          <cell r="AO158" t="str">
            <v>MANHATTAN</v>
          </cell>
          <cell r="AP158">
            <v>3</v>
          </cell>
          <cell r="AQ158">
            <v>7</v>
          </cell>
          <cell r="AR158">
            <v>26</v>
          </cell>
          <cell r="AS158">
            <v>74</v>
          </cell>
          <cell r="AT158">
            <v>2</v>
          </cell>
          <cell r="AU158">
            <v>30951</v>
          </cell>
        </row>
        <row r="159">
          <cell r="B159" t="str">
            <v>LEAVITT STREET-34TH AVENUE</v>
          </cell>
          <cell r="C159" t="str">
            <v>NY005011860</v>
          </cell>
          <cell r="D159">
            <v>201</v>
          </cell>
          <cell r="E159">
            <v>186</v>
          </cell>
          <cell r="F159">
            <v>386</v>
          </cell>
          <cell r="G159">
            <v>290</v>
          </cell>
          <cell r="H159" t="str">
            <v>NY005191</v>
          </cell>
          <cell r="I159" t="str">
            <v>FEDERAL</v>
          </cell>
          <cell r="J159" t="str">
            <v>TURNKEY</v>
          </cell>
          <cell r="K159" t="str">
            <v>NEW CONST (ELD)</v>
          </cell>
          <cell r="M159">
            <v>83</v>
          </cell>
          <cell r="N159">
            <v>83</v>
          </cell>
          <cell r="O159">
            <v>272.5</v>
          </cell>
          <cell r="P159">
            <v>3.28</v>
          </cell>
          <cell r="R159">
            <v>104</v>
          </cell>
          <cell r="S159">
            <v>104</v>
          </cell>
          <cell r="T159">
            <v>76</v>
          </cell>
          <cell r="U159">
            <v>0.91600000000000004</v>
          </cell>
          <cell r="V159">
            <v>1</v>
          </cell>
          <cell r="W159">
            <v>0</v>
          </cell>
          <cell r="X159">
            <v>1</v>
          </cell>
          <cell r="Y159">
            <v>6</v>
          </cell>
          <cell r="Z159">
            <v>20013</v>
          </cell>
          <cell r="AA159">
            <v>0.46</v>
          </cell>
          <cell r="AB159">
            <v>20013</v>
          </cell>
          <cell r="AC159">
            <v>0.46</v>
          </cell>
          <cell r="AD159">
            <v>8465</v>
          </cell>
          <cell r="AE159">
            <v>571608</v>
          </cell>
          <cell r="AF159">
            <v>0.42299999999999999</v>
          </cell>
          <cell r="AG159">
            <v>226</v>
          </cell>
          <cell r="AH159">
            <v>2606744</v>
          </cell>
          <cell r="AI159">
            <v>9244</v>
          </cell>
          <cell r="AJ159">
            <v>309</v>
          </cell>
          <cell r="AK159" t="str">
            <v>LEAVITT ST</v>
          </cell>
          <cell r="AL159" t="str">
            <v>UNION ST</v>
          </cell>
          <cell r="AM159" t="str">
            <v>34TH AVE</v>
          </cell>
          <cell r="AN159" t="str">
            <v>34TH RD</v>
          </cell>
          <cell r="AO159" t="str">
            <v>QUEENS</v>
          </cell>
          <cell r="AP159">
            <v>7</v>
          </cell>
          <cell r="AQ159">
            <v>6</v>
          </cell>
          <cell r="AR159">
            <v>11</v>
          </cell>
          <cell r="AS159">
            <v>40</v>
          </cell>
          <cell r="AT159">
            <v>20</v>
          </cell>
          <cell r="AU159">
            <v>27333</v>
          </cell>
          <cell r="AW159" t="str">
            <v>EXCLUSIVELY</v>
          </cell>
        </row>
        <row r="160">
          <cell r="B160" t="str">
            <v>LEHMAN VILLAGE</v>
          </cell>
          <cell r="C160" t="str">
            <v>NY005001010</v>
          </cell>
          <cell r="D160">
            <v>101</v>
          </cell>
          <cell r="E160">
            <v>101</v>
          </cell>
          <cell r="F160">
            <v>238</v>
          </cell>
          <cell r="G160">
            <v>238</v>
          </cell>
          <cell r="H160" t="str">
            <v>NY005033</v>
          </cell>
          <cell r="I160" t="str">
            <v>FEDERAL</v>
          </cell>
          <cell r="J160" t="str">
            <v>CONVENTIONAL</v>
          </cell>
          <cell r="K160" t="str">
            <v>NEW CONST</v>
          </cell>
          <cell r="M160">
            <v>617</v>
          </cell>
          <cell r="N160">
            <v>622</v>
          </cell>
          <cell r="O160">
            <v>2893.5</v>
          </cell>
          <cell r="P160">
            <v>4.6900000000000004</v>
          </cell>
          <cell r="R160">
            <v>1477</v>
          </cell>
          <cell r="S160">
            <v>1477</v>
          </cell>
          <cell r="T160">
            <v>237</v>
          </cell>
          <cell r="U160">
            <v>0.38500000000000001</v>
          </cell>
          <cell r="V160">
            <v>4</v>
          </cell>
          <cell r="W160">
            <v>1</v>
          </cell>
          <cell r="X160">
            <v>5</v>
          </cell>
          <cell r="Y160">
            <v>20</v>
          </cell>
          <cell r="Z160">
            <v>177426</v>
          </cell>
          <cell r="AA160">
            <v>4.07</v>
          </cell>
          <cell r="AB160">
            <v>177426</v>
          </cell>
          <cell r="AC160">
            <v>4.07</v>
          </cell>
          <cell r="AD160">
            <v>28904</v>
          </cell>
          <cell r="AE160">
            <v>5367611</v>
          </cell>
          <cell r="AF160">
            <v>0.16289999999999999</v>
          </cell>
          <cell r="AG160">
            <v>363</v>
          </cell>
          <cell r="AH160">
            <v>11549370</v>
          </cell>
          <cell r="AI160">
            <v>3959</v>
          </cell>
          <cell r="AJ160">
            <v>558</v>
          </cell>
          <cell r="AK160" t="str">
            <v>MADISON AVE</v>
          </cell>
          <cell r="AL160" t="str">
            <v>PARK AVE</v>
          </cell>
          <cell r="AM160" t="str">
            <v>E 106TH ST</v>
          </cell>
          <cell r="AN160" t="str">
            <v>E 110TH ST</v>
          </cell>
          <cell r="AO160" t="str">
            <v>MANHATTAN</v>
          </cell>
          <cell r="AP160">
            <v>11</v>
          </cell>
          <cell r="AQ160">
            <v>13</v>
          </cell>
          <cell r="AR160">
            <v>30</v>
          </cell>
          <cell r="AS160">
            <v>68</v>
          </cell>
          <cell r="AT160">
            <v>8</v>
          </cell>
          <cell r="AU160">
            <v>23345</v>
          </cell>
        </row>
        <row r="161">
          <cell r="B161" t="str">
            <v>LENOX ROAD-ROCKAWAY PARKWAY</v>
          </cell>
          <cell r="C161" t="str">
            <v>NY005011670</v>
          </cell>
          <cell r="D161">
            <v>348</v>
          </cell>
          <cell r="E161">
            <v>167</v>
          </cell>
          <cell r="F161">
            <v>763</v>
          </cell>
          <cell r="G161">
            <v>763</v>
          </cell>
          <cell r="H161" t="str">
            <v>NY005292</v>
          </cell>
          <cell r="I161" t="str">
            <v>FEDERAL</v>
          </cell>
          <cell r="J161" t="str">
            <v>TURNKEY</v>
          </cell>
          <cell r="K161" t="str">
            <v>REHAB</v>
          </cell>
          <cell r="M161">
            <v>74</v>
          </cell>
          <cell r="N161">
            <v>74</v>
          </cell>
          <cell r="O161">
            <v>327</v>
          </cell>
          <cell r="P161">
            <v>4.42</v>
          </cell>
          <cell r="R161">
            <v>166</v>
          </cell>
          <cell r="S161">
            <v>166</v>
          </cell>
          <cell r="T161">
            <v>18</v>
          </cell>
          <cell r="U161">
            <v>0.24299999999999999</v>
          </cell>
          <cell r="V161">
            <v>3</v>
          </cell>
          <cell r="W161">
            <v>0</v>
          </cell>
          <cell r="X161">
            <v>3</v>
          </cell>
          <cell r="Y161">
            <v>4</v>
          </cell>
          <cell r="Z161">
            <v>24000</v>
          </cell>
          <cell r="AA161">
            <v>0.55000000000000004</v>
          </cell>
          <cell r="AB161">
            <v>24000</v>
          </cell>
          <cell r="AC161">
            <v>0.55000000000000004</v>
          </cell>
          <cell r="AD161">
            <v>18791</v>
          </cell>
          <cell r="AE161">
            <v>943450</v>
          </cell>
          <cell r="AF161">
            <v>0.78300000000000003</v>
          </cell>
          <cell r="AG161">
            <v>302</v>
          </cell>
          <cell r="AH161">
            <v>4669919</v>
          </cell>
          <cell r="AI161">
            <v>14281</v>
          </cell>
          <cell r="AJ161">
            <v>627</v>
          </cell>
          <cell r="AK161" t="str">
            <v>KINGS HIGHWAY</v>
          </cell>
          <cell r="AL161" t="str">
            <v>E 98TH ST</v>
          </cell>
          <cell r="AM161" t="str">
            <v>WILIMOHR ST</v>
          </cell>
          <cell r="AN161" t="str">
            <v>E 97TH ST</v>
          </cell>
          <cell r="AO161" t="str">
            <v>BROOKLYN</v>
          </cell>
          <cell r="AP161">
            <v>17</v>
          </cell>
          <cell r="AQ161">
            <v>9</v>
          </cell>
          <cell r="AR161">
            <v>20</v>
          </cell>
          <cell r="AS161" t="str">
            <v>55, 58</v>
          </cell>
          <cell r="AT161">
            <v>41</v>
          </cell>
          <cell r="AU161">
            <v>31291</v>
          </cell>
          <cell r="AX161" t="str">
            <v>YES</v>
          </cell>
        </row>
        <row r="162">
          <cell r="B162" t="str">
            <v>LEXINGTON</v>
          </cell>
          <cell r="C162" t="str">
            <v>NY005010620</v>
          </cell>
          <cell r="D162">
            <v>50</v>
          </cell>
          <cell r="E162">
            <v>62</v>
          </cell>
          <cell r="F162">
            <v>374</v>
          </cell>
          <cell r="G162">
            <v>217</v>
          </cell>
          <cell r="H162" t="str">
            <v>NY005183C</v>
          </cell>
          <cell r="I162" t="str">
            <v>FEDERAL</v>
          </cell>
          <cell r="J162" t="str">
            <v>CONVENTIONAL</v>
          </cell>
          <cell r="K162" t="str">
            <v>NEW CONST</v>
          </cell>
          <cell r="M162">
            <v>448</v>
          </cell>
          <cell r="N162">
            <v>448</v>
          </cell>
          <cell r="O162">
            <v>1901</v>
          </cell>
          <cell r="P162">
            <v>4.24</v>
          </cell>
          <cell r="R162">
            <v>817</v>
          </cell>
          <cell r="S162">
            <v>817</v>
          </cell>
          <cell r="T162">
            <v>209</v>
          </cell>
          <cell r="U162">
            <v>0.47099999999999997</v>
          </cell>
          <cell r="V162">
            <v>4</v>
          </cell>
          <cell r="W162">
            <v>0</v>
          </cell>
          <cell r="X162">
            <v>4</v>
          </cell>
          <cell r="Y162">
            <v>14</v>
          </cell>
          <cell r="Z162">
            <v>151467</v>
          </cell>
          <cell r="AA162">
            <v>3.48</v>
          </cell>
          <cell r="AB162">
            <v>151467</v>
          </cell>
          <cell r="AC162">
            <v>3.48</v>
          </cell>
          <cell r="AD162">
            <v>35222</v>
          </cell>
          <cell r="AE162">
            <v>3879000</v>
          </cell>
          <cell r="AF162">
            <v>0.23250000000000001</v>
          </cell>
          <cell r="AG162">
            <v>235</v>
          </cell>
          <cell r="AH162">
            <v>4780152</v>
          </cell>
          <cell r="AI162">
            <v>2515</v>
          </cell>
          <cell r="AJ162">
            <v>548</v>
          </cell>
          <cell r="AK162" t="str">
            <v>E 98TH ST</v>
          </cell>
          <cell r="AL162" t="str">
            <v>THIRD AVE</v>
          </cell>
          <cell r="AM162" t="str">
            <v>E 99TH ST</v>
          </cell>
          <cell r="AN162" t="str">
            <v>PARK AVE</v>
          </cell>
          <cell r="AO162" t="str">
            <v>MANHATTAN</v>
          </cell>
          <cell r="AP162">
            <v>11</v>
          </cell>
          <cell r="AQ162">
            <v>13</v>
          </cell>
          <cell r="AR162">
            <v>30</v>
          </cell>
          <cell r="AS162">
            <v>68</v>
          </cell>
          <cell r="AT162">
            <v>5</v>
          </cell>
          <cell r="AU162">
            <v>18703</v>
          </cell>
          <cell r="AV162" t="str">
            <v>1972/06/29-FED TRAN</v>
          </cell>
        </row>
        <row r="163">
          <cell r="B163" t="str">
            <v>LINCOLN</v>
          </cell>
          <cell r="C163" t="str">
            <v>NY005000200</v>
          </cell>
          <cell r="D163">
            <v>20</v>
          </cell>
          <cell r="E163">
            <v>20</v>
          </cell>
          <cell r="F163">
            <v>513</v>
          </cell>
          <cell r="G163">
            <v>513</v>
          </cell>
          <cell r="H163" t="str">
            <v>NY005213E</v>
          </cell>
          <cell r="I163" t="str">
            <v>FEDERAL</v>
          </cell>
          <cell r="J163" t="str">
            <v>CONVENTIONAL</v>
          </cell>
          <cell r="K163" t="str">
            <v>NEW CONST</v>
          </cell>
          <cell r="M163">
            <v>1280</v>
          </cell>
          <cell r="N163">
            <v>1286</v>
          </cell>
          <cell r="O163">
            <v>6099</v>
          </cell>
          <cell r="P163">
            <v>4.76</v>
          </cell>
          <cell r="R163">
            <v>2986</v>
          </cell>
          <cell r="S163">
            <v>2986</v>
          </cell>
          <cell r="T163">
            <v>429</v>
          </cell>
          <cell r="U163">
            <v>0.33900000000000002</v>
          </cell>
          <cell r="V163">
            <v>14</v>
          </cell>
          <cell r="W163">
            <v>0</v>
          </cell>
          <cell r="X163">
            <v>20</v>
          </cell>
          <cell r="Y163">
            <v>43630</v>
          </cell>
          <cell r="Z163">
            <v>551740</v>
          </cell>
          <cell r="AA163">
            <v>12.67</v>
          </cell>
          <cell r="AB163">
            <v>508561</v>
          </cell>
          <cell r="AC163">
            <v>11.67</v>
          </cell>
          <cell r="AD163">
            <v>106738</v>
          </cell>
          <cell r="AE163">
            <v>10743035</v>
          </cell>
          <cell r="AF163">
            <v>0.19350000000000001</v>
          </cell>
          <cell r="AG163">
            <v>236</v>
          </cell>
          <cell r="AH163">
            <v>14324000</v>
          </cell>
          <cell r="AI163">
            <v>2358</v>
          </cell>
          <cell r="AJ163">
            <v>517</v>
          </cell>
          <cell r="AK163" t="str">
            <v>E 132ND ST</v>
          </cell>
          <cell r="AL163" t="str">
            <v>E 135TH ST</v>
          </cell>
          <cell r="AM163" t="str">
            <v>FIFTH AVE</v>
          </cell>
          <cell r="AN163" t="str">
            <v>PARK AVE</v>
          </cell>
          <cell r="AO163" t="str">
            <v>MANHATTAN</v>
          </cell>
          <cell r="AP163">
            <v>11</v>
          </cell>
          <cell r="AQ163">
            <v>13</v>
          </cell>
          <cell r="AR163">
            <v>30</v>
          </cell>
          <cell r="AS163">
            <v>70</v>
          </cell>
          <cell r="AT163">
            <v>9</v>
          </cell>
          <cell r="AU163">
            <v>17896</v>
          </cell>
          <cell r="AV163" t="str">
            <v>1977/07/01-ATP 1</v>
          </cell>
        </row>
        <row r="164">
          <cell r="B164" t="str">
            <v>LINDEN</v>
          </cell>
          <cell r="C164" t="str">
            <v>NY005020950</v>
          </cell>
          <cell r="D164">
            <v>95</v>
          </cell>
          <cell r="E164">
            <v>95</v>
          </cell>
          <cell r="F164">
            <v>672</v>
          </cell>
          <cell r="G164">
            <v>672</v>
          </cell>
          <cell r="H164" t="str">
            <v>NY005377</v>
          </cell>
          <cell r="I164" t="str">
            <v>MIXED FINANCE/LLC2</v>
          </cell>
          <cell r="J164" t="str">
            <v>CONVENTIONAL</v>
          </cell>
          <cell r="K164" t="str">
            <v>NEW CONST</v>
          </cell>
          <cell r="L164">
            <v>474</v>
          </cell>
          <cell r="M164">
            <v>1586</v>
          </cell>
          <cell r="N164">
            <v>1586</v>
          </cell>
          <cell r="O164">
            <v>7311</v>
          </cell>
          <cell r="P164">
            <v>4.6100000000000003</v>
          </cell>
          <cell r="Q164">
            <v>1298</v>
          </cell>
          <cell r="R164">
            <v>2313</v>
          </cell>
          <cell r="S164">
            <v>3611</v>
          </cell>
          <cell r="T164">
            <v>582</v>
          </cell>
          <cell r="U164">
            <v>0.379</v>
          </cell>
          <cell r="V164">
            <v>19</v>
          </cell>
          <cell r="W164">
            <v>2</v>
          </cell>
          <cell r="X164">
            <v>21</v>
          </cell>
          <cell r="Y164">
            <v>43691</v>
          </cell>
          <cell r="Z164">
            <v>1299426</v>
          </cell>
          <cell r="AA164">
            <v>29.83</v>
          </cell>
          <cell r="AB164">
            <v>1299426</v>
          </cell>
          <cell r="AC164">
            <v>29.83</v>
          </cell>
          <cell r="AD164">
            <v>173020</v>
          </cell>
          <cell r="AE164">
            <v>14333039</v>
          </cell>
          <cell r="AF164">
            <v>0.13059999999999999</v>
          </cell>
          <cell r="AG164">
            <v>121</v>
          </cell>
          <cell r="AH164">
            <v>20230969</v>
          </cell>
          <cell r="AI164">
            <v>2767</v>
          </cell>
          <cell r="AJ164">
            <v>563</v>
          </cell>
          <cell r="AK164" t="str">
            <v>VERMONT ST</v>
          </cell>
          <cell r="AL164" t="str">
            <v>STANLEY AVE</v>
          </cell>
          <cell r="AM164" t="str">
            <v>SCHENCK AVE</v>
          </cell>
          <cell r="AN164" t="str">
            <v>COZINE AVE</v>
          </cell>
          <cell r="AO164" t="str">
            <v>BROOKLYN</v>
          </cell>
          <cell r="AP164">
            <v>5</v>
          </cell>
          <cell r="AQ164">
            <v>8</v>
          </cell>
          <cell r="AR164">
            <v>19</v>
          </cell>
          <cell r="AS164">
            <v>60</v>
          </cell>
          <cell r="AT164">
            <v>42</v>
          </cell>
          <cell r="AU164">
            <v>21383</v>
          </cell>
        </row>
        <row r="165">
          <cell r="B165" t="str">
            <v>LONG ISLAND BAPTIST HOUSES</v>
          </cell>
          <cell r="C165" t="str">
            <v>NY005012610</v>
          </cell>
          <cell r="D165">
            <v>276</v>
          </cell>
          <cell r="E165">
            <v>261</v>
          </cell>
          <cell r="F165">
            <v>502</v>
          </cell>
          <cell r="G165">
            <v>375</v>
          </cell>
          <cell r="H165" t="str">
            <v>NY005201</v>
          </cell>
          <cell r="I165" t="str">
            <v>FEDERAL</v>
          </cell>
          <cell r="J165" t="str">
            <v>CONVENTIONAL</v>
          </cell>
          <cell r="K165" t="str">
            <v>REHAB</v>
          </cell>
          <cell r="M165">
            <v>229</v>
          </cell>
          <cell r="N165">
            <v>232</v>
          </cell>
          <cell r="O165">
            <v>1039.5</v>
          </cell>
          <cell r="P165">
            <v>4.54</v>
          </cell>
          <cell r="R165">
            <v>526</v>
          </cell>
          <cell r="S165">
            <v>526</v>
          </cell>
          <cell r="T165">
            <v>63</v>
          </cell>
          <cell r="U165">
            <v>0.28299999999999997</v>
          </cell>
          <cell r="V165">
            <v>4</v>
          </cell>
          <cell r="W165">
            <v>0</v>
          </cell>
          <cell r="X165">
            <v>4</v>
          </cell>
          <cell r="Y165">
            <v>6</v>
          </cell>
          <cell r="Z165">
            <v>78700</v>
          </cell>
          <cell r="AA165">
            <v>1.81</v>
          </cell>
          <cell r="AB165">
            <v>78700</v>
          </cell>
          <cell r="AC165">
            <v>1.81</v>
          </cell>
          <cell r="AD165">
            <v>37700</v>
          </cell>
          <cell r="AE165">
            <v>2490500</v>
          </cell>
          <cell r="AF165">
            <v>0.47899999999999998</v>
          </cell>
          <cell r="AG165">
            <v>291</v>
          </cell>
          <cell r="AH165">
            <v>11627063</v>
          </cell>
          <cell r="AI165">
            <v>11010</v>
          </cell>
          <cell r="AJ165">
            <v>540</v>
          </cell>
          <cell r="AK165" t="str">
            <v>SUTTER AVE</v>
          </cell>
          <cell r="AL165" t="str">
            <v>SHEFFIELD AVE</v>
          </cell>
          <cell r="AM165" t="str">
            <v>DUMONT AVE</v>
          </cell>
          <cell r="AN165" t="str">
            <v>HINSDALE ST</v>
          </cell>
          <cell r="AO165" t="str">
            <v>BROOKLYN</v>
          </cell>
          <cell r="AP165">
            <v>5</v>
          </cell>
          <cell r="AQ165">
            <v>8</v>
          </cell>
          <cell r="AR165">
            <v>19</v>
          </cell>
          <cell r="AS165">
            <v>60</v>
          </cell>
          <cell r="AT165">
            <v>42</v>
          </cell>
          <cell r="AU165">
            <v>29767</v>
          </cell>
          <cell r="AX165" t="str">
            <v>YES</v>
          </cell>
        </row>
        <row r="166">
          <cell r="B166" t="str">
            <v>LONGFELLOW AVENUE REHAB</v>
          </cell>
          <cell r="C166" t="str">
            <v>NY005015300</v>
          </cell>
          <cell r="D166">
            <v>362</v>
          </cell>
          <cell r="E166">
            <v>530</v>
          </cell>
          <cell r="F166">
            <v>794</v>
          </cell>
          <cell r="G166">
            <v>748</v>
          </cell>
          <cell r="H166" t="str">
            <v>NY005295</v>
          </cell>
          <cell r="I166" t="str">
            <v>FEDERAL</v>
          </cell>
          <cell r="J166" t="str">
            <v>TURNKEY</v>
          </cell>
          <cell r="K166" t="str">
            <v>REHAB</v>
          </cell>
          <cell r="M166">
            <v>75</v>
          </cell>
          <cell r="N166">
            <v>75</v>
          </cell>
          <cell r="O166">
            <v>412.5</v>
          </cell>
          <cell r="P166">
            <v>5.5</v>
          </cell>
          <cell r="R166">
            <v>278</v>
          </cell>
          <cell r="S166">
            <v>278</v>
          </cell>
          <cell r="T166">
            <v>7</v>
          </cell>
          <cell r="U166">
            <v>9.5000000000000001E-2</v>
          </cell>
          <cell r="V166">
            <v>2</v>
          </cell>
          <cell r="W166">
            <v>0</v>
          </cell>
          <cell r="X166">
            <v>2</v>
          </cell>
          <cell r="Y166">
            <v>5</v>
          </cell>
          <cell r="Z166">
            <v>26724</v>
          </cell>
          <cell r="AA166">
            <v>0.61</v>
          </cell>
          <cell r="AB166">
            <v>26724</v>
          </cell>
          <cell r="AC166">
            <v>0.61</v>
          </cell>
          <cell r="AD166">
            <v>16773</v>
          </cell>
          <cell r="AE166">
            <v>1060415</v>
          </cell>
          <cell r="AF166">
            <v>0.62760000000000005</v>
          </cell>
          <cell r="AG166">
            <v>456</v>
          </cell>
          <cell r="AH166">
            <v>7044209</v>
          </cell>
          <cell r="AI166">
            <v>17077</v>
          </cell>
          <cell r="AJ166">
            <v>666</v>
          </cell>
          <cell r="AK166" t="str">
            <v>WESTCHESTER AVE</v>
          </cell>
          <cell r="AL166" t="str">
            <v>WHITLOCK AVE</v>
          </cell>
          <cell r="AM166" t="str">
            <v>E 165TH ST</v>
          </cell>
          <cell r="AN166" t="str">
            <v>BRYANT AVE</v>
          </cell>
          <cell r="AO166" t="str">
            <v>BRONX</v>
          </cell>
          <cell r="AP166">
            <v>2</v>
          </cell>
          <cell r="AQ166">
            <v>15</v>
          </cell>
          <cell r="AR166">
            <v>32</v>
          </cell>
          <cell r="AS166">
            <v>85</v>
          </cell>
          <cell r="AT166">
            <v>17</v>
          </cell>
          <cell r="AU166">
            <v>33177</v>
          </cell>
          <cell r="AX166" t="str">
            <v>YES</v>
          </cell>
          <cell r="AY166" t="str">
            <v>YES</v>
          </cell>
        </row>
        <row r="167">
          <cell r="B167" t="str">
            <v>LOW HOUSES</v>
          </cell>
          <cell r="C167" t="str">
            <v>NY005011690</v>
          </cell>
          <cell r="D167">
            <v>169</v>
          </cell>
          <cell r="E167">
            <v>169</v>
          </cell>
          <cell r="F167">
            <v>276</v>
          </cell>
          <cell r="G167">
            <v>276</v>
          </cell>
          <cell r="H167" t="str">
            <v>NY005082</v>
          </cell>
          <cell r="I167" t="str">
            <v>FEDERAL</v>
          </cell>
          <cell r="J167" t="str">
            <v>CONVENTIONAL</v>
          </cell>
          <cell r="K167" t="str">
            <v>NEW CONST</v>
          </cell>
          <cell r="M167">
            <v>534</v>
          </cell>
          <cell r="N167">
            <v>536</v>
          </cell>
          <cell r="O167">
            <v>2542</v>
          </cell>
          <cell r="P167">
            <v>4.76</v>
          </cell>
          <cell r="R167">
            <v>1358</v>
          </cell>
          <cell r="S167">
            <v>1358</v>
          </cell>
          <cell r="T167">
            <v>156</v>
          </cell>
          <cell r="U167">
            <v>0.29699999999999999</v>
          </cell>
          <cell r="V167">
            <v>4</v>
          </cell>
          <cell r="W167">
            <v>0</v>
          </cell>
          <cell r="X167">
            <v>4</v>
          </cell>
          <cell r="Y167" t="str">
            <v>17-18</v>
          </cell>
          <cell r="Z167">
            <v>256459</v>
          </cell>
          <cell r="AA167">
            <v>5.89</v>
          </cell>
          <cell r="AB167">
            <v>256459</v>
          </cell>
          <cell r="AC167">
            <v>5.89</v>
          </cell>
          <cell r="AD167">
            <v>45163</v>
          </cell>
          <cell r="AE167">
            <v>4802466</v>
          </cell>
          <cell r="AF167">
            <v>0.17610000000000001</v>
          </cell>
          <cell r="AG167">
            <v>231</v>
          </cell>
          <cell r="AH167">
            <v>10312262</v>
          </cell>
          <cell r="AI167">
            <v>4052</v>
          </cell>
          <cell r="AJ167">
            <v>507</v>
          </cell>
          <cell r="AK167" t="str">
            <v>SACKMAN ST</v>
          </cell>
          <cell r="AL167" t="str">
            <v>POWELL ST</v>
          </cell>
          <cell r="AM167" t="str">
            <v>CHRISTOPHER ST</v>
          </cell>
          <cell r="AN167" t="str">
            <v>PITKIN AVE</v>
          </cell>
          <cell r="AO167" t="str">
            <v>BROOKLYN</v>
          </cell>
          <cell r="AP167">
            <v>16</v>
          </cell>
          <cell r="AQ167">
            <v>8</v>
          </cell>
          <cell r="AR167" t="str">
            <v>19, 20</v>
          </cell>
          <cell r="AS167">
            <v>55</v>
          </cell>
          <cell r="AT167">
            <v>41</v>
          </cell>
          <cell r="AU167">
            <v>24837</v>
          </cell>
        </row>
        <row r="168">
          <cell r="B168" t="str">
            <v>LOWER EAST SIDE I INFILL</v>
          </cell>
          <cell r="C168" t="str">
            <v>NY005011000</v>
          </cell>
          <cell r="D168">
            <v>326</v>
          </cell>
          <cell r="E168">
            <v>100</v>
          </cell>
          <cell r="F168">
            <v>784</v>
          </cell>
          <cell r="G168">
            <v>784</v>
          </cell>
          <cell r="H168" t="str">
            <v>NY005259</v>
          </cell>
          <cell r="I168" t="str">
            <v>FEDERAL</v>
          </cell>
          <cell r="J168" t="str">
            <v>TURNKEY</v>
          </cell>
          <cell r="K168" t="str">
            <v>NEW CONST</v>
          </cell>
          <cell r="M168">
            <v>189</v>
          </cell>
          <cell r="N168">
            <v>189</v>
          </cell>
          <cell r="O168">
            <v>777.5</v>
          </cell>
          <cell r="P168">
            <v>4.1100000000000003</v>
          </cell>
          <cell r="R168">
            <v>361</v>
          </cell>
          <cell r="S168">
            <v>361</v>
          </cell>
          <cell r="T168">
            <v>105</v>
          </cell>
          <cell r="U168">
            <v>0.56799999999999995</v>
          </cell>
          <cell r="V168">
            <v>5</v>
          </cell>
          <cell r="W168">
            <v>0</v>
          </cell>
          <cell r="X168">
            <v>15</v>
          </cell>
          <cell r="Y168">
            <v>43564</v>
          </cell>
          <cell r="Z168">
            <v>86078</v>
          </cell>
          <cell r="AA168">
            <v>1.98</v>
          </cell>
          <cell r="AB168">
            <v>86078</v>
          </cell>
          <cell r="AC168">
            <v>1.98</v>
          </cell>
          <cell r="AD168">
            <v>37227</v>
          </cell>
          <cell r="AE168">
            <v>1657278</v>
          </cell>
          <cell r="AF168">
            <v>0.4325</v>
          </cell>
          <cell r="AG168">
            <v>182</v>
          </cell>
          <cell r="AH168">
            <v>14369576</v>
          </cell>
          <cell r="AI168">
            <v>18482</v>
          </cell>
          <cell r="AJ168">
            <v>512</v>
          </cell>
          <cell r="AK168" t="str">
            <v>DELANCEY ST</v>
          </cell>
          <cell r="AL168" t="str">
            <v>RIVINGTON ST</v>
          </cell>
          <cell r="AM168" t="str">
            <v>FORSYTHE ST</v>
          </cell>
          <cell r="AN168" t="str">
            <v>ELDRIDGE ST</v>
          </cell>
          <cell r="AO168" t="str">
            <v>MANHATTAN</v>
          </cell>
          <cell r="AP168">
            <v>3</v>
          </cell>
          <cell r="AQ168">
            <v>7</v>
          </cell>
          <cell r="AR168">
            <v>26</v>
          </cell>
          <cell r="AS168">
            <v>65</v>
          </cell>
          <cell r="AT168">
            <v>1</v>
          </cell>
          <cell r="AU168">
            <v>32295</v>
          </cell>
          <cell r="AW168" t="str">
            <v>PARTIALLY</v>
          </cell>
          <cell r="AX168" t="str">
            <v>YES</v>
          </cell>
        </row>
        <row r="169">
          <cell r="B169" t="str">
            <v>LOWER EAST SIDE II</v>
          </cell>
          <cell r="C169" t="str">
            <v>NY005012920</v>
          </cell>
          <cell r="D169">
            <v>337</v>
          </cell>
          <cell r="E169">
            <v>337</v>
          </cell>
          <cell r="F169">
            <v>783</v>
          </cell>
          <cell r="G169">
            <v>555</v>
          </cell>
          <cell r="H169" t="str">
            <v>NY005262</v>
          </cell>
          <cell r="I169" t="str">
            <v>FEDERAL</v>
          </cell>
          <cell r="J169" t="str">
            <v>TURNKEY</v>
          </cell>
          <cell r="K169" t="str">
            <v>NEW CONST</v>
          </cell>
          <cell r="M169">
            <v>188</v>
          </cell>
          <cell r="N169">
            <v>188</v>
          </cell>
          <cell r="O169">
            <v>848</v>
          </cell>
          <cell r="P169">
            <v>4.51</v>
          </cell>
          <cell r="R169">
            <v>433</v>
          </cell>
          <cell r="S169">
            <v>433</v>
          </cell>
          <cell r="T169">
            <v>74</v>
          </cell>
          <cell r="U169">
            <v>0.4</v>
          </cell>
          <cell r="V169">
            <v>4</v>
          </cell>
          <cell r="W169">
            <v>1</v>
          </cell>
          <cell r="X169">
            <v>32</v>
          </cell>
          <cell r="Y169">
            <v>3</v>
          </cell>
          <cell r="Z169">
            <v>167568</v>
          </cell>
          <cell r="AA169">
            <v>3.85</v>
          </cell>
          <cell r="AB169">
            <v>167568</v>
          </cell>
          <cell r="AC169">
            <v>3.85</v>
          </cell>
          <cell r="AD169">
            <v>59808</v>
          </cell>
          <cell r="AE169">
            <v>1622292</v>
          </cell>
          <cell r="AF169">
            <v>0.3569</v>
          </cell>
          <cell r="AG169">
            <v>112</v>
          </cell>
          <cell r="AH169">
            <v>14709271</v>
          </cell>
          <cell r="AI169">
            <v>17346</v>
          </cell>
          <cell r="AJ169">
            <v>554</v>
          </cell>
          <cell r="AK169" t="str">
            <v>E 4TH &amp; 5TH STS</v>
          </cell>
          <cell r="AL169" t="str">
            <v>E 6TH ST</v>
          </cell>
          <cell r="AM169" t="str">
            <v>AVENUES B &amp; C</v>
          </cell>
          <cell r="AN169" t="str">
            <v>AVENUE D</v>
          </cell>
          <cell r="AO169" t="str">
            <v>MANHATTAN</v>
          </cell>
          <cell r="AP169">
            <v>3</v>
          </cell>
          <cell r="AQ169">
            <v>12</v>
          </cell>
          <cell r="AR169">
            <v>26</v>
          </cell>
          <cell r="AS169">
            <v>74</v>
          </cell>
          <cell r="AT169">
            <v>2</v>
          </cell>
          <cell r="AU169">
            <v>32448</v>
          </cell>
          <cell r="AX169" t="str">
            <v>YES</v>
          </cell>
        </row>
        <row r="170">
          <cell r="B170" t="str">
            <v>LOWER EAST SIDE III</v>
          </cell>
          <cell r="C170" t="str">
            <v>NY005013590</v>
          </cell>
          <cell r="D170">
            <v>364</v>
          </cell>
          <cell r="E170">
            <v>359</v>
          </cell>
          <cell r="F170">
            <v>548</v>
          </cell>
          <cell r="G170">
            <v>840</v>
          </cell>
          <cell r="H170" t="str">
            <v>NY005215</v>
          </cell>
          <cell r="I170" t="str">
            <v>FEDERAL</v>
          </cell>
          <cell r="J170" t="str">
            <v>TURNKEY</v>
          </cell>
          <cell r="K170" t="str">
            <v>NEW CONST</v>
          </cell>
          <cell r="M170">
            <v>56</v>
          </cell>
          <cell r="N170">
            <v>56</v>
          </cell>
          <cell r="O170">
            <v>280</v>
          </cell>
          <cell r="P170">
            <v>5</v>
          </cell>
          <cell r="R170">
            <v>173</v>
          </cell>
          <cell r="S170">
            <v>173</v>
          </cell>
          <cell r="T170">
            <v>15</v>
          </cell>
          <cell r="U170">
            <v>0.26800000000000002</v>
          </cell>
          <cell r="V170">
            <v>2</v>
          </cell>
          <cell r="W170">
            <v>1</v>
          </cell>
          <cell r="X170">
            <v>3</v>
          </cell>
          <cell r="Y170">
            <v>4</v>
          </cell>
          <cell r="Z170">
            <v>42733</v>
          </cell>
          <cell r="AA170">
            <v>0.98</v>
          </cell>
          <cell r="AB170">
            <v>42733</v>
          </cell>
          <cell r="AC170">
            <v>0.98</v>
          </cell>
          <cell r="AD170">
            <v>22801</v>
          </cell>
          <cell r="AE170">
            <v>596573</v>
          </cell>
          <cell r="AF170">
            <v>0.53359999999999996</v>
          </cell>
          <cell r="AG170">
            <v>177</v>
          </cell>
          <cell r="AH170">
            <v>7324340</v>
          </cell>
          <cell r="AI170">
            <v>26158</v>
          </cell>
          <cell r="AJ170">
            <v>705</v>
          </cell>
          <cell r="AK170" t="str">
            <v>E 9TH ST</v>
          </cell>
          <cell r="AL170" t="str">
            <v>AVENUE D</v>
          </cell>
          <cell r="AM170" t="str">
            <v>E 8TH ST</v>
          </cell>
          <cell r="AN170" t="str">
            <v>AVENUE C</v>
          </cell>
          <cell r="AO170" t="str">
            <v>MANHATTAN</v>
          </cell>
          <cell r="AP170">
            <v>3</v>
          </cell>
          <cell r="AQ170">
            <v>12</v>
          </cell>
          <cell r="AR170">
            <v>27</v>
          </cell>
          <cell r="AS170">
            <v>74</v>
          </cell>
          <cell r="AT170">
            <v>2</v>
          </cell>
          <cell r="AU170">
            <v>35550</v>
          </cell>
          <cell r="AX170" t="str">
            <v>YES</v>
          </cell>
          <cell r="AY170" t="str">
            <v>YES</v>
          </cell>
        </row>
        <row r="171">
          <cell r="B171" t="str">
            <v>LOWER EAST SIDE REHAB (GROUP 5)</v>
          </cell>
          <cell r="C171" t="str">
            <v>NY005012920</v>
          </cell>
          <cell r="D171">
            <v>292</v>
          </cell>
          <cell r="E171">
            <v>337</v>
          </cell>
          <cell r="F171">
            <v>555</v>
          </cell>
          <cell r="G171">
            <v>555</v>
          </cell>
          <cell r="H171" t="str">
            <v>NY005233</v>
          </cell>
          <cell r="I171" t="str">
            <v>FEDERAL</v>
          </cell>
          <cell r="J171" t="str">
            <v>TURNKEY</v>
          </cell>
          <cell r="K171" t="str">
            <v>REHAB</v>
          </cell>
          <cell r="M171">
            <v>55</v>
          </cell>
          <cell r="N171">
            <v>55</v>
          </cell>
          <cell r="O171">
            <v>229.5</v>
          </cell>
          <cell r="P171">
            <v>4.17</v>
          </cell>
          <cell r="R171">
            <v>119</v>
          </cell>
          <cell r="S171">
            <v>119</v>
          </cell>
          <cell r="T171">
            <v>17</v>
          </cell>
          <cell r="U171">
            <v>0.309</v>
          </cell>
          <cell r="V171">
            <v>2</v>
          </cell>
          <cell r="W171">
            <v>0</v>
          </cell>
          <cell r="X171">
            <v>2</v>
          </cell>
          <cell r="Y171">
            <v>6</v>
          </cell>
          <cell r="Z171">
            <v>17872</v>
          </cell>
          <cell r="AA171">
            <v>0.41</v>
          </cell>
          <cell r="AB171">
            <v>17872</v>
          </cell>
          <cell r="AC171">
            <v>0.41</v>
          </cell>
          <cell r="AD171">
            <v>10275</v>
          </cell>
          <cell r="AE171">
            <v>490400</v>
          </cell>
          <cell r="AF171">
            <v>0.57489999999999997</v>
          </cell>
          <cell r="AG171">
            <v>290</v>
          </cell>
          <cell r="AH171">
            <v>4322735</v>
          </cell>
          <cell r="AI171">
            <v>18795</v>
          </cell>
          <cell r="AJ171">
            <v>643</v>
          </cell>
          <cell r="AK171" t="str">
            <v>AVENUE C</v>
          </cell>
          <cell r="AL171" t="str">
            <v>E 6TH ST</v>
          </cell>
          <cell r="AM171" t="str">
            <v>E 7TH ST</v>
          </cell>
          <cell r="AO171" t="str">
            <v>MANHATTAN</v>
          </cell>
          <cell r="AP171">
            <v>3</v>
          </cell>
          <cell r="AQ171">
            <v>12</v>
          </cell>
          <cell r="AR171">
            <v>27</v>
          </cell>
          <cell r="AS171">
            <v>74</v>
          </cell>
          <cell r="AT171">
            <v>2</v>
          </cell>
          <cell r="AU171">
            <v>31747</v>
          </cell>
          <cell r="AX171" t="str">
            <v>YES</v>
          </cell>
        </row>
        <row r="172">
          <cell r="B172" t="str">
            <v>MANHATTANVILLE</v>
          </cell>
          <cell r="C172" t="str">
            <v>NY005020810</v>
          </cell>
          <cell r="D172">
            <v>81</v>
          </cell>
          <cell r="E172">
            <v>81</v>
          </cell>
          <cell r="F172">
            <v>429</v>
          </cell>
          <cell r="G172">
            <v>429</v>
          </cell>
          <cell r="H172" t="str">
            <v>NY005378</v>
          </cell>
          <cell r="I172" t="str">
            <v>MIXED FINANCE/LLC1</v>
          </cell>
          <cell r="J172" t="str">
            <v>CONVENTIONAL</v>
          </cell>
          <cell r="K172" t="str">
            <v>NEW CONST</v>
          </cell>
          <cell r="L172">
            <v>204</v>
          </cell>
          <cell r="M172">
            <v>1272</v>
          </cell>
          <cell r="N172">
            <v>1272</v>
          </cell>
          <cell r="O172">
            <v>6004</v>
          </cell>
          <cell r="P172">
            <v>4.72</v>
          </cell>
          <cell r="Q172">
            <v>576</v>
          </cell>
          <cell r="R172">
            <v>2405</v>
          </cell>
          <cell r="S172">
            <v>2981</v>
          </cell>
          <cell r="T172">
            <v>494</v>
          </cell>
          <cell r="U172">
            <v>0.39500000000000002</v>
          </cell>
          <cell r="V172">
            <v>6</v>
          </cell>
          <cell r="W172">
            <v>0</v>
          </cell>
          <cell r="X172">
            <v>6</v>
          </cell>
          <cell r="Y172">
            <v>20</v>
          </cell>
          <cell r="Z172">
            <v>538367</v>
          </cell>
          <cell r="AA172">
            <v>12.36</v>
          </cell>
          <cell r="AB172">
            <v>538367</v>
          </cell>
          <cell r="AC172">
            <v>12.36</v>
          </cell>
          <cell r="AD172">
            <v>83754</v>
          </cell>
          <cell r="AE172">
            <v>11967873</v>
          </cell>
          <cell r="AF172">
            <v>0.15559999999999999</v>
          </cell>
          <cell r="AG172">
            <v>241</v>
          </cell>
          <cell r="AH172">
            <v>25774000</v>
          </cell>
          <cell r="AI172">
            <v>4306</v>
          </cell>
          <cell r="AJ172">
            <v>550</v>
          </cell>
          <cell r="AK172" t="str">
            <v>W 133RD ST</v>
          </cell>
          <cell r="AL172" t="str">
            <v>BROADWAY</v>
          </cell>
          <cell r="AM172" t="str">
            <v>AMSTERDAM AVE</v>
          </cell>
          <cell r="AN172" t="str">
            <v>W 129TH ST</v>
          </cell>
          <cell r="AO172" t="str">
            <v>MANHATTAN</v>
          </cell>
          <cell r="AP172">
            <v>9</v>
          </cell>
          <cell r="AQ172">
            <v>13</v>
          </cell>
          <cell r="AR172" t="str">
            <v>30, 31</v>
          </cell>
          <cell r="AS172">
            <v>70</v>
          </cell>
          <cell r="AT172">
            <v>7</v>
          </cell>
          <cell r="AU172">
            <v>22462</v>
          </cell>
        </row>
        <row r="173">
          <cell r="B173" t="str">
            <v>MANHATTANVILLE REHAB (GROUP 2)</v>
          </cell>
          <cell r="C173" t="str">
            <v>NY005010810</v>
          </cell>
          <cell r="D173">
            <v>296</v>
          </cell>
          <cell r="E173">
            <v>81</v>
          </cell>
          <cell r="F173">
            <v>557</v>
          </cell>
          <cell r="G173">
            <v>558</v>
          </cell>
          <cell r="H173" t="str">
            <v>NY005235</v>
          </cell>
          <cell r="I173" t="str">
            <v>FEDERAL</v>
          </cell>
          <cell r="J173" t="str">
            <v>CONVENTIONAL</v>
          </cell>
          <cell r="K173" t="str">
            <v>REHAB</v>
          </cell>
          <cell r="M173">
            <v>46</v>
          </cell>
          <cell r="N173">
            <v>46</v>
          </cell>
          <cell r="O173">
            <v>187</v>
          </cell>
          <cell r="P173">
            <v>4.07</v>
          </cell>
          <cell r="R173">
            <v>87</v>
          </cell>
          <cell r="S173">
            <v>87</v>
          </cell>
          <cell r="T173">
            <v>21</v>
          </cell>
          <cell r="U173">
            <v>0.45700000000000002</v>
          </cell>
          <cell r="V173">
            <v>3</v>
          </cell>
          <cell r="W173">
            <v>0</v>
          </cell>
          <cell r="X173">
            <v>3</v>
          </cell>
          <cell r="Y173">
            <v>43591</v>
          </cell>
          <cell r="Z173">
            <v>11843</v>
          </cell>
          <cell r="AA173">
            <v>0.27</v>
          </cell>
          <cell r="AB173">
            <v>11843</v>
          </cell>
          <cell r="AC173">
            <v>0.27</v>
          </cell>
          <cell r="AD173">
            <v>8099</v>
          </cell>
          <cell r="AE173">
            <v>434570</v>
          </cell>
          <cell r="AF173">
            <v>0.68389999999999995</v>
          </cell>
          <cell r="AG173">
            <v>322</v>
          </cell>
          <cell r="AH173">
            <v>6002000</v>
          </cell>
          <cell r="AI173">
            <v>32096</v>
          </cell>
          <cell r="AJ173">
            <v>599</v>
          </cell>
          <cell r="AK173" t="str">
            <v>BROADWAY</v>
          </cell>
          <cell r="AL173" t="str">
            <v>W 134TH ST</v>
          </cell>
          <cell r="AM173" t="str">
            <v>AMSTERDAM AVE</v>
          </cell>
          <cell r="AN173" t="str">
            <v>W 135TH ST</v>
          </cell>
          <cell r="AO173" t="str">
            <v>MANHATTAN</v>
          </cell>
          <cell r="AP173">
            <v>9</v>
          </cell>
          <cell r="AQ173">
            <v>13</v>
          </cell>
          <cell r="AR173">
            <v>31</v>
          </cell>
          <cell r="AS173">
            <v>70</v>
          </cell>
          <cell r="AT173">
            <v>7</v>
          </cell>
          <cell r="AU173">
            <v>32448</v>
          </cell>
          <cell r="AX173" t="str">
            <v>YES</v>
          </cell>
        </row>
        <row r="174">
          <cell r="B174" t="str">
            <v>MANHATTANVILLE REHAB (GROUP 3)</v>
          </cell>
          <cell r="C174" t="str">
            <v>NY005010810</v>
          </cell>
          <cell r="D174">
            <v>297</v>
          </cell>
          <cell r="E174">
            <v>81</v>
          </cell>
          <cell r="F174">
            <v>558</v>
          </cell>
          <cell r="G174">
            <v>558</v>
          </cell>
          <cell r="H174" t="str">
            <v>NY005236</v>
          </cell>
          <cell r="I174" t="str">
            <v>FEDERAL</v>
          </cell>
          <cell r="J174" t="str">
            <v>CONVENTIONAL</v>
          </cell>
          <cell r="K174" t="str">
            <v>REHAB</v>
          </cell>
          <cell r="M174">
            <v>51</v>
          </cell>
          <cell r="N174">
            <v>51</v>
          </cell>
          <cell r="O174">
            <v>220.5</v>
          </cell>
          <cell r="P174">
            <v>4.32</v>
          </cell>
          <cell r="R174">
            <v>115</v>
          </cell>
          <cell r="S174">
            <v>115</v>
          </cell>
          <cell r="T174">
            <v>17</v>
          </cell>
          <cell r="U174">
            <v>0.33300000000000002</v>
          </cell>
          <cell r="V174">
            <v>2</v>
          </cell>
          <cell r="W174">
            <v>0</v>
          </cell>
          <cell r="X174">
            <v>2</v>
          </cell>
          <cell r="Y174">
            <v>43591</v>
          </cell>
          <cell r="Z174">
            <v>13988</v>
          </cell>
          <cell r="AA174">
            <v>0.32</v>
          </cell>
          <cell r="AB174">
            <v>13988</v>
          </cell>
          <cell r="AC174">
            <v>0.32</v>
          </cell>
          <cell r="AD174">
            <v>9930</v>
          </cell>
          <cell r="AE174">
            <v>547624</v>
          </cell>
          <cell r="AF174">
            <v>0.70989999999999998</v>
          </cell>
          <cell r="AG174">
            <v>359</v>
          </cell>
          <cell r="AH174">
            <v>3652758</v>
          </cell>
          <cell r="AI174">
            <v>16603</v>
          </cell>
          <cell r="AJ174">
            <v>453</v>
          </cell>
          <cell r="AK174" t="str">
            <v>BROADWAY</v>
          </cell>
          <cell r="AL174" t="str">
            <v>W 133RD ST</v>
          </cell>
          <cell r="AM174" t="str">
            <v>AMSTERDAM AVE</v>
          </cell>
          <cell r="AN174" t="str">
            <v>W 134TH ST</v>
          </cell>
          <cell r="AO174" t="str">
            <v>MANHATTAN</v>
          </cell>
          <cell r="AP174">
            <v>9</v>
          </cell>
          <cell r="AQ174">
            <v>13</v>
          </cell>
          <cell r="AR174">
            <v>31</v>
          </cell>
          <cell r="AS174">
            <v>70</v>
          </cell>
          <cell r="AT174">
            <v>7</v>
          </cell>
          <cell r="AU174">
            <v>30589</v>
          </cell>
          <cell r="AX174" t="str">
            <v>YES</v>
          </cell>
        </row>
        <row r="175">
          <cell r="B175" t="str">
            <v>MARBLE HILL</v>
          </cell>
          <cell r="C175" t="str">
            <v>NY005020490</v>
          </cell>
          <cell r="D175">
            <v>49</v>
          </cell>
          <cell r="E175">
            <v>49</v>
          </cell>
          <cell r="F175">
            <v>638</v>
          </cell>
          <cell r="G175">
            <v>638</v>
          </cell>
          <cell r="H175" t="str">
            <v>NY005379</v>
          </cell>
          <cell r="I175" t="str">
            <v>MIXED FINANCE/LLC1</v>
          </cell>
          <cell r="J175" t="str">
            <v>CONVENTIONAL</v>
          </cell>
          <cell r="K175" t="str">
            <v>NEW CONST</v>
          </cell>
          <cell r="L175">
            <v>257</v>
          </cell>
          <cell r="M175">
            <v>1680</v>
          </cell>
          <cell r="N175">
            <v>1682</v>
          </cell>
          <cell r="O175">
            <v>7112</v>
          </cell>
          <cell r="P175">
            <v>4.2300000000000004</v>
          </cell>
          <cell r="Q175">
            <v>548</v>
          </cell>
          <cell r="R175">
            <v>2713</v>
          </cell>
          <cell r="S175">
            <v>3261</v>
          </cell>
          <cell r="T175">
            <v>737</v>
          </cell>
          <cell r="U175">
            <v>0.44500000000000001</v>
          </cell>
          <cell r="V175">
            <v>11</v>
          </cell>
          <cell r="W175">
            <v>1</v>
          </cell>
          <cell r="X175">
            <v>12</v>
          </cell>
          <cell r="Y175" t="str">
            <v>14-15</v>
          </cell>
          <cell r="Z175">
            <v>724809</v>
          </cell>
          <cell r="AA175">
            <v>16.64</v>
          </cell>
          <cell r="AB175">
            <v>652495</v>
          </cell>
          <cell r="AC175">
            <v>14.98</v>
          </cell>
          <cell r="AD175">
            <v>111631</v>
          </cell>
          <cell r="AE175">
            <v>13300359</v>
          </cell>
          <cell r="AF175">
            <v>0.154</v>
          </cell>
          <cell r="AG175">
            <v>196</v>
          </cell>
          <cell r="AH175">
            <v>17882055</v>
          </cell>
          <cell r="AI175">
            <v>2539</v>
          </cell>
          <cell r="AJ175">
            <v>517</v>
          </cell>
          <cell r="AK175" t="str">
            <v>EXTERIOR ST</v>
          </cell>
          <cell r="AL175" t="str">
            <v>W 225TH ST</v>
          </cell>
          <cell r="AM175" t="str">
            <v>BROADWAY</v>
          </cell>
          <cell r="AN175" t="str">
            <v>W 230TH ST</v>
          </cell>
          <cell r="AO175" t="str">
            <v>BRONX</v>
          </cell>
          <cell r="AP175">
            <v>8</v>
          </cell>
          <cell r="AQ175">
            <v>13</v>
          </cell>
          <cell r="AR175" t="str">
            <v>31, 33</v>
          </cell>
          <cell r="AS175" t="str">
            <v>72, 81</v>
          </cell>
          <cell r="AT175" t="str">
            <v>10, 11, 14</v>
          </cell>
          <cell r="AU175">
            <v>19059</v>
          </cell>
        </row>
        <row r="176">
          <cell r="B176" t="str">
            <v>MARCY</v>
          </cell>
          <cell r="C176" t="str">
            <v>NY005000210</v>
          </cell>
          <cell r="D176">
            <v>21</v>
          </cell>
          <cell r="E176">
            <v>21</v>
          </cell>
          <cell r="F176">
            <v>514</v>
          </cell>
          <cell r="G176">
            <v>514</v>
          </cell>
          <cell r="H176" t="str">
            <v>NY005213F</v>
          </cell>
          <cell r="I176" t="str">
            <v>FEDERAL</v>
          </cell>
          <cell r="J176" t="str">
            <v>CONVENTIONAL</v>
          </cell>
          <cell r="K176" t="str">
            <v>NEW CONST</v>
          </cell>
          <cell r="M176">
            <v>1716</v>
          </cell>
          <cell r="N176">
            <v>1717</v>
          </cell>
          <cell r="O176">
            <v>8268</v>
          </cell>
          <cell r="P176">
            <v>4.82</v>
          </cell>
          <cell r="R176">
            <v>4147</v>
          </cell>
          <cell r="S176">
            <v>4147</v>
          </cell>
          <cell r="T176">
            <v>607</v>
          </cell>
          <cell r="U176">
            <v>0.35799999999999998</v>
          </cell>
          <cell r="V176">
            <v>27</v>
          </cell>
          <cell r="W176">
            <v>1</v>
          </cell>
          <cell r="X176">
            <v>71</v>
          </cell>
          <cell r="Y176">
            <v>6</v>
          </cell>
          <cell r="Z176">
            <v>1241000</v>
          </cell>
          <cell r="AA176">
            <v>28.49</v>
          </cell>
          <cell r="AB176">
            <v>1101547</v>
          </cell>
          <cell r="AC176">
            <v>25.29</v>
          </cell>
          <cell r="AD176">
            <v>240198</v>
          </cell>
          <cell r="AE176">
            <v>13741160</v>
          </cell>
          <cell r="AF176">
            <v>0.19359999999999999</v>
          </cell>
          <cell r="AG176">
            <v>146</v>
          </cell>
          <cell r="AH176">
            <v>19420000</v>
          </cell>
          <cell r="AI176">
            <v>2347</v>
          </cell>
          <cell r="AJ176">
            <v>560</v>
          </cell>
          <cell r="AK176" t="str">
            <v>FLUSHING AVE</v>
          </cell>
          <cell r="AL176" t="str">
            <v>MARCY AVE</v>
          </cell>
          <cell r="AM176" t="str">
            <v>NOSTRAND AVE</v>
          </cell>
          <cell r="AN176" t="str">
            <v>MYRTLE AVE</v>
          </cell>
          <cell r="AO176" t="str">
            <v>BROOKLYN</v>
          </cell>
          <cell r="AP176">
            <v>3</v>
          </cell>
          <cell r="AQ176">
            <v>7</v>
          </cell>
          <cell r="AR176">
            <v>18</v>
          </cell>
          <cell r="AS176">
            <v>56</v>
          </cell>
          <cell r="AT176">
            <v>36</v>
          </cell>
          <cell r="AU176">
            <v>17917</v>
          </cell>
          <cell r="AV176" t="str">
            <v>1977/07/01-ATP 1</v>
          </cell>
        </row>
        <row r="177">
          <cell r="B177" t="str">
            <v>MARCY AVENUE-GREENE AVENUE SITE A</v>
          </cell>
          <cell r="C177" t="str">
            <v>NY005013590</v>
          </cell>
          <cell r="D177">
            <v>363</v>
          </cell>
          <cell r="E177">
            <v>359</v>
          </cell>
          <cell r="F177">
            <v>803</v>
          </cell>
          <cell r="G177">
            <v>840</v>
          </cell>
          <cell r="H177" t="str">
            <v>NY005300</v>
          </cell>
          <cell r="I177" t="str">
            <v>FEDERAL</v>
          </cell>
          <cell r="J177" t="str">
            <v>TURNKEY</v>
          </cell>
          <cell r="K177" t="str">
            <v>NEW CONST</v>
          </cell>
          <cell r="M177">
            <v>48</v>
          </cell>
          <cell r="N177">
            <v>48</v>
          </cell>
          <cell r="O177">
            <v>231</v>
          </cell>
          <cell r="P177">
            <v>4.8099999999999996</v>
          </cell>
          <cell r="R177">
            <v>123</v>
          </cell>
          <cell r="S177">
            <v>123</v>
          </cell>
          <cell r="T177">
            <v>13</v>
          </cell>
          <cell r="U177">
            <v>0.27700000000000002</v>
          </cell>
          <cell r="V177">
            <v>2</v>
          </cell>
          <cell r="W177">
            <v>0</v>
          </cell>
          <cell r="X177">
            <v>7</v>
          </cell>
          <cell r="Y177">
            <v>3</v>
          </cell>
          <cell r="Z177">
            <v>51104</v>
          </cell>
          <cell r="AA177">
            <v>1.17</v>
          </cell>
          <cell r="AB177">
            <v>51104</v>
          </cell>
          <cell r="AC177">
            <v>1.17</v>
          </cell>
          <cell r="AD177">
            <v>16354</v>
          </cell>
          <cell r="AE177">
            <v>434689</v>
          </cell>
          <cell r="AF177">
            <v>0.32</v>
          </cell>
          <cell r="AG177">
            <v>105</v>
          </cell>
          <cell r="AH177">
            <v>5042549</v>
          </cell>
          <cell r="AI177">
            <v>21829</v>
          </cell>
          <cell r="AJ177">
            <v>505</v>
          </cell>
          <cell r="AK177" t="str">
            <v>GREENE AVE</v>
          </cell>
          <cell r="AL177" t="str">
            <v>MARCY AVE</v>
          </cell>
          <cell r="AM177" t="str">
            <v>NOSTRAND AVE</v>
          </cell>
          <cell r="AN177" t="str">
            <v>LEXINGTON AVE</v>
          </cell>
          <cell r="AO177" t="str">
            <v>BROOKLYN</v>
          </cell>
          <cell r="AP177">
            <v>3</v>
          </cell>
          <cell r="AQ177">
            <v>8</v>
          </cell>
          <cell r="AR177">
            <v>25</v>
          </cell>
          <cell r="AS177">
            <v>56</v>
          </cell>
          <cell r="AT177">
            <v>36</v>
          </cell>
          <cell r="AU177">
            <v>35611</v>
          </cell>
          <cell r="AX177" t="str">
            <v>YES</v>
          </cell>
          <cell r="AY177" t="str">
            <v>YES</v>
          </cell>
        </row>
        <row r="178">
          <cell r="B178" t="str">
            <v>MARCY AVENUE-GREENE AVENUE SITE B</v>
          </cell>
          <cell r="C178" t="str">
            <v>NY005013590</v>
          </cell>
          <cell r="D178">
            <v>358</v>
          </cell>
          <cell r="E178">
            <v>359</v>
          </cell>
          <cell r="F178">
            <v>804</v>
          </cell>
          <cell r="G178">
            <v>840</v>
          </cell>
          <cell r="H178" t="str">
            <v>NY005293</v>
          </cell>
          <cell r="I178" t="str">
            <v>FEDERAL</v>
          </cell>
          <cell r="J178" t="str">
            <v>TURNKEY</v>
          </cell>
          <cell r="K178" t="str">
            <v>NEW CONST</v>
          </cell>
          <cell r="M178">
            <v>30</v>
          </cell>
          <cell r="N178">
            <v>30</v>
          </cell>
          <cell r="O178">
            <v>145</v>
          </cell>
          <cell r="P178">
            <v>4.83</v>
          </cell>
          <cell r="R178">
            <v>76</v>
          </cell>
          <cell r="S178">
            <v>76</v>
          </cell>
          <cell r="T178">
            <v>8</v>
          </cell>
          <cell r="U178">
            <v>0.26700000000000002</v>
          </cell>
          <cell r="V178">
            <v>1</v>
          </cell>
          <cell r="W178">
            <v>0</v>
          </cell>
          <cell r="X178">
            <v>5</v>
          </cell>
          <cell r="Y178">
            <v>3</v>
          </cell>
          <cell r="Z178">
            <v>36926</v>
          </cell>
          <cell r="AA178">
            <v>0.85</v>
          </cell>
          <cell r="AB178">
            <v>36926</v>
          </cell>
          <cell r="AC178">
            <v>0.85</v>
          </cell>
          <cell r="AD178">
            <v>10081</v>
          </cell>
          <cell r="AE178">
            <v>267953</v>
          </cell>
          <cell r="AF178">
            <v>0.27300000000000002</v>
          </cell>
          <cell r="AG178">
            <v>89</v>
          </cell>
          <cell r="AH178">
            <v>3168261</v>
          </cell>
          <cell r="AI178">
            <v>21850</v>
          </cell>
          <cell r="AJ178">
            <v>582</v>
          </cell>
          <cell r="AK178" t="str">
            <v>GREENE AVE</v>
          </cell>
          <cell r="AL178" t="str">
            <v>MARCY AVE</v>
          </cell>
          <cell r="AM178" t="str">
            <v>NOSTRAND AVE</v>
          </cell>
          <cell r="AN178" t="str">
            <v>LEXINGTON AVE</v>
          </cell>
          <cell r="AO178" t="str">
            <v>BROOKLYN</v>
          </cell>
          <cell r="AP178">
            <v>3</v>
          </cell>
          <cell r="AQ178">
            <v>8</v>
          </cell>
          <cell r="AR178">
            <v>25</v>
          </cell>
          <cell r="AS178">
            <v>56</v>
          </cell>
          <cell r="AT178">
            <v>36</v>
          </cell>
          <cell r="AU178">
            <v>35611</v>
          </cell>
          <cell r="AX178" t="str">
            <v>YES</v>
          </cell>
          <cell r="AY178" t="str">
            <v>YES</v>
          </cell>
        </row>
        <row r="179">
          <cell r="B179" t="str">
            <v>MARINER'S HARBOR</v>
          </cell>
          <cell r="C179" t="str">
            <v>NY005000770</v>
          </cell>
          <cell r="D179">
            <v>77</v>
          </cell>
          <cell r="E179">
            <v>77</v>
          </cell>
          <cell r="F179">
            <v>228</v>
          </cell>
          <cell r="G179">
            <v>228</v>
          </cell>
          <cell r="H179" t="str">
            <v>NY005020</v>
          </cell>
          <cell r="I179" t="str">
            <v>FEDERAL</v>
          </cell>
          <cell r="J179" t="str">
            <v>CONVENTIONAL</v>
          </cell>
          <cell r="K179" t="str">
            <v>NEW CONST</v>
          </cell>
          <cell r="M179">
            <v>606</v>
          </cell>
          <cell r="N179">
            <v>607</v>
          </cell>
          <cell r="O179">
            <v>2853</v>
          </cell>
          <cell r="P179">
            <v>4.71</v>
          </cell>
          <cell r="R179">
            <v>1515</v>
          </cell>
          <cell r="S179">
            <v>1515</v>
          </cell>
          <cell r="T179">
            <v>146</v>
          </cell>
          <cell r="U179">
            <v>0.24299999999999999</v>
          </cell>
          <cell r="V179">
            <v>22</v>
          </cell>
          <cell r="W179">
            <v>0</v>
          </cell>
          <cell r="X179">
            <v>32</v>
          </cell>
          <cell r="Y179">
            <v>43530</v>
          </cell>
          <cell r="Z179">
            <v>947622</v>
          </cell>
          <cell r="AA179">
            <v>21.75</v>
          </cell>
          <cell r="AB179">
            <v>816256</v>
          </cell>
          <cell r="AC179">
            <v>18.739999999999998</v>
          </cell>
          <cell r="AD179">
            <v>124890</v>
          </cell>
          <cell r="AE179">
            <v>5691790</v>
          </cell>
          <cell r="AF179">
            <v>0.1318</v>
          </cell>
          <cell r="AG179">
            <v>70</v>
          </cell>
          <cell r="AH179">
            <v>8072855</v>
          </cell>
          <cell r="AI179">
            <v>2826</v>
          </cell>
          <cell r="AJ179">
            <v>488</v>
          </cell>
          <cell r="AK179" t="str">
            <v>GRAND VIEW AVE</v>
          </cell>
          <cell r="AL179" t="str">
            <v>ROXBURY ST</v>
          </cell>
          <cell r="AM179" t="str">
            <v>LOCKMAN AVE</v>
          </cell>
          <cell r="AN179" t="str">
            <v>CONTINENTAL PL</v>
          </cell>
          <cell r="AO179" t="str">
            <v>STATEN ISLAND</v>
          </cell>
          <cell r="AP179">
            <v>1</v>
          </cell>
          <cell r="AQ179">
            <v>11</v>
          </cell>
          <cell r="AR179">
            <v>23</v>
          </cell>
          <cell r="AS179">
            <v>63</v>
          </cell>
          <cell r="AT179">
            <v>49</v>
          </cell>
          <cell r="AU179">
            <v>19970</v>
          </cell>
        </row>
        <row r="180">
          <cell r="B180" t="str">
            <v>MARLBORO</v>
          </cell>
          <cell r="C180" t="str">
            <v>NY005020830</v>
          </cell>
          <cell r="D180">
            <v>83</v>
          </cell>
          <cell r="E180">
            <v>83</v>
          </cell>
          <cell r="F180">
            <v>426</v>
          </cell>
          <cell r="G180">
            <v>426</v>
          </cell>
          <cell r="H180" t="str">
            <v>NY005380</v>
          </cell>
          <cell r="I180" t="str">
            <v>MIXED FINANCE/LLC1</v>
          </cell>
          <cell r="J180" t="str">
            <v>CONVENTIONAL</v>
          </cell>
          <cell r="K180" t="str">
            <v>NEW CONST</v>
          </cell>
          <cell r="L180">
            <v>348</v>
          </cell>
          <cell r="M180">
            <v>1764</v>
          </cell>
          <cell r="N180">
            <v>1765</v>
          </cell>
          <cell r="O180">
            <v>8248</v>
          </cell>
          <cell r="P180">
            <v>4.68</v>
          </cell>
          <cell r="Q180">
            <v>861</v>
          </cell>
          <cell r="R180">
            <v>3251</v>
          </cell>
          <cell r="S180">
            <v>4112</v>
          </cell>
          <cell r="T180">
            <v>671</v>
          </cell>
          <cell r="U180">
            <v>0.38700000000000001</v>
          </cell>
          <cell r="V180">
            <v>28</v>
          </cell>
          <cell r="W180">
            <v>2</v>
          </cell>
          <cell r="X180">
            <v>30</v>
          </cell>
          <cell r="Y180">
            <v>43662</v>
          </cell>
          <cell r="Z180">
            <v>1518505</v>
          </cell>
          <cell r="AA180">
            <v>34.86</v>
          </cell>
          <cell r="AB180">
            <v>1471805</v>
          </cell>
          <cell r="AC180">
            <v>33.79</v>
          </cell>
          <cell r="AD180">
            <v>202426</v>
          </cell>
          <cell r="AE180">
            <v>15183887</v>
          </cell>
          <cell r="AF180">
            <v>0.1333</v>
          </cell>
          <cell r="AG180">
            <v>118</v>
          </cell>
          <cell r="AH180">
            <v>22429000</v>
          </cell>
          <cell r="AI180">
            <v>2783</v>
          </cell>
          <cell r="AJ180">
            <v>551</v>
          </cell>
          <cell r="AK180" t="str">
            <v>STILLWELL AVE</v>
          </cell>
          <cell r="AL180" t="str">
            <v>AVENUE V</v>
          </cell>
          <cell r="AM180" t="str">
            <v>86TH ST</v>
          </cell>
          <cell r="AN180" t="str">
            <v>AVENUE X</v>
          </cell>
          <cell r="AO180" t="str">
            <v>BROOKLYN</v>
          </cell>
          <cell r="AP180">
            <v>13</v>
          </cell>
          <cell r="AQ180">
            <v>11</v>
          </cell>
          <cell r="AR180">
            <v>23</v>
          </cell>
          <cell r="AS180" t="str">
            <v>45, 47</v>
          </cell>
          <cell r="AT180">
            <v>47</v>
          </cell>
          <cell r="AU180">
            <v>21243</v>
          </cell>
        </row>
        <row r="181">
          <cell r="B181" t="str">
            <v>MARSHALL PLAZA</v>
          </cell>
          <cell r="C181" t="str">
            <v>NY005010030</v>
          </cell>
          <cell r="D181">
            <v>344</v>
          </cell>
          <cell r="E181">
            <v>3</v>
          </cell>
          <cell r="F181">
            <v>754</v>
          </cell>
          <cell r="G181">
            <v>754</v>
          </cell>
          <cell r="H181" t="str">
            <v>NY005265</v>
          </cell>
          <cell r="I181" t="str">
            <v>FEDERAL</v>
          </cell>
          <cell r="J181" t="str">
            <v>TURNKEY</v>
          </cell>
          <cell r="K181" t="str">
            <v>NEW CONST (ELD)</v>
          </cell>
          <cell r="M181">
            <v>180</v>
          </cell>
          <cell r="N181">
            <v>180</v>
          </cell>
          <cell r="O181">
            <v>630</v>
          </cell>
          <cell r="P181">
            <v>3.5</v>
          </cell>
          <cell r="R181">
            <v>207</v>
          </cell>
          <cell r="S181">
            <v>207</v>
          </cell>
          <cell r="T181">
            <v>154</v>
          </cell>
          <cell r="U181">
            <v>0.89</v>
          </cell>
          <cell r="V181">
            <v>1</v>
          </cell>
          <cell r="W181">
            <v>0</v>
          </cell>
          <cell r="X181">
            <v>1</v>
          </cell>
          <cell r="Y181">
            <v>13</v>
          </cell>
          <cell r="Z181">
            <v>20083</v>
          </cell>
          <cell r="AA181">
            <v>0.46</v>
          </cell>
          <cell r="AB181">
            <v>20083</v>
          </cell>
          <cell r="AC181">
            <v>0.46</v>
          </cell>
          <cell r="AD181">
            <v>10354</v>
          </cell>
          <cell r="AE181">
            <v>1181481</v>
          </cell>
          <cell r="AF181">
            <v>0.51559999999999995</v>
          </cell>
          <cell r="AG181">
            <v>450</v>
          </cell>
          <cell r="AH181">
            <v>12233985</v>
          </cell>
          <cell r="AI181">
            <v>19419</v>
          </cell>
          <cell r="AJ181">
            <v>307</v>
          </cell>
          <cell r="AK181" t="str">
            <v>BROADWAY</v>
          </cell>
          <cell r="AL181" t="str">
            <v>W 158TH ST</v>
          </cell>
          <cell r="AM181" t="str">
            <v>AMSTERDAM AVE</v>
          </cell>
          <cell r="AN181" t="str">
            <v>W 157TH ST</v>
          </cell>
          <cell r="AO181" t="str">
            <v>MANHATTAN</v>
          </cell>
          <cell r="AP181">
            <v>12</v>
          </cell>
          <cell r="AQ181">
            <v>13</v>
          </cell>
          <cell r="AR181">
            <v>31</v>
          </cell>
          <cell r="AS181">
            <v>71</v>
          </cell>
          <cell r="AT181">
            <v>7</v>
          </cell>
          <cell r="AU181">
            <v>31593</v>
          </cell>
          <cell r="AW181" t="str">
            <v>EXCLUSIVELY</v>
          </cell>
          <cell r="AX181" t="str">
            <v>YES</v>
          </cell>
        </row>
        <row r="182">
          <cell r="B182" t="str">
            <v>MCKINLEY</v>
          </cell>
          <cell r="C182" t="str">
            <v>NY005000590</v>
          </cell>
          <cell r="D182">
            <v>103</v>
          </cell>
          <cell r="E182">
            <v>59</v>
          </cell>
          <cell r="F182">
            <v>236</v>
          </cell>
          <cell r="G182">
            <v>236</v>
          </cell>
          <cell r="H182" t="str">
            <v>NY005031</v>
          </cell>
          <cell r="I182" t="str">
            <v>FEDERAL</v>
          </cell>
          <cell r="J182" t="str">
            <v>CONVENTIONAL</v>
          </cell>
          <cell r="K182" t="str">
            <v>NEW CONST</v>
          </cell>
          <cell r="M182">
            <v>615</v>
          </cell>
          <cell r="N182">
            <v>619</v>
          </cell>
          <cell r="O182">
            <v>2928.5</v>
          </cell>
          <cell r="P182">
            <v>4.76</v>
          </cell>
          <cell r="R182">
            <v>1441</v>
          </cell>
          <cell r="S182">
            <v>1441</v>
          </cell>
          <cell r="T182">
            <v>220</v>
          </cell>
          <cell r="U182">
            <v>0.35799999999999998</v>
          </cell>
          <cell r="V182">
            <v>5</v>
          </cell>
          <cell r="W182">
            <v>1</v>
          </cell>
          <cell r="X182">
            <v>5</v>
          </cell>
          <cell r="Y182">
            <v>16</v>
          </cell>
          <cell r="Z182">
            <v>289985</v>
          </cell>
          <cell r="AA182">
            <v>6.66</v>
          </cell>
          <cell r="AB182">
            <v>233735</v>
          </cell>
          <cell r="AC182">
            <v>5.37</v>
          </cell>
          <cell r="AD182">
            <v>41286</v>
          </cell>
          <cell r="AE182">
            <v>5580675</v>
          </cell>
          <cell r="AF182">
            <v>0.1424</v>
          </cell>
          <cell r="AG182">
            <v>216</v>
          </cell>
          <cell r="AH182">
            <v>10418410</v>
          </cell>
          <cell r="AI182">
            <v>3535</v>
          </cell>
          <cell r="AJ182">
            <v>528</v>
          </cell>
          <cell r="AK182" t="str">
            <v>E 161ST ST</v>
          </cell>
          <cell r="AL182" t="str">
            <v>E 163RD ST</v>
          </cell>
          <cell r="AM182" t="str">
            <v>TINTON AVE</v>
          </cell>
          <cell r="AN182" t="str">
            <v>KINGSLAND PL</v>
          </cell>
          <cell r="AO182" t="str">
            <v>BRONX</v>
          </cell>
          <cell r="AP182">
            <v>3</v>
          </cell>
          <cell r="AQ182">
            <v>15</v>
          </cell>
          <cell r="AR182">
            <v>32</v>
          </cell>
          <cell r="AS182">
            <v>79</v>
          </cell>
          <cell r="AT182">
            <v>16</v>
          </cell>
          <cell r="AU182">
            <v>22858</v>
          </cell>
        </row>
        <row r="183">
          <cell r="B183" t="str">
            <v>MELROSE</v>
          </cell>
          <cell r="C183" t="str">
            <v>NY005010280</v>
          </cell>
          <cell r="D183">
            <v>28</v>
          </cell>
          <cell r="E183">
            <v>28</v>
          </cell>
          <cell r="F183">
            <v>523</v>
          </cell>
          <cell r="G183">
            <v>523</v>
          </cell>
          <cell r="H183" t="str">
            <v>NY005216B</v>
          </cell>
          <cell r="I183" t="str">
            <v>FEDERAL</v>
          </cell>
          <cell r="J183" t="str">
            <v>CONVENTIONAL</v>
          </cell>
          <cell r="K183" t="str">
            <v>NEW CONST</v>
          </cell>
          <cell r="M183">
            <v>1021</v>
          </cell>
          <cell r="N183">
            <v>1023</v>
          </cell>
          <cell r="O183">
            <v>4854.5</v>
          </cell>
          <cell r="P183">
            <v>4.75</v>
          </cell>
          <cell r="R183">
            <v>2418</v>
          </cell>
          <cell r="S183">
            <v>2418</v>
          </cell>
          <cell r="T183">
            <v>363</v>
          </cell>
          <cell r="U183">
            <v>0.35799999999999998</v>
          </cell>
          <cell r="V183">
            <v>8</v>
          </cell>
          <cell r="W183">
            <v>1</v>
          </cell>
          <cell r="X183">
            <v>9</v>
          </cell>
          <cell r="Y183">
            <v>14</v>
          </cell>
          <cell r="Z183">
            <v>541687</v>
          </cell>
          <cell r="AA183">
            <v>12.44</v>
          </cell>
          <cell r="AB183">
            <v>498060</v>
          </cell>
          <cell r="AC183">
            <v>11.43</v>
          </cell>
          <cell r="AD183">
            <v>68826</v>
          </cell>
          <cell r="AE183">
            <v>8736312</v>
          </cell>
          <cell r="AF183">
            <v>0.12709999999999999</v>
          </cell>
          <cell r="AG183">
            <v>194</v>
          </cell>
          <cell r="AH183">
            <v>12236000</v>
          </cell>
          <cell r="AI183">
            <v>2515</v>
          </cell>
          <cell r="AJ183">
            <v>486</v>
          </cell>
          <cell r="AK183" t="str">
            <v>MORRIS AVE</v>
          </cell>
          <cell r="AL183" t="str">
            <v>E 153RD ST</v>
          </cell>
          <cell r="AM183" t="str">
            <v>COURTLANDT AVE</v>
          </cell>
          <cell r="AN183" t="str">
            <v>E 156TH ST</v>
          </cell>
          <cell r="AO183" t="str">
            <v>BRONX</v>
          </cell>
          <cell r="AP183">
            <v>1</v>
          </cell>
          <cell r="AQ183">
            <v>15</v>
          </cell>
          <cell r="AR183">
            <v>32</v>
          </cell>
          <cell r="AS183" t="str">
            <v>79, 84</v>
          </cell>
          <cell r="AT183">
            <v>17</v>
          </cell>
          <cell r="AU183">
            <v>19165</v>
          </cell>
          <cell r="AV183" t="str">
            <v>1978/02/01-ATP 2</v>
          </cell>
        </row>
        <row r="184">
          <cell r="B184" t="str">
            <v>MELTZER TOWER</v>
          </cell>
          <cell r="C184" t="str">
            <v>NY005011000</v>
          </cell>
          <cell r="D184">
            <v>183</v>
          </cell>
          <cell r="E184">
            <v>100</v>
          </cell>
          <cell r="F184">
            <v>286</v>
          </cell>
          <cell r="G184">
            <v>237</v>
          </cell>
          <cell r="H184" t="str">
            <v>NY005085</v>
          </cell>
          <cell r="I184" t="str">
            <v>FEDERAL</v>
          </cell>
          <cell r="J184" t="str">
            <v>CONVENTIONAL</v>
          </cell>
          <cell r="K184" t="str">
            <v>NEW CONST (ELD)</v>
          </cell>
          <cell r="M184">
            <v>229</v>
          </cell>
          <cell r="N184">
            <v>231</v>
          </cell>
          <cell r="O184">
            <v>686.5</v>
          </cell>
          <cell r="P184">
            <v>3</v>
          </cell>
          <cell r="R184">
            <v>247</v>
          </cell>
          <cell r="S184">
            <v>247</v>
          </cell>
          <cell r="T184">
            <v>199</v>
          </cell>
          <cell r="U184">
            <v>0.89600000000000002</v>
          </cell>
          <cell r="V184">
            <v>1</v>
          </cell>
          <cell r="W184">
            <v>0</v>
          </cell>
          <cell r="X184">
            <v>1</v>
          </cell>
          <cell r="Y184">
            <v>20</v>
          </cell>
          <cell r="Z184">
            <v>50180</v>
          </cell>
          <cell r="AA184">
            <v>1.1499999999999999</v>
          </cell>
          <cell r="AB184">
            <v>50180</v>
          </cell>
          <cell r="AC184">
            <v>1.1499999999999999</v>
          </cell>
          <cell r="AD184">
            <v>6910</v>
          </cell>
          <cell r="AE184">
            <v>1316253</v>
          </cell>
          <cell r="AF184">
            <v>0.13769999999999999</v>
          </cell>
          <cell r="AG184">
            <v>215</v>
          </cell>
          <cell r="AH184">
            <v>5622697</v>
          </cell>
          <cell r="AI184">
            <v>7487</v>
          </cell>
          <cell r="AJ184">
            <v>290</v>
          </cell>
          <cell r="AK184" t="str">
            <v>E 1ST ST</v>
          </cell>
          <cell r="AL184" t="str">
            <v>FIRST AVE</v>
          </cell>
          <cell r="AM184" t="str">
            <v>E 2ND ST</v>
          </cell>
          <cell r="AN184" t="str">
            <v>AVENUE A</v>
          </cell>
          <cell r="AO184" t="str">
            <v>MANHATTAN</v>
          </cell>
          <cell r="AP184">
            <v>3</v>
          </cell>
          <cell r="AQ184">
            <v>12</v>
          </cell>
          <cell r="AR184">
            <v>26</v>
          </cell>
          <cell r="AS184">
            <v>65</v>
          </cell>
          <cell r="AT184">
            <v>2</v>
          </cell>
          <cell r="AU184">
            <v>26176</v>
          </cell>
          <cell r="AW184" t="str">
            <v>EXCLUSIVELY</v>
          </cell>
        </row>
        <row r="185">
          <cell r="B185" t="str">
            <v>METRO NORTH PLAZA</v>
          </cell>
          <cell r="C185" t="str">
            <v>NY005010090</v>
          </cell>
          <cell r="D185">
            <v>181</v>
          </cell>
          <cell r="E185">
            <v>112</v>
          </cell>
          <cell r="F185">
            <v>284</v>
          </cell>
          <cell r="G185">
            <v>284</v>
          </cell>
          <cell r="H185" t="str">
            <v>NY005092</v>
          </cell>
          <cell r="I185" t="str">
            <v>FEDERAL</v>
          </cell>
          <cell r="J185" t="str">
            <v>CONVENTIONAL</v>
          </cell>
          <cell r="K185" t="str">
            <v>NEW CONST</v>
          </cell>
          <cell r="M185">
            <v>271</v>
          </cell>
          <cell r="N185">
            <v>275</v>
          </cell>
          <cell r="O185">
            <v>1301.5</v>
          </cell>
          <cell r="P185">
            <v>4.8</v>
          </cell>
          <cell r="R185">
            <v>643</v>
          </cell>
          <cell r="S185">
            <v>643</v>
          </cell>
          <cell r="T185">
            <v>112</v>
          </cell>
          <cell r="U185">
            <v>0.41599999999999998</v>
          </cell>
          <cell r="V185">
            <v>3</v>
          </cell>
          <cell r="W185">
            <v>0</v>
          </cell>
          <cell r="X185">
            <v>3</v>
          </cell>
          <cell r="Y185">
            <v>40732</v>
          </cell>
          <cell r="Z185">
            <v>99827</v>
          </cell>
          <cell r="AA185">
            <v>2.29</v>
          </cell>
          <cell r="AB185">
            <v>99827</v>
          </cell>
          <cell r="AC185">
            <v>2.29</v>
          </cell>
          <cell r="AD185">
            <v>34752</v>
          </cell>
          <cell r="AE185">
            <v>2668090</v>
          </cell>
          <cell r="AF185">
            <v>0.34810000000000002</v>
          </cell>
          <cell r="AG185">
            <v>281</v>
          </cell>
          <cell r="AH185">
            <v>6733865</v>
          </cell>
          <cell r="AI185">
            <v>5105</v>
          </cell>
          <cell r="AJ185">
            <v>574</v>
          </cell>
          <cell r="AK185" t="str">
            <v>E 101ST ST</v>
          </cell>
          <cell r="AL185" t="str">
            <v>FIRST AVE</v>
          </cell>
          <cell r="AM185" t="str">
            <v>E 102ND ST</v>
          </cell>
          <cell r="AN185" t="str">
            <v>SECOND AVE</v>
          </cell>
          <cell r="AO185" t="str">
            <v>MANHATTAN</v>
          </cell>
          <cell r="AP185">
            <v>11</v>
          </cell>
          <cell r="AQ185">
            <v>13</v>
          </cell>
          <cell r="AR185">
            <v>29</v>
          </cell>
          <cell r="AS185">
            <v>68</v>
          </cell>
          <cell r="AT185">
            <v>8</v>
          </cell>
          <cell r="AU185">
            <v>26176</v>
          </cell>
        </row>
        <row r="186">
          <cell r="B186" t="str">
            <v>MIDDLETOWN PLAZA</v>
          </cell>
          <cell r="C186" t="str">
            <v>NY005010340</v>
          </cell>
          <cell r="D186">
            <v>191</v>
          </cell>
          <cell r="E186">
            <v>34</v>
          </cell>
          <cell r="F186">
            <v>302</v>
          </cell>
          <cell r="G186">
            <v>313</v>
          </cell>
          <cell r="H186" t="str">
            <v>NY005096B</v>
          </cell>
          <cell r="I186" t="str">
            <v>FEDERAL</v>
          </cell>
          <cell r="J186" t="str">
            <v>CONVENTIONAL</v>
          </cell>
          <cell r="K186" t="str">
            <v>NEW CONST (ELD)</v>
          </cell>
          <cell r="M186">
            <v>177</v>
          </cell>
          <cell r="N186">
            <v>179</v>
          </cell>
          <cell r="O186">
            <v>602.5</v>
          </cell>
          <cell r="P186">
            <v>3.4</v>
          </cell>
          <cell r="R186">
            <v>192</v>
          </cell>
          <cell r="S186">
            <v>192</v>
          </cell>
          <cell r="T186">
            <v>160</v>
          </cell>
          <cell r="U186">
            <v>0.91400000000000003</v>
          </cell>
          <cell r="V186">
            <v>1</v>
          </cell>
          <cell r="W186">
            <v>0</v>
          </cell>
          <cell r="X186">
            <v>1</v>
          </cell>
          <cell r="Y186">
            <v>15</v>
          </cell>
          <cell r="Z186">
            <v>49309</v>
          </cell>
          <cell r="AA186">
            <v>1.1299999999999999</v>
          </cell>
          <cell r="AB186">
            <v>49309</v>
          </cell>
          <cell r="AC186">
            <v>1.1299999999999999</v>
          </cell>
          <cell r="AD186">
            <v>10076</v>
          </cell>
          <cell r="AE186">
            <v>1078917</v>
          </cell>
          <cell r="AF186">
            <v>0.20430000000000001</v>
          </cell>
          <cell r="AG186">
            <v>170</v>
          </cell>
          <cell r="AH186">
            <v>6090291</v>
          </cell>
          <cell r="AI186">
            <v>9776</v>
          </cell>
          <cell r="AJ186">
            <v>313</v>
          </cell>
          <cell r="AK186" t="str">
            <v>ROBERTS AVE</v>
          </cell>
          <cell r="AL186" t="str">
            <v>JARVIS AVE</v>
          </cell>
          <cell r="AM186" t="str">
            <v>MIDDLETOWN RD</v>
          </cell>
          <cell r="AN186" t="str">
            <v>HOBART AVE</v>
          </cell>
          <cell r="AO186" t="str">
            <v>BRONX</v>
          </cell>
          <cell r="AP186">
            <v>10</v>
          </cell>
          <cell r="AQ186">
            <v>14</v>
          </cell>
          <cell r="AR186">
            <v>34</v>
          </cell>
          <cell r="AS186">
            <v>82</v>
          </cell>
          <cell r="AT186">
            <v>13</v>
          </cell>
          <cell r="AU186">
            <v>26907</v>
          </cell>
          <cell r="AW186" t="str">
            <v>EXCLUSIVELY</v>
          </cell>
        </row>
        <row r="187">
          <cell r="B187" t="str">
            <v>MILL BROOK</v>
          </cell>
          <cell r="C187" t="str">
            <v>NY005010840</v>
          </cell>
          <cell r="D187">
            <v>84</v>
          </cell>
          <cell r="E187">
            <v>84</v>
          </cell>
          <cell r="F187">
            <v>570</v>
          </cell>
          <cell r="G187">
            <v>570</v>
          </cell>
          <cell r="H187" t="str">
            <v>NY005244C</v>
          </cell>
          <cell r="I187" t="str">
            <v>FEDERAL</v>
          </cell>
          <cell r="J187" t="str">
            <v>CONVENTIONAL</v>
          </cell>
          <cell r="K187" t="str">
            <v>NEW CONST</v>
          </cell>
          <cell r="M187">
            <v>1251</v>
          </cell>
          <cell r="N187">
            <v>1255</v>
          </cell>
          <cell r="O187">
            <v>5799.5</v>
          </cell>
          <cell r="P187">
            <v>4.6399999999999997</v>
          </cell>
          <cell r="R187">
            <v>2814</v>
          </cell>
          <cell r="S187">
            <v>2814</v>
          </cell>
          <cell r="T187">
            <v>484</v>
          </cell>
          <cell r="U187">
            <v>0.39200000000000002</v>
          </cell>
          <cell r="V187">
            <v>9</v>
          </cell>
          <cell r="W187">
            <v>0</v>
          </cell>
          <cell r="X187">
            <v>9</v>
          </cell>
          <cell r="Y187">
            <v>16</v>
          </cell>
          <cell r="Z187">
            <v>507592</v>
          </cell>
          <cell r="AA187">
            <v>11.65</v>
          </cell>
          <cell r="AB187">
            <v>463332</v>
          </cell>
          <cell r="AC187">
            <v>10.64</v>
          </cell>
          <cell r="AD187">
            <v>76410</v>
          </cell>
          <cell r="AE187">
            <v>10446587</v>
          </cell>
          <cell r="AF187">
            <v>0.14169999999999999</v>
          </cell>
          <cell r="AG187">
            <v>242</v>
          </cell>
          <cell r="AH187">
            <v>22176000</v>
          </cell>
          <cell r="AI187">
            <v>3898</v>
          </cell>
          <cell r="AJ187">
            <v>479</v>
          </cell>
          <cell r="AK187" t="str">
            <v>E 135TH ST</v>
          </cell>
          <cell r="AL187" t="str">
            <v>BROOK AVE</v>
          </cell>
          <cell r="AM187" t="str">
            <v>E 137TH ST</v>
          </cell>
          <cell r="AN187" t="str">
            <v>CYPRESS AVE</v>
          </cell>
          <cell r="AO187" t="str">
            <v>BRONX</v>
          </cell>
          <cell r="AP187">
            <v>1</v>
          </cell>
          <cell r="AQ187">
            <v>15</v>
          </cell>
          <cell r="AR187">
            <v>29</v>
          </cell>
          <cell r="AS187">
            <v>84</v>
          </cell>
          <cell r="AT187">
            <v>8</v>
          </cell>
          <cell r="AU187">
            <v>21696</v>
          </cell>
          <cell r="AV187" t="str">
            <v>1979/08/01-ATP 4</v>
          </cell>
        </row>
        <row r="188">
          <cell r="B188" t="str">
            <v>MILL BROOK EXTENSION</v>
          </cell>
          <cell r="C188" t="str">
            <v>NY005010840</v>
          </cell>
          <cell r="D188">
            <v>132</v>
          </cell>
          <cell r="E188">
            <v>84</v>
          </cell>
          <cell r="F188">
            <v>570</v>
          </cell>
          <cell r="G188">
            <v>570</v>
          </cell>
          <cell r="H188" t="str">
            <v>NY005244C</v>
          </cell>
          <cell r="I188" t="str">
            <v>FEDERAL</v>
          </cell>
          <cell r="J188" t="str">
            <v>CONVENTIONAL</v>
          </cell>
          <cell r="K188" t="str">
            <v>NEW CONST</v>
          </cell>
          <cell r="M188">
            <v>125</v>
          </cell>
          <cell r="N188">
            <v>125</v>
          </cell>
          <cell r="O188">
            <v>611.5</v>
          </cell>
          <cell r="P188">
            <v>4.8899999999999997</v>
          </cell>
          <cell r="R188">
            <v>297</v>
          </cell>
          <cell r="S188">
            <v>297</v>
          </cell>
          <cell r="T188">
            <v>54</v>
          </cell>
          <cell r="U188">
            <v>0.432</v>
          </cell>
          <cell r="V188">
            <v>1</v>
          </cell>
          <cell r="W188">
            <v>0</v>
          </cell>
          <cell r="X188">
            <v>1</v>
          </cell>
          <cell r="Y188">
            <v>16</v>
          </cell>
          <cell r="Z188">
            <v>22500</v>
          </cell>
          <cell r="AA188">
            <v>0.52</v>
          </cell>
          <cell r="AB188">
            <v>22500</v>
          </cell>
          <cell r="AC188">
            <v>0.52</v>
          </cell>
          <cell r="AD188">
            <v>8660</v>
          </cell>
          <cell r="AE188">
            <v>1130657</v>
          </cell>
          <cell r="AF188">
            <v>0.38490000000000002</v>
          </cell>
          <cell r="AG188">
            <v>571</v>
          </cell>
          <cell r="AH188">
            <v>1957000</v>
          </cell>
          <cell r="AI188">
            <v>3198</v>
          </cell>
          <cell r="AJ188">
            <v>462</v>
          </cell>
          <cell r="AK188" t="str">
            <v>CYPRESS AVE</v>
          </cell>
          <cell r="AL188" t="str">
            <v>E 135TH ST</v>
          </cell>
          <cell r="AM188" t="str">
            <v>E 137TH ST</v>
          </cell>
          <cell r="AO188" t="str">
            <v>BRONX</v>
          </cell>
          <cell r="AP188">
            <v>1</v>
          </cell>
          <cell r="AQ188">
            <v>15</v>
          </cell>
          <cell r="AR188">
            <v>29</v>
          </cell>
          <cell r="AS188">
            <v>84</v>
          </cell>
          <cell r="AT188">
            <v>8</v>
          </cell>
          <cell r="AU188">
            <v>22677</v>
          </cell>
          <cell r="AV188" t="str">
            <v>1979/08/01-ATP 4</v>
          </cell>
        </row>
        <row r="189">
          <cell r="B189" t="str">
            <v>MITCHEL</v>
          </cell>
          <cell r="C189" t="str">
            <v>NY005011450</v>
          </cell>
          <cell r="D189">
            <v>145</v>
          </cell>
          <cell r="E189">
            <v>145</v>
          </cell>
          <cell r="F189">
            <v>249</v>
          </cell>
          <cell r="G189">
            <v>249</v>
          </cell>
          <cell r="H189" t="str">
            <v>NY005050</v>
          </cell>
          <cell r="I189" t="str">
            <v>FEDERAL</v>
          </cell>
          <cell r="J189" t="str">
            <v>CONVENTIONAL</v>
          </cell>
          <cell r="K189" t="str">
            <v>NEW CONST</v>
          </cell>
          <cell r="M189">
            <v>1732</v>
          </cell>
          <cell r="N189">
            <v>1732</v>
          </cell>
          <cell r="O189">
            <v>7554</v>
          </cell>
          <cell r="P189">
            <v>4.3600000000000003</v>
          </cell>
          <cell r="R189">
            <v>4010</v>
          </cell>
          <cell r="S189">
            <v>4010</v>
          </cell>
          <cell r="T189">
            <v>666</v>
          </cell>
          <cell r="U189">
            <v>0.39100000000000001</v>
          </cell>
          <cell r="V189">
            <v>10</v>
          </cell>
          <cell r="W189">
            <v>1</v>
          </cell>
          <cell r="X189">
            <v>12</v>
          </cell>
          <cell r="Y189" t="str">
            <v>17-19-20</v>
          </cell>
          <cell r="Z189">
            <v>699494</v>
          </cell>
          <cell r="AA189">
            <v>16.059999999999999</v>
          </cell>
          <cell r="AB189">
            <v>653938</v>
          </cell>
          <cell r="AC189">
            <v>15.01</v>
          </cell>
          <cell r="AD189">
            <v>97114</v>
          </cell>
          <cell r="AE189">
            <v>14044919</v>
          </cell>
          <cell r="AF189">
            <v>0.13880000000000001</v>
          </cell>
          <cell r="AG189">
            <v>250</v>
          </cell>
          <cell r="AH189">
            <v>33012851</v>
          </cell>
          <cell r="AI189">
            <v>4350</v>
          </cell>
          <cell r="AJ189">
            <v>534</v>
          </cell>
          <cell r="AK189" t="str">
            <v>LINCOLN AVE</v>
          </cell>
          <cell r="AL189" t="str">
            <v>E 138TH ST</v>
          </cell>
          <cell r="AM189" t="str">
            <v>WILLIS AVE</v>
          </cell>
          <cell r="AN189" t="str">
            <v>E 135TH ST</v>
          </cell>
          <cell r="AO189" t="str">
            <v>BRONX</v>
          </cell>
          <cell r="AP189">
            <v>1</v>
          </cell>
          <cell r="AQ189">
            <v>15</v>
          </cell>
          <cell r="AR189">
            <v>29</v>
          </cell>
          <cell r="AS189">
            <v>84</v>
          </cell>
          <cell r="AT189">
            <v>8</v>
          </cell>
          <cell r="AU189">
            <v>24166</v>
          </cell>
          <cell r="AW189" t="str">
            <v>PARTIALLY</v>
          </cell>
        </row>
        <row r="190">
          <cell r="B190" t="str">
            <v>MONROE</v>
          </cell>
          <cell r="C190" t="str">
            <v>NY005000880</v>
          </cell>
          <cell r="D190">
            <v>88</v>
          </cell>
          <cell r="E190">
            <v>88</v>
          </cell>
          <cell r="F190">
            <v>234</v>
          </cell>
          <cell r="G190">
            <v>234</v>
          </cell>
          <cell r="H190" t="str">
            <v>NY005036</v>
          </cell>
          <cell r="I190" t="str">
            <v>FEDERAL</v>
          </cell>
          <cell r="J190" t="str">
            <v>CONVENTIONAL</v>
          </cell>
          <cell r="K190" t="str">
            <v>NEW CONST</v>
          </cell>
          <cell r="M190">
            <v>1100</v>
          </cell>
          <cell r="N190">
            <v>1102</v>
          </cell>
          <cell r="O190">
            <v>5299</v>
          </cell>
          <cell r="P190">
            <v>4.82</v>
          </cell>
          <cell r="R190">
            <v>2691</v>
          </cell>
          <cell r="S190">
            <v>2691</v>
          </cell>
          <cell r="T190">
            <v>403</v>
          </cell>
          <cell r="U190">
            <v>0.36899999999999999</v>
          </cell>
          <cell r="V190">
            <v>12</v>
          </cell>
          <cell r="W190">
            <v>1</v>
          </cell>
          <cell r="X190">
            <v>20</v>
          </cell>
          <cell r="Y190">
            <v>42230</v>
          </cell>
          <cell r="Z190">
            <v>805341</v>
          </cell>
          <cell r="AA190">
            <v>18.489999999999998</v>
          </cell>
          <cell r="AB190">
            <v>805341</v>
          </cell>
          <cell r="AC190">
            <v>18.489999999999998</v>
          </cell>
          <cell r="AD190">
            <v>118402</v>
          </cell>
          <cell r="AE190">
            <v>10177348</v>
          </cell>
          <cell r="AF190">
            <v>0.14699999999999999</v>
          </cell>
          <cell r="AG190">
            <v>146</v>
          </cell>
          <cell r="AH190">
            <v>16449659</v>
          </cell>
          <cell r="AI190">
            <v>3100</v>
          </cell>
          <cell r="AJ190">
            <v>526</v>
          </cell>
          <cell r="AK190" t="str">
            <v>SOUNDVIEW AVE</v>
          </cell>
          <cell r="AL190" t="str">
            <v>STORY AVE</v>
          </cell>
          <cell r="AM190" t="str">
            <v>TAYLOR AVE</v>
          </cell>
          <cell r="AN190" t="str">
            <v>LAFAYETTE AVE</v>
          </cell>
          <cell r="AO190" t="str">
            <v>BRONX</v>
          </cell>
          <cell r="AP190">
            <v>9</v>
          </cell>
          <cell r="AQ190">
            <v>15</v>
          </cell>
          <cell r="AR190">
            <v>32</v>
          </cell>
          <cell r="AS190">
            <v>85</v>
          </cell>
          <cell r="AT190">
            <v>18</v>
          </cell>
          <cell r="AU190">
            <v>22587</v>
          </cell>
        </row>
        <row r="191">
          <cell r="B191" t="str">
            <v>MOORE</v>
          </cell>
          <cell r="C191" t="str">
            <v>NY005010930</v>
          </cell>
          <cell r="D191">
            <v>129</v>
          </cell>
          <cell r="E191">
            <v>93</v>
          </cell>
          <cell r="F191">
            <v>251</v>
          </cell>
          <cell r="G191">
            <v>251</v>
          </cell>
          <cell r="H191" t="str">
            <v>NY005080</v>
          </cell>
          <cell r="I191" t="str">
            <v>FEDERAL</v>
          </cell>
          <cell r="J191" t="str">
            <v>CONVENTIONAL</v>
          </cell>
          <cell r="K191" t="str">
            <v>NEW CONST</v>
          </cell>
          <cell r="M191">
            <v>463</v>
          </cell>
          <cell r="N191">
            <v>463</v>
          </cell>
          <cell r="O191">
            <v>2165.5</v>
          </cell>
          <cell r="P191">
            <v>4.68</v>
          </cell>
          <cell r="R191">
            <v>1133</v>
          </cell>
          <cell r="S191">
            <v>1133</v>
          </cell>
          <cell r="T191">
            <v>157</v>
          </cell>
          <cell r="U191">
            <v>0.34300000000000003</v>
          </cell>
          <cell r="V191">
            <v>2</v>
          </cell>
          <cell r="W191">
            <v>0</v>
          </cell>
          <cell r="X191">
            <v>4</v>
          </cell>
          <cell r="Y191">
            <v>20</v>
          </cell>
          <cell r="Z191">
            <v>117000</v>
          </cell>
          <cell r="AA191">
            <v>2.69</v>
          </cell>
          <cell r="AB191">
            <v>117000</v>
          </cell>
          <cell r="AC191">
            <v>2.69</v>
          </cell>
          <cell r="AD191">
            <v>21826</v>
          </cell>
          <cell r="AE191">
            <v>4029275</v>
          </cell>
          <cell r="AF191">
            <v>0.1865</v>
          </cell>
          <cell r="AG191">
            <v>421</v>
          </cell>
          <cell r="AH191">
            <v>7256661</v>
          </cell>
          <cell r="AI191">
            <v>3350</v>
          </cell>
          <cell r="AJ191">
            <v>520</v>
          </cell>
          <cell r="AK191" t="str">
            <v>E 147TH ST</v>
          </cell>
          <cell r="AL191" t="str">
            <v>E 149TH ST</v>
          </cell>
          <cell r="AM191" t="str">
            <v>JACKSON AVE</v>
          </cell>
          <cell r="AN191" t="str">
            <v>TRINITY AVE</v>
          </cell>
          <cell r="AO191" t="str">
            <v>BRONX</v>
          </cell>
          <cell r="AP191">
            <v>1</v>
          </cell>
          <cell r="AQ191">
            <v>15</v>
          </cell>
          <cell r="AR191">
            <v>29</v>
          </cell>
          <cell r="AS191">
            <v>84</v>
          </cell>
          <cell r="AT191">
            <v>8</v>
          </cell>
          <cell r="AU191">
            <v>23467</v>
          </cell>
        </row>
        <row r="192">
          <cell r="B192" t="str">
            <v>MORRIS I</v>
          </cell>
          <cell r="C192" t="str">
            <v>NY005011020</v>
          </cell>
          <cell r="D192">
            <v>102</v>
          </cell>
          <cell r="E192">
            <v>102</v>
          </cell>
          <cell r="F192">
            <v>239</v>
          </cell>
          <cell r="G192">
            <v>239</v>
          </cell>
          <cell r="H192" t="str">
            <v>NY005037</v>
          </cell>
          <cell r="I192" t="str">
            <v>FEDERAL</v>
          </cell>
          <cell r="J192" t="str">
            <v>CONVENTIONAL</v>
          </cell>
          <cell r="K192" t="str">
            <v>NEW CONST</v>
          </cell>
          <cell r="M192">
            <v>1083</v>
          </cell>
          <cell r="N192">
            <v>1085</v>
          </cell>
          <cell r="O192">
            <v>5237.5</v>
          </cell>
          <cell r="P192">
            <v>4.84</v>
          </cell>
          <cell r="R192">
            <v>2889</v>
          </cell>
          <cell r="S192">
            <v>2889</v>
          </cell>
          <cell r="T192">
            <v>364</v>
          </cell>
          <cell r="U192">
            <v>0.33800000000000002</v>
          </cell>
          <cell r="V192">
            <v>10</v>
          </cell>
          <cell r="W192">
            <v>0</v>
          </cell>
          <cell r="X192">
            <v>10</v>
          </cell>
          <cell r="Y192" t="str">
            <v>16-20</v>
          </cell>
          <cell r="Z192">
            <v>416831</v>
          </cell>
          <cell r="AA192">
            <v>9.57</v>
          </cell>
          <cell r="AB192">
            <v>416831</v>
          </cell>
          <cell r="AC192">
            <v>9.57</v>
          </cell>
          <cell r="AD192">
            <v>66594</v>
          </cell>
          <cell r="AE192">
            <v>9980542</v>
          </cell>
          <cell r="AF192">
            <v>0.1598</v>
          </cell>
          <cell r="AG192">
            <v>302</v>
          </cell>
          <cell r="AH192">
            <v>20735295</v>
          </cell>
          <cell r="AI192">
            <v>4008</v>
          </cell>
          <cell r="AJ192">
            <v>499</v>
          </cell>
          <cell r="AK192" t="str">
            <v>PARK AVE</v>
          </cell>
          <cell r="AL192" t="str">
            <v>E 170TH ST</v>
          </cell>
          <cell r="AM192" t="str">
            <v>THIRD AVE</v>
          </cell>
          <cell r="AN192" t="str">
            <v>E 169TH ST</v>
          </cell>
          <cell r="AO192" t="str">
            <v>BRONX</v>
          </cell>
          <cell r="AP192">
            <v>3</v>
          </cell>
          <cell r="AQ192">
            <v>15</v>
          </cell>
          <cell r="AR192">
            <v>33</v>
          </cell>
          <cell r="AS192">
            <v>79</v>
          </cell>
          <cell r="AT192">
            <v>16</v>
          </cell>
          <cell r="AU192">
            <v>23985</v>
          </cell>
        </row>
        <row r="193">
          <cell r="B193" t="str">
            <v>MORRIS II</v>
          </cell>
          <cell r="C193" t="str">
            <v>NY005011020</v>
          </cell>
          <cell r="D193">
            <v>502</v>
          </cell>
          <cell r="E193">
            <v>102</v>
          </cell>
          <cell r="F193">
            <v>280</v>
          </cell>
          <cell r="G193">
            <v>239</v>
          </cell>
          <cell r="H193" t="str">
            <v>NY005079</v>
          </cell>
          <cell r="I193" t="str">
            <v>FEDERAL</v>
          </cell>
          <cell r="J193" t="str">
            <v>CONVENTIONAL</v>
          </cell>
          <cell r="K193" t="str">
            <v>NEW CONST</v>
          </cell>
          <cell r="M193">
            <v>802</v>
          </cell>
          <cell r="N193">
            <v>802</v>
          </cell>
          <cell r="O193">
            <v>3765</v>
          </cell>
          <cell r="P193">
            <v>4.6900000000000004</v>
          </cell>
          <cell r="R193">
            <v>1989</v>
          </cell>
          <cell r="S193">
            <v>1989</v>
          </cell>
          <cell r="T193">
            <v>268</v>
          </cell>
          <cell r="U193">
            <v>0.33800000000000002</v>
          </cell>
          <cell r="V193">
            <v>7</v>
          </cell>
          <cell r="W193">
            <v>0</v>
          </cell>
          <cell r="X193">
            <v>7</v>
          </cell>
          <cell r="Y193" t="str">
            <v>16-20</v>
          </cell>
          <cell r="Z193">
            <v>358843</v>
          </cell>
          <cell r="AA193">
            <v>8.24</v>
          </cell>
          <cell r="AB193">
            <v>313704</v>
          </cell>
          <cell r="AC193">
            <v>7.2</v>
          </cell>
          <cell r="AD193">
            <v>51875</v>
          </cell>
          <cell r="AE193">
            <v>7162265</v>
          </cell>
          <cell r="AF193">
            <v>0.14460000000000001</v>
          </cell>
          <cell r="AG193">
            <v>241</v>
          </cell>
          <cell r="AH193">
            <v>15391181</v>
          </cell>
          <cell r="AI193">
            <v>4008</v>
          </cell>
          <cell r="AJ193">
            <v>507</v>
          </cell>
          <cell r="AK193" t="str">
            <v>PARK AVE</v>
          </cell>
          <cell r="AL193" t="str">
            <v>E 171ST ST</v>
          </cell>
          <cell r="AM193" t="str">
            <v>THIRD AVE</v>
          </cell>
          <cell r="AN193" t="str">
            <v>E 170TH ST</v>
          </cell>
          <cell r="AO193" t="str">
            <v>BRONX</v>
          </cell>
          <cell r="AP193">
            <v>3</v>
          </cell>
          <cell r="AQ193">
            <v>15</v>
          </cell>
          <cell r="AR193">
            <v>33</v>
          </cell>
          <cell r="AS193">
            <v>79</v>
          </cell>
          <cell r="AT193">
            <v>16</v>
          </cell>
          <cell r="AU193">
            <v>23985</v>
          </cell>
        </row>
        <row r="194">
          <cell r="B194" t="str">
            <v>MORRIS PARK SENIOR CITIZENS HOME</v>
          </cell>
          <cell r="C194" t="str">
            <v>NY005012410</v>
          </cell>
          <cell r="D194">
            <v>277</v>
          </cell>
          <cell r="E194">
            <v>241</v>
          </cell>
          <cell r="F194">
            <v>504</v>
          </cell>
          <cell r="G194">
            <v>346</v>
          </cell>
          <cell r="H194" t="str">
            <v>NY005200</v>
          </cell>
          <cell r="I194" t="str">
            <v>FEDERAL</v>
          </cell>
          <cell r="J194" t="str">
            <v>CONVENTIONAL</v>
          </cell>
          <cell r="K194" t="str">
            <v>REHAB (ELD)</v>
          </cell>
          <cell r="M194">
            <v>97</v>
          </cell>
          <cell r="N194">
            <v>97</v>
          </cell>
          <cell r="O194">
            <v>296.5</v>
          </cell>
          <cell r="P194">
            <v>3.06</v>
          </cell>
          <cell r="R194">
            <v>103</v>
          </cell>
          <cell r="S194">
            <v>103</v>
          </cell>
          <cell r="T194">
            <v>83</v>
          </cell>
          <cell r="U194">
            <v>0.86499999999999999</v>
          </cell>
          <cell r="V194">
            <v>1</v>
          </cell>
          <cell r="W194">
            <v>0</v>
          </cell>
          <cell r="X194">
            <v>1</v>
          </cell>
          <cell r="Y194">
            <v>9</v>
          </cell>
          <cell r="Z194">
            <v>10000</v>
          </cell>
          <cell r="AA194">
            <v>0.23</v>
          </cell>
          <cell r="AB194">
            <v>10000</v>
          </cell>
          <cell r="AC194">
            <v>0.23</v>
          </cell>
          <cell r="AD194">
            <v>6491</v>
          </cell>
          <cell r="AE194">
            <v>561310</v>
          </cell>
          <cell r="AF194">
            <v>0.64910000000000001</v>
          </cell>
          <cell r="AG194">
            <v>448</v>
          </cell>
          <cell r="AH194">
            <v>1989852</v>
          </cell>
          <cell r="AI194">
            <v>6337</v>
          </cell>
          <cell r="AJ194">
            <v>302</v>
          </cell>
          <cell r="AK194" t="str">
            <v>E 124TH ST</v>
          </cell>
          <cell r="AL194" t="str">
            <v>MADISON AVE</v>
          </cell>
          <cell r="AM194" t="str">
            <v>FIFTH AVE</v>
          </cell>
          <cell r="AO194" t="str">
            <v>MANHATTAN</v>
          </cell>
          <cell r="AP194">
            <v>11</v>
          </cell>
          <cell r="AQ194">
            <v>13</v>
          </cell>
          <cell r="AR194">
            <v>30</v>
          </cell>
          <cell r="AS194">
            <v>68</v>
          </cell>
          <cell r="AT194">
            <v>9</v>
          </cell>
          <cell r="AU194">
            <v>28245</v>
          </cell>
          <cell r="AW194" t="str">
            <v>EXCLUSIVELY</v>
          </cell>
          <cell r="AX194" t="str">
            <v>YES</v>
          </cell>
        </row>
        <row r="195">
          <cell r="B195" t="str">
            <v>MORRISANIA</v>
          </cell>
          <cell r="C195" t="str">
            <v>NY005011410</v>
          </cell>
          <cell r="D195">
            <v>130</v>
          </cell>
          <cell r="E195">
            <v>141</v>
          </cell>
          <cell r="F195">
            <v>250</v>
          </cell>
          <cell r="G195">
            <v>231</v>
          </cell>
          <cell r="H195" t="str">
            <v>NY005048</v>
          </cell>
          <cell r="I195" t="str">
            <v>FEDERAL</v>
          </cell>
          <cell r="J195" t="str">
            <v>CONVENTIONAL</v>
          </cell>
          <cell r="K195" t="str">
            <v>NEW CONST</v>
          </cell>
          <cell r="M195">
            <v>206</v>
          </cell>
          <cell r="N195">
            <v>206</v>
          </cell>
          <cell r="O195">
            <v>962</v>
          </cell>
          <cell r="P195">
            <v>4.67</v>
          </cell>
          <cell r="R195">
            <v>531</v>
          </cell>
          <cell r="S195">
            <v>531</v>
          </cell>
          <cell r="T195">
            <v>69</v>
          </cell>
          <cell r="U195">
            <v>0.34</v>
          </cell>
          <cell r="V195">
            <v>2</v>
          </cell>
          <cell r="W195">
            <v>0</v>
          </cell>
          <cell r="X195">
            <v>2</v>
          </cell>
          <cell r="Y195">
            <v>16</v>
          </cell>
          <cell r="Z195">
            <v>60890</v>
          </cell>
          <cell r="AA195">
            <v>1.4</v>
          </cell>
          <cell r="AB195">
            <v>60890</v>
          </cell>
          <cell r="AC195">
            <v>1.4</v>
          </cell>
          <cell r="AD195">
            <v>13024</v>
          </cell>
          <cell r="AE195">
            <v>1769693</v>
          </cell>
          <cell r="AF195">
            <v>0.21390000000000001</v>
          </cell>
          <cell r="AG195">
            <v>379</v>
          </cell>
          <cell r="AH195">
            <v>3742711</v>
          </cell>
          <cell r="AI195">
            <v>3891</v>
          </cell>
          <cell r="AJ195">
            <v>449</v>
          </cell>
          <cell r="AK195" t="str">
            <v>E 169TH ST</v>
          </cell>
          <cell r="AL195" t="str">
            <v>WASHINGTON AVE</v>
          </cell>
          <cell r="AM195" t="str">
            <v>PARK AVE</v>
          </cell>
          <cell r="AO195" t="str">
            <v>BRONX</v>
          </cell>
          <cell r="AP195">
            <v>3</v>
          </cell>
          <cell r="AQ195">
            <v>15</v>
          </cell>
          <cell r="AR195">
            <v>32</v>
          </cell>
          <cell r="AS195">
            <v>79</v>
          </cell>
          <cell r="AT195">
            <v>16</v>
          </cell>
          <cell r="AU195">
            <v>23162</v>
          </cell>
        </row>
        <row r="196">
          <cell r="B196" t="str">
            <v>MORRISANIA AIR RIGHTS</v>
          </cell>
          <cell r="C196" t="str">
            <v>NY005012670</v>
          </cell>
          <cell r="D196">
            <v>267</v>
          </cell>
          <cell r="E196">
            <v>267</v>
          </cell>
          <cell r="F196">
            <v>385</v>
          </cell>
          <cell r="G196">
            <v>385</v>
          </cell>
          <cell r="H196" t="str">
            <v>NY005190</v>
          </cell>
          <cell r="I196" t="str">
            <v>FEDERAL</v>
          </cell>
          <cell r="J196" t="str">
            <v>TURNKEY</v>
          </cell>
          <cell r="K196" t="str">
            <v>NEW CONST</v>
          </cell>
          <cell r="M196">
            <v>841</v>
          </cell>
          <cell r="N196">
            <v>843</v>
          </cell>
          <cell r="O196">
            <v>3788.5</v>
          </cell>
          <cell r="P196">
            <v>4.5</v>
          </cell>
          <cell r="R196">
            <v>1681</v>
          </cell>
          <cell r="S196">
            <v>1681</v>
          </cell>
          <cell r="T196">
            <v>428</v>
          </cell>
          <cell r="U196">
            <v>0.52100000000000002</v>
          </cell>
          <cell r="V196">
            <v>3</v>
          </cell>
          <cell r="W196">
            <v>0</v>
          </cell>
          <cell r="X196">
            <v>5</v>
          </cell>
          <cell r="Y196" t="str">
            <v>19-23-29</v>
          </cell>
          <cell r="Z196">
            <v>274300</v>
          </cell>
          <cell r="AA196">
            <v>6.3</v>
          </cell>
          <cell r="AB196">
            <v>274300</v>
          </cell>
          <cell r="AC196">
            <v>6.3</v>
          </cell>
          <cell r="AD196">
            <v>64435</v>
          </cell>
          <cell r="AE196">
            <v>11316800</v>
          </cell>
          <cell r="AF196">
            <v>0.2349</v>
          </cell>
          <cell r="AG196">
            <v>267</v>
          </cell>
          <cell r="AH196">
            <v>40272504</v>
          </cell>
          <cell r="AI196">
            <v>10584</v>
          </cell>
          <cell r="AJ196">
            <v>473</v>
          </cell>
          <cell r="AK196" t="str">
            <v>PARK AVE</v>
          </cell>
          <cell r="AL196" t="str">
            <v>E 158TH ST</v>
          </cell>
          <cell r="AM196" t="str">
            <v>E 161ST ST</v>
          </cell>
          <cell r="AN196" t="str">
            <v>E 163RD ST</v>
          </cell>
          <cell r="AO196" t="str">
            <v>BRONX</v>
          </cell>
          <cell r="AP196" t="str">
            <v>3, 4</v>
          </cell>
          <cell r="AQ196">
            <v>15</v>
          </cell>
          <cell r="AR196">
            <v>32</v>
          </cell>
          <cell r="AS196">
            <v>79</v>
          </cell>
          <cell r="AT196" t="str">
            <v>16, 17</v>
          </cell>
          <cell r="AU196">
            <v>29587</v>
          </cell>
          <cell r="AW196" t="str">
            <v>PARTIALLY</v>
          </cell>
        </row>
        <row r="197">
          <cell r="B197" t="str">
            <v>MOTT HAVEN</v>
          </cell>
          <cell r="C197" t="str">
            <v>NY005001210</v>
          </cell>
          <cell r="D197">
            <v>121</v>
          </cell>
          <cell r="E197">
            <v>121</v>
          </cell>
          <cell r="F197">
            <v>244</v>
          </cell>
          <cell r="G197">
            <v>244</v>
          </cell>
          <cell r="H197" t="str">
            <v>NY005044</v>
          </cell>
          <cell r="I197" t="str">
            <v>FEDERAL</v>
          </cell>
          <cell r="J197" t="str">
            <v>CONVENTIONAL</v>
          </cell>
          <cell r="K197" t="str">
            <v>NEW CONST</v>
          </cell>
          <cell r="M197">
            <v>992</v>
          </cell>
          <cell r="N197">
            <v>993</v>
          </cell>
          <cell r="O197">
            <v>4634</v>
          </cell>
          <cell r="P197">
            <v>4.67</v>
          </cell>
          <cell r="R197">
            <v>2542</v>
          </cell>
          <cell r="S197">
            <v>2542</v>
          </cell>
          <cell r="T197">
            <v>313</v>
          </cell>
          <cell r="U197">
            <v>0.317</v>
          </cell>
          <cell r="V197">
            <v>8</v>
          </cell>
          <cell r="W197">
            <v>1</v>
          </cell>
          <cell r="X197">
            <v>9</v>
          </cell>
          <cell r="Y197" t="str">
            <v>20-22</v>
          </cell>
          <cell r="Z197">
            <v>417367</v>
          </cell>
          <cell r="AA197">
            <v>9.58</v>
          </cell>
          <cell r="AB197">
            <v>386817</v>
          </cell>
          <cell r="AC197">
            <v>8.8800000000000008</v>
          </cell>
          <cell r="AD197">
            <v>78477</v>
          </cell>
          <cell r="AE197">
            <v>9236613</v>
          </cell>
          <cell r="AF197">
            <v>0.188</v>
          </cell>
          <cell r="AG197">
            <v>265</v>
          </cell>
          <cell r="AH197">
            <v>20670000</v>
          </cell>
          <cell r="AI197">
            <v>4456</v>
          </cell>
          <cell r="AJ197">
            <v>530</v>
          </cell>
          <cell r="AK197" t="str">
            <v>E 140TH ST</v>
          </cell>
          <cell r="AL197" t="str">
            <v>E 144TH ST</v>
          </cell>
          <cell r="AM197" t="str">
            <v>ALEXANDER AVE</v>
          </cell>
          <cell r="AN197" t="str">
            <v>WILLIS AVE</v>
          </cell>
          <cell r="AO197" t="str">
            <v>BRONX</v>
          </cell>
          <cell r="AP197">
            <v>1</v>
          </cell>
          <cell r="AQ197">
            <v>15</v>
          </cell>
          <cell r="AR197">
            <v>29</v>
          </cell>
          <cell r="AS197">
            <v>84</v>
          </cell>
          <cell r="AT197">
            <v>8</v>
          </cell>
          <cell r="AU197">
            <v>23832</v>
          </cell>
        </row>
        <row r="198">
          <cell r="B198" t="str">
            <v>NEW LANE AREA</v>
          </cell>
          <cell r="C198" t="str">
            <v>NY005010350</v>
          </cell>
          <cell r="D198">
            <v>314</v>
          </cell>
          <cell r="E198">
            <v>35</v>
          </cell>
          <cell r="F198">
            <v>306</v>
          </cell>
          <cell r="G198">
            <v>306</v>
          </cell>
          <cell r="H198" t="str">
            <v>NY005242</v>
          </cell>
          <cell r="I198" t="str">
            <v>FEDERAL</v>
          </cell>
          <cell r="J198" t="str">
            <v>TURNKEY</v>
          </cell>
          <cell r="K198" t="str">
            <v>NEW CONST (ELD)</v>
          </cell>
          <cell r="M198">
            <v>276</v>
          </cell>
          <cell r="N198">
            <v>277</v>
          </cell>
          <cell r="O198">
            <v>996</v>
          </cell>
          <cell r="P198">
            <v>3.61</v>
          </cell>
          <cell r="R198">
            <v>348</v>
          </cell>
          <cell r="S198">
            <v>348</v>
          </cell>
          <cell r="T198">
            <v>244</v>
          </cell>
          <cell r="U198">
            <v>0.89100000000000001</v>
          </cell>
          <cell r="V198">
            <v>1</v>
          </cell>
          <cell r="W198">
            <v>0</v>
          </cell>
          <cell r="X198">
            <v>2</v>
          </cell>
          <cell r="Y198">
            <v>10</v>
          </cell>
          <cell r="Z198">
            <v>120879</v>
          </cell>
          <cell r="AA198">
            <v>2.78</v>
          </cell>
          <cell r="AB198">
            <v>120879</v>
          </cell>
          <cell r="AC198">
            <v>2.78</v>
          </cell>
          <cell r="AD198">
            <v>29107</v>
          </cell>
          <cell r="AE198">
            <v>2204124</v>
          </cell>
          <cell r="AF198">
            <v>0.24079999999999999</v>
          </cell>
          <cell r="AG198">
            <v>125</v>
          </cell>
          <cell r="AH198">
            <v>18511313</v>
          </cell>
          <cell r="AI198">
            <v>18493</v>
          </cell>
          <cell r="AJ198">
            <v>327</v>
          </cell>
          <cell r="AK198" t="str">
            <v>LINDEN PL</v>
          </cell>
          <cell r="AL198" t="str">
            <v>NEW LANE</v>
          </cell>
          <cell r="AM198" t="str">
            <v>WATER FRONT TRACT</v>
          </cell>
          <cell r="AO198" t="str">
            <v>STATEN ISLAND</v>
          </cell>
          <cell r="AP198">
            <v>1</v>
          </cell>
          <cell r="AQ198">
            <v>11</v>
          </cell>
          <cell r="AR198">
            <v>23</v>
          </cell>
          <cell r="AS198">
            <v>64</v>
          </cell>
          <cell r="AT198">
            <v>49</v>
          </cell>
          <cell r="AU198">
            <v>30875</v>
          </cell>
          <cell r="AW198" t="str">
            <v>EXCLUSIVELY</v>
          </cell>
          <cell r="AX198" t="str">
            <v>YES</v>
          </cell>
        </row>
        <row r="199">
          <cell r="B199" t="str">
            <v>NOSTRAND</v>
          </cell>
          <cell r="C199" t="str">
            <v>NY005010360</v>
          </cell>
          <cell r="D199">
            <v>43</v>
          </cell>
          <cell r="E199">
            <v>36</v>
          </cell>
          <cell r="F199">
            <v>585</v>
          </cell>
          <cell r="G199">
            <v>585</v>
          </cell>
          <cell r="H199" t="str">
            <v>NY005268C</v>
          </cell>
          <cell r="I199" t="str">
            <v>FEDERAL</v>
          </cell>
          <cell r="J199" t="str">
            <v>CONVENTIONAL</v>
          </cell>
          <cell r="K199" t="str">
            <v>NEW CONST</v>
          </cell>
          <cell r="M199">
            <v>1146</v>
          </cell>
          <cell r="N199">
            <v>1148</v>
          </cell>
          <cell r="O199">
            <v>4966</v>
          </cell>
          <cell r="P199">
            <v>4.33</v>
          </cell>
          <cell r="R199">
            <v>2327</v>
          </cell>
          <cell r="S199">
            <v>2327</v>
          </cell>
          <cell r="T199">
            <v>463</v>
          </cell>
          <cell r="U199">
            <v>0.41</v>
          </cell>
          <cell r="V199">
            <v>16</v>
          </cell>
          <cell r="W199">
            <v>1</v>
          </cell>
          <cell r="X199">
            <v>33</v>
          </cell>
          <cell r="Y199">
            <v>6</v>
          </cell>
          <cell r="Z199">
            <v>1036600</v>
          </cell>
          <cell r="AA199">
            <v>23.8</v>
          </cell>
          <cell r="AB199">
            <v>1036600</v>
          </cell>
          <cell r="AC199">
            <v>23.8</v>
          </cell>
          <cell r="AD199">
            <v>177223</v>
          </cell>
          <cell r="AE199">
            <v>9377365</v>
          </cell>
          <cell r="AF199">
            <v>0.17100000000000001</v>
          </cell>
          <cell r="AG199">
            <v>98</v>
          </cell>
          <cell r="AH199">
            <v>13817794</v>
          </cell>
          <cell r="AI199">
            <v>2779</v>
          </cell>
          <cell r="AJ199">
            <v>516</v>
          </cell>
          <cell r="AK199" t="str">
            <v>AVENUE V</v>
          </cell>
          <cell r="AL199" t="str">
            <v>BRAGG ST</v>
          </cell>
          <cell r="AM199" t="str">
            <v>AVENUE X</v>
          </cell>
          <cell r="AN199" t="str">
            <v>BATCHELDER ST</v>
          </cell>
          <cell r="AO199" t="str">
            <v>BROOKLYN</v>
          </cell>
          <cell r="AP199">
            <v>15</v>
          </cell>
          <cell r="AQ199">
            <v>9</v>
          </cell>
          <cell r="AR199">
            <v>19</v>
          </cell>
          <cell r="AS199">
            <v>41</v>
          </cell>
          <cell r="AT199">
            <v>46</v>
          </cell>
          <cell r="AU199">
            <v>18611</v>
          </cell>
          <cell r="AV199" t="str">
            <v>1980/07/01-ATP 6</v>
          </cell>
        </row>
        <row r="200">
          <cell r="B200" t="str">
            <v>OCEAN BAY APARTMENTS (OCEANSIDE)</v>
          </cell>
          <cell r="C200" t="str">
            <v>NY005010980</v>
          </cell>
          <cell r="D200">
            <v>51</v>
          </cell>
          <cell r="E200">
            <v>165</v>
          </cell>
          <cell r="F200">
            <v>573</v>
          </cell>
          <cell r="G200">
            <v>571</v>
          </cell>
          <cell r="H200" t="str">
            <v>NY005244F</v>
          </cell>
          <cell r="I200" t="str">
            <v>FEDERAL</v>
          </cell>
          <cell r="J200" t="str">
            <v>CONVENTIONAL</v>
          </cell>
          <cell r="K200" t="str">
            <v>NEW CONST</v>
          </cell>
          <cell r="M200">
            <v>417</v>
          </cell>
          <cell r="N200">
            <v>418</v>
          </cell>
          <cell r="O200">
            <v>1766.5</v>
          </cell>
          <cell r="P200">
            <v>4.24</v>
          </cell>
          <cell r="R200">
            <v>837</v>
          </cell>
          <cell r="S200">
            <v>837</v>
          </cell>
          <cell r="T200">
            <v>140</v>
          </cell>
          <cell r="U200">
            <v>0.34</v>
          </cell>
          <cell r="V200">
            <v>7</v>
          </cell>
          <cell r="W200">
            <v>0</v>
          </cell>
          <cell r="X200">
            <v>14</v>
          </cell>
          <cell r="Y200">
            <v>6</v>
          </cell>
          <cell r="Z200">
            <v>354220</v>
          </cell>
          <cell r="AA200">
            <v>8.1300000000000008</v>
          </cell>
          <cell r="AB200">
            <v>310500</v>
          </cell>
          <cell r="AC200">
            <v>7.13</v>
          </cell>
          <cell r="AD200">
            <v>66101</v>
          </cell>
          <cell r="AE200">
            <v>3931321</v>
          </cell>
          <cell r="AF200">
            <v>0.18659999999999999</v>
          </cell>
          <cell r="AG200">
            <v>103</v>
          </cell>
          <cell r="AH200">
            <v>5137275</v>
          </cell>
          <cell r="AI200">
            <v>2901</v>
          </cell>
          <cell r="AJ200">
            <v>548</v>
          </cell>
          <cell r="AK200" t="str">
            <v>ARVERNE BLVD</v>
          </cell>
          <cell r="AL200" t="str">
            <v>B 56TH ST</v>
          </cell>
          <cell r="AM200" t="str">
            <v>BEACH CHANNEL DR</v>
          </cell>
          <cell r="AN200" t="str">
            <v>B 54TH ST</v>
          </cell>
          <cell r="AO200" t="str">
            <v>QUEENS</v>
          </cell>
          <cell r="AP200">
            <v>14</v>
          </cell>
          <cell r="AQ200">
            <v>5</v>
          </cell>
          <cell r="AR200">
            <v>10</v>
          </cell>
          <cell r="AS200">
            <v>31</v>
          </cell>
          <cell r="AT200">
            <v>31</v>
          </cell>
          <cell r="AU200">
            <v>18687</v>
          </cell>
          <cell r="AV200" t="str">
            <v>1979/08/01-ATP 4</v>
          </cell>
        </row>
        <row r="201">
          <cell r="B201" t="str">
            <v>OCEAN HILL APARTMENTS</v>
          </cell>
          <cell r="C201" t="str">
            <v>NY005011620</v>
          </cell>
          <cell r="D201">
            <v>162</v>
          </cell>
          <cell r="E201">
            <v>162</v>
          </cell>
          <cell r="F201">
            <v>269</v>
          </cell>
          <cell r="G201">
            <v>269</v>
          </cell>
          <cell r="H201" t="str">
            <v>NY005072</v>
          </cell>
          <cell r="I201" t="str">
            <v>FEDERAL</v>
          </cell>
          <cell r="J201" t="str">
            <v>CONVENTIONAL</v>
          </cell>
          <cell r="K201" t="str">
            <v>NEW CONST</v>
          </cell>
          <cell r="M201">
            <v>238</v>
          </cell>
          <cell r="N201">
            <v>238</v>
          </cell>
          <cell r="O201">
            <v>1077</v>
          </cell>
          <cell r="P201">
            <v>4.53</v>
          </cell>
          <cell r="R201">
            <v>640</v>
          </cell>
          <cell r="S201">
            <v>640</v>
          </cell>
          <cell r="T201">
            <v>62</v>
          </cell>
          <cell r="U201">
            <v>0.26600000000000001</v>
          </cell>
          <cell r="V201">
            <v>3</v>
          </cell>
          <cell r="W201">
            <v>1</v>
          </cell>
          <cell r="X201">
            <v>4</v>
          </cell>
          <cell r="Y201">
            <v>14</v>
          </cell>
          <cell r="Z201">
            <v>112916</v>
          </cell>
          <cell r="AA201">
            <v>2.59</v>
          </cell>
          <cell r="AB201">
            <v>112916</v>
          </cell>
          <cell r="AC201">
            <v>2.59</v>
          </cell>
          <cell r="AD201">
            <v>16412</v>
          </cell>
          <cell r="AE201">
            <v>2178743</v>
          </cell>
          <cell r="AF201">
            <v>0.14530000000000001</v>
          </cell>
          <cell r="AG201">
            <v>247</v>
          </cell>
          <cell r="AH201">
            <v>4875929</v>
          </cell>
          <cell r="AI201">
            <v>4527</v>
          </cell>
          <cell r="AJ201">
            <v>684</v>
          </cell>
          <cell r="AK201" t="str">
            <v>BROADWAY</v>
          </cell>
          <cell r="AL201" t="str">
            <v>MACDOUGAL ST</v>
          </cell>
          <cell r="AM201" t="str">
            <v>MOTHER GASTON BLVD</v>
          </cell>
          <cell r="AN201" t="str">
            <v>CHERRY ST</v>
          </cell>
          <cell r="AO201" t="str">
            <v>BROOKLYN</v>
          </cell>
          <cell r="AP201">
            <v>16</v>
          </cell>
          <cell r="AQ201">
            <v>8</v>
          </cell>
          <cell r="AR201">
            <v>18</v>
          </cell>
          <cell r="AS201">
            <v>55</v>
          </cell>
          <cell r="AT201">
            <v>37</v>
          </cell>
          <cell r="AU201">
            <v>24928</v>
          </cell>
        </row>
        <row r="202">
          <cell r="B202" t="str">
            <v>OCEAN HILL-BROWNSVILLE</v>
          </cell>
          <cell r="C202" t="str">
            <v>NY005013510</v>
          </cell>
          <cell r="D202">
            <v>313</v>
          </cell>
          <cell r="E202">
            <v>351</v>
          </cell>
          <cell r="F202">
            <v>287</v>
          </cell>
          <cell r="G202">
            <v>765</v>
          </cell>
          <cell r="H202" t="str">
            <v>NY005257</v>
          </cell>
          <cell r="I202" t="str">
            <v>FEDERAL</v>
          </cell>
          <cell r="J202" t="str">
            <v>TURNKEY</v>
          </cell>
          <cell r="K202" t="str">
            <v>REHAB</v>
          </cell>
          <cell r="M202">
            <v>125</v>
          </cell>
          <cell r="N202">
            <v>125</v>
          </cell>
          <cell r="O202">
            <v>540.5</v>
          </cell>
          <cell r="P202">
            <v>4.32</v>
          </cell>
          <cell r="R202">
            <v>304</v>
          </cell>
          <cell r="S202">
            <v>304</v>
          </cell>
          <cell r="T202">
            <v>16</v>
          </cell>
          <cell r="U202">
            <v>0.13100000000000001</v>
          </cell>
          <cell r="V202">
            <v>5</v>
          </cell>
          <cell r="W202">
            <v>0</v>
          </cell>
          <cell r="X202">
            <v>5</v>
          </cell>
          <cell r="Y202">
            <v>4</v>
          </cell>
          <cell r="Z202">
            <v>242141</v>
          </cell>
          <cell r="AA202">
            <v>5.56</v>
          </cell>
          <cell r="AB202">
            <v>242141</v>
          </cell>
          <cell r="AC202">
            <v>5.56</v>
          </cell>
          <cell r="AD202">
            <v>78188</v>
          </cell>
          <cell r="AE202">
            <v>2000000</v>
          </cell>
          <cell r="AF202">
            <v>0.32290000000000002</v>
          </cell>
          <cell r="AG202">
            <v>55</v>
          </cell>
          <cell r="AH202">
            <v>8068686</v>
          </cell>
          <cell r="AI202">
            <v>14942</v>
          </cell>
          <cell r="AJ202">
            <v>599</v>
          </cell>
          <cell r="AK202" t="str">
            <v>RALPH AVE</v>
          </cell>
          <cell r="AL202" t="str">
            <v>ATLANTIC AVE</v>
          </cell>
          <cell r="AM202" t="str">
            <v>SARATOGA AVE</v>
          </cell>
          <cell r="AN202" t="str">
            <v>DEAN ST</v>
          </cell>
          <cell r="AO202" t="str">
            <v>BROOKLYN</v>
          </cell>
          <cell r="AP202">
            <v>16</v>
          </cell>
          <cell r="AQ202">
            <v>8</v>
          </cell>
          <cell r="AR202">
            <v>25</v>
          </cell>
          <cell r="AS202">
            <v>55</v>
          </cell>
          <cell r="AT202">
            <v>41</v>
          </cell>
          <cell r="AU202">
            <v>31726</v>
          </cell>
          <cell r="AX202" t="str">
            <v>YES</v>
          </cell>
        </row>
        <row r="203">
          <cell r="B203" t="str">
            <v>O'DWYER GARDENS</v>
          </cell>
          <cell r="C203" t="str">
            <v>NY005011720</v>
          </cell>
          <cell r="D203">
            <v>172</v>
          </cell>
          <cell r="E203">
            <v>172</v>
          </cell>
          <cell r="F203">
            <v>582</v>
          </cell>
          <cell r="G203">
            <v>582</v>
          </cell>
          <cell r="H203" t="str">
            <v>NY005267D</v>
          </cell>
          <cell r="I203" t="str">
            <v>FEDERAL</v>
          </cell>
          <cell r="J203" t="str">
            <v>CONVENTIONAL</v>
          </cell>
          <cell r="K203" t="str">
            <v>NEW CONST</v>
          </cell>
          <cell r="M203">
            <v>570</v>
          </cell>
          <cell r="N203">
            <v>573</v>
          </cell>
          <cell r="O203">
            <v>2204</v>
          </cell>
          <cell r="P203">
            <v>3.87</v>
          </cell>
          <cell r="R203">
            <v>947</v>
          </cell>
          <cell r="S203">
            <v>947</v>
          </cell>
          <cell r="T203">
            <v>305</v>
          </cell>
          <cell r="U203">
            <v>0.54400000000000004</v>
          </cell>
          <cell r="V203">
            <v>6</v>
          </cell>
          <cell r="W203">
            <v>1</v>
          </cell>
          <cell r="X203">
            <v>7</v>
          </cell>
          <cell r="Y203" t="str">
            <v>15-16</v>
          </cell>
          <cell r="Z203">
            <v>276010</v>
          </cell>
          <cell r="AA203">
            <v>6.34</v>
          </cell>
          <cell r="AB203">
            <v>276010</v>
          </cell>
          <cell r="AC203">
            <v>6.34</v>
          </cell>
          <cell r="AD203">
            <v>34501</v>
          </cell>
          <cell r="AE203">
            <v>5421328</v>
          </cell>
          <cell r="AF203">
            <v>0.125</v>
          </cell>
          <cell r="AG203">
            <v>149</v>
          </cell>
          <cell r="AH203">
            <v>15000000</v>
          </cell>
          <cell r="AI203">
            <v>6649</v>
          </cell>
          <cell r="AJ203">
            <v>525</v>
          </cell>
          <cell r="AK203" t="str">
            <v>W 32ND ST</v>
          </cell>
          <cell r="AL203" t="str">
            <v>SURF AVE</v>
          </cell>
          <cell r="AM203" t="str">
            <v>W 35TH ST</v>
          </cell>
          <cell r="AN203" t="str">
            <v>MERMAID AVE</v>
          </cell>
          <cell r="AO203" t="str">
            <v>BROOKLYN</v>
          </cell>
          <cell r="AP203">
            <v>13</v>
          </cell>
          <cell r="AQ203">
            <v>8</v>
          </cell>
          <cell r="AR203">
            <v>23</v>
          </cell>
          <cell r="AS203">
            <v>46</v>
          </cell>
          <cell r="AT203">
            <v>47</v>
          </cell>
          <cell r="AU203">
            <v>25568</v>
          </cell>
          <cell r="AV203" t="str">
            <v>1980/07/01-ATP 5</v>
          </cell>
        </row>
        <row r="204">
          <cell r="B204" t="str">
            <v>PALMETTO GARDENS</v>
          </cell>
          <cell r="C204" t="str">
            <v>NY005012470</v>
          </cell>
          <cell r="D204">
            <v>195</v>
          </cell>
          <cell r="E204">
            <v>247</v>
          </cell>
          <cell r="F204">
            <v>393</v>
          </cell>
          <cell r="G204">
            <v>393</v>
          </cell>
          <cell r="H204" t="str">
            <v>NY005196</v>
          </cell>
          <cell r="I204" t="str">
            <v>FEDERAL</v>
          </cell>
          <cell r="J204" t="str">
            <v>TURNKEY</v>
          </cell>
          <cell r="K204" t="str">
            <v>NEW CONST (ELD)</v>
          </cell>
          <cell r="M204">
            <v>113</v>
          </cell>
          <cell r="N204">
            <v>115</v>
          </cell>
          <cell r="O204">
            <v>340.5</v>
          </cell>
          <cell r="P204">
            <v>3.01</v>
          </cell>
          <cell r="R204">
            <v>117</v>
          </cell>
          <cell r="S204">
            <v>117</v>
          </cell>
          <cell r="T204">
            <v>107</v>
          </cell>
          <cell r="U204">
            <v>0.95499999999999996</v>
          </cell>
          <cell r="V204">
            <v>1</v>
          </cell>
          <cell r="W204">
            <v>0</v>
          </cell>
          <cell r="X204">
            <v>1</v>
          </cell>
          <cell r="Y204">
            <v>6</v>
          </cell>
          <cell r="Z204">
            <v>27419</v>
          </cell>
          <cell r="AA204">
            <v>0.63</v>
          </cell>
          <cell r="AB204">
            <v>27419</v>
          </cell>
          <cell r="AC204">
            <v>0.63</v>
          </cell>
          <cell r="AD204">
            <v>12739</v>
          </cell>
          <cell r="AE204">
            <v>750300</v>
          </cell>
          <cell r="AF204">
            <v>0.46460000000000001</v>
          </cell>
          <cell r="AG204">
            <v>186</v>
          </cell>
          <cell r="AH204">
            <v>4584000</v>
          </cell>
          <cell r="AI204">
            <v>12257</v>
          </cell>
          <cell r="AJ204">
            <v>315</v>
          </cell>
          <cell r="AK204" t="str">
            <v>PALMETTO ST</v>
          </cell>
          <cell r="AL204" t="str">
            <v>GATES AVE</v>
          </cell>
          <cell r="AM204" t="str">
            <v>EVERGREEN AVE</v>
          </cell>
          <cell r="AN204" t="str">
            <v>BUSHWICK AVE</v>
          </cell>
          <cell r="AO204" t="str">
            <v>BROOKLYN</v>
          </cell>
          <cell r="AP204">
            <v>4</v>
          </cell>
          <cell r="AQ204">
            <v>8</v>
          </cell>
          <cell r="AR204">
            <v>18</v>
          </cell>
          <cell r="AS204">
            <v>54</v>
          </cell>
          <cell r="AT204">
            <v>34</v>
          </cell>
          <cell r="AU204">
            <v>28215</v>
          </cell>
          <cell r="AW204" t="str">
            <v>EXCLUSIVELY</v>
          </cell>
        </row>
        <row r="205">
          <cell r="B205" t="str">
            <v>PARK AVENUE-EAST 122ND, 123RD STREETS</v>
          </cell>
          <cell r="C205" t="str">
            <v>NY005012410</v>
          </cell>
          <cell r="D205">
            <v>204</v>
          </cell>
          <cell r="E205">
            <v>241</v>
          </cell>
          <cell r="F205">
            <v>321</v>
          </cell>
          <cell r="G205">
            <v>346</v>
          </cell>
          <cell r="H205" t="str">
            <v>NY005127</v>
          </cell>
          <cell r="I205" t="str">
            <v>FEDERAL</v>
          </cell>
          <cell r="J205" t="str">
            <v>TURNKEY</v>
          </cell>
          <cell r="K205" t="str">
            <v>NEW CONST</v>
          </cell>
          <cell r="M205">
            <v>90</v>
          </cell>
          <cell r="N205">
            <v>90</v>
          </cell>
          <cell r="O205">
            <v>419</v>
          </cell>
          <cell r="P205">
            <v>4.66</v>
          </cell>
          <cell r="R205">
            <v>205</v>
          </cell>
          <cell r="S205">
            <v>205</v>
          </cell>
          <cell r="T205">
            <v>37</v>
          </cell>
          <cell r="U205">
            <v>0.42</v>
          </cell>
          <cell r="V205">
            <v>2</v>
          </cell>
          <cell r="W205">
            <v>1</v>
          </cell>
          <cell r="X205">
            <v>2</v>
          </cell>
          <cell r="Y205">
            <v>6</v>
          </cell>
          <cell r="Z205">
            <v>32127</v>
          </cell>
          <cell r="AA205">
            <v>0.74</v>
          </cell>
          <cell r="AB205">
            <v>32127</v>
          </cell>
          <cell r="AC205">
            <v>0.74</v>
          </cell>
          <cell r="AD205">
            <v>14614</v>
          </cell>
          <cell r="AE205">
            <v>950094</v>
          </cell>
          <cell r="AF205">
            <v>0.45490000000000003</v>
          </cell>
          <cell r="AG205">
            <v>277</v>
          </cell>
          <cell r="AH205">
            <v>2101938</v>
          </cell>
          <cell r="AI205">
            <v>5017</v>
          </cell>
          <cell r="AJ205">
            <v>542</v>
          </cell>
          <cell r="AK205" t="str">
            <v>E 122ND ST</v>
          </cell>
          <cell r="AL205" t="str">
            <v>PARK AVE</v>
          </cell>
          <cell r="AM205" t="str">
            <v>E 123RD ST</v>
          </cell>
          <cell r="AN205" t="str">
            <v>LEXINGTON AVE</v>
          </cell>
          <cell r="AO205" t="str">
            <v>MANHATTAN</v>
          </cell>
          <cell r="AP205">
            <v>11</v>
          </cell>
          <cell r="AQ205">
            <v>13</v>
          </cell>
          <cell r="AR205">
            <v>30</v>
          </cell>
          <cell r="AS205">
            <v>68</v>
          </cell>
          <cell r="AT205">
            <v>9</v>
          </cell>
          <cell r="AU205">
            <v>25658</v>
          </cell>
        </row>
        <row r="206">
          <cell r="B206" t="str">
            <v>PARK ROCK REHAB</v>
          </cell>
          <cell r="C206" t="str">
            <v>NY005013510</v>
          </cell>
          <cell r="D206">
            <v>351</v>
          </cell>
          <cell r="E206">
            <v>351</v>
          </cell>
          <cell r="F206">
            <v>765</v>
          </cell>
          <cell r="G206">
            <v>765</v>
          </cell>
          <cell r="H206" t="str">
            <v>NY005285</v>
          </cell>
          <cell r="I206" t="str">
            <v>FEDERAL</v>
          </cell>
          <cell r="J206" t="str">
            <v>TURNKEY</v>
          </cell>
          <cell r="K206" t="str">
            <v>REHAB</v>
          </cell>
          <cell r="M206">
            <v>134</v>
          </cell>
          <cell r="N206">
            <v>134</v>
          </cell>
          <cell r="O206">
            <v>582</v>
          </cell>
          <cell r="P206">
            <v>4.34</v>
          </cell>
          <cell r="R206">
            <v>319</v>
          </cell>
          <cell r="S206">
            <v>319</v>
          </cell>
          <cell r="T206">
            <v>31</v>
          </cell>
          <cell r="U206">
            <v>0.23499999999999999</v>
          </cell>
          <cell r="V206">
            <v>9</v>
          </cell>
          <cell r="W206">
            <v>0</v>
          </cell>
          <cell r="X206">
            <v>9</v>
          </cell>
          <cell r="Y206">
            <v>4</v>
          </cell>
          <cell r="Z206">
            <v>53914</v>
          </cell>
          <cell r="AA206">
            <v>1.24</v>
          </cell>
          <cell r="AB206">
            <v>53914</v>
          </cell>
          <cell r="AC206">
            <v>1.24</v>
          </cell>
          <cell r="AD206">
            <v>33105</v>
          </cell>
          <cell r="AE206">
            <v>166531</v>
          </cell>
          <cell r="AF206">
            <v>0.61399999999999999</v>
          </cell>
          <cell r="AG206">
            <v>257</v>
          </cell>
          <cell r="AH206">
            <v>10500000</v>
          </cell>
          <cell r="AI206">
            <v>18041</v>
          </cell>
          <cell r="AJ206">
            <v>679</v>
          </cell>
          <cell r="AK206" t="str">
            <v>BELMONT AVE</v>
          </cell>
          <cell r="AL206" t="str">
            <v>JEROME ST</v>
          </cell>
          <cell r="AM206" t="str">
            <v>SUTTER AVE</v>
          </cell>
          <cell r="AN206" t="str">
            <v>BARBEY ST</v>
          </cell>
          <cell r="AO206" t="str">
            <v>BROOKLYN</v>
          </cell>
          <cell r="AP206">
            <v>8</v>
          </cell>
          <cell r="AQ206">
            <v>9</v>
          </cell>
          <cell r="AR206" t="str">
            <v>20, 25</v>
          </cell>
          <cell r="AS206">
            <v>55</v>
          </cell>
          <cell r="AT206">
            <v>36</v>
          </cell>
          <cell r="AU206">
            <v>31656</v>
          </cell>
          <cell r="AX206" t="str">
            <v>YES</v>
          </cell>
        </row>
        <row r="207">
          <cell r="B207" t="str">
            <v>PARKSIDE</v>
          </cell>
          <cell r="C207" t="str">
            <v>NY005010470</v>
          </cell>
          <cell r="D207">
            <v>47</v>
          </cell>
          <cell r="E207">
            <v>47</v>
          </cell>
          <cell r="F207">
            <v>580</v>
          </cell>
          <cell r="G207">
            <v>580</v>
          </cell>
          <cell r="H207" t="str">
            <v>NY005267B</v>
          </cell>
          <cell r="I207" t="str">
            <v>FEDERAL</v>
          </cell>
          <cell r="J207" t="str">
            <v>CONVENTIONAL</v>
          </cell>
          <cell r="K207" t="str">
            <v>NEW CONST</v>
          </cell>
          <cell r="M207">
            <v>879</v>
          </cell>
          <cell r="N207">
            <v>879</v>
          </cell>
          <cell r="O207">
            <v>3712.5</v>
          </cell>
          <cell r="P207">
            <v>4.22</v>
          </cell>
          <cell r="R207">
            <v>1734</v>
          </cell>
          <cell r="S207">
            <v>1734</v>
          </cell>
          <cell r="T207">
            <v>359</v>
          </cell>
          <cell r="U207">
            <v>0.41299999999999998</v>
          </cell>
          <cell r="V207">
            <v>14</v>
          </cell>
          <cell r="W207">
            <v>0</v>
          </cell>
          <cell r="X207">
            <v>20</v>
          </cell>
          <cell r="Y207" t="str">
            <v>6-7-14-15</v>
          </cell>
          <cell r="Z207">
            <v>485455</v>
          </cell>
          <cell r="AA207">
            <v>11.14</v>
          </cell>
          <cell r="AB207">
            <v>453178</v>
          </cell>
          <cell r="AC207">
            <v>10.4</v>
          </cell>
          <cell r="AD207">
            <v>96415</v>
          </cell>
          <cell r="AE207">
            <v>7454500</v>
          </cell>
          <cell r="AF207">
            <v>0.1986</v>
          </cell>
          <cell r="AG207">
            <v>156</v>
          </cell>
          <cell r="AH207">
            <v>9676316</v>
          </cell>
          <cell r="AI207">
            <v>2606</v>
          </cell>
          <cell r="AJ207">
            <v>506</v>
          </cell>
          <cell r="AK207" t="str">
            <v>ADEE AVE</v>
          </cell>
          <cell r="AL207" t="str">
            <v>WHITE PLAINS RD</v>
          </cell>
          <cell r="AM207" t="str">
            <v>ARNOW AVE</v>
          </cell>
          <cell r="AN207" t="str">
            <v>BRONX PARK EAST</v>
          </cell>
          <cell r="AO207" t="str">
            <v>BRONX</v>
          </cell>
          <cell r="AP207">
            <v>11</v>
          </cell>
          <cell r="AQ207">
            <v>14</v>
          </cell>
          <cell r="AR207">
            <v>36</v>
          </cell>
          <cell r="AS207">
            <v>80</v>
          </cell>
          <cell r="AT207">
            <v>15</v>
          </cell>
          <cell r="AU207">
            <v>18791</v>
          </cell>
          <cell r="AV207" t="str">
            <v>1980/07/01-ATP 5</v>
          </cell>
        </row>
        <row r="208">
          <cell r="B208" t="str">
            <v>PATTERSON</v>
          </cell>
          <cell r="C208" t="str">
            <v>NY005000240</v>
          </cell>
          <cell r="D208">
            <v>24</v>
          </cell>
          <cell r="E208">
            <v>24</v>
          </cell>
          <cell r="F208">
            <v>522</v>
          </cell>
          <cell r="G208">
            <v>522</v>
          </cell>
          <cell r="H208" t="str">
            <v>NY005216A</v>
          </cell>
          <cell r="I208" t="str">
            <v>FEDERAL</v>
          </cell>
          <cell r="J208" t="str">
            <v>CONVENTIONAL</v>
          </cell>
          <cell r="K208" t="str">
            <v>NEW CONST</v>
          </cell>
          <cell r="M208">
            <v>1789</v>
          </cell>
          <cell r="N208">
            <v>1791</v>
          </cell>
          <cell r="O208">
            <v>8508.5</v>
          </cell>
          <cell r="P208">
            <v>4.76</v>
          </cell>
          <cell r="R208">
            <v>4194</v>
          </cell>
          <cell r="S208">
            <v>4194</v>
          </cell>
          <cell r="T208">
            <v>627</v>
          </cell>
          <cell r="U208">
            <v>0.35499999999999998</v>
          </cell>
          <cell r="V208">
            <v>15</v>
          </cell>
          <cell r="W208">
            <v>0</v>
          </cell>
          <cell r="X208">
            <v>25</v>
          </cell>
          <cell r="Y208">
            <v>43629</v>
          </cell>
          <cell r="Z208">
            <v>748573</v>
          </cell>
          <cell r="AA208">
            <v>17.18</v>
          </cell>
          <cell r="AB208">
            <v>702358</v>
          </cell>
          <cell r="AC208">
            <v>16.12</v>
          </cell>
          <cell r="AD208">
            <v>167841</v>
          </cell>
          <cell r="AE208">
            <v>14503544</v>
          </cell>
          <cell r="AF208">
            <v>0.22420000000000001</v>
          </cell>
          <cell r="AG208">
            <v>244</v>
          </cell>
          <cell r="AH208">
            <v>20731000</v>
          </cell>
          <cell r="AI208">
            <v>2433</v>
          </cell>
          <cell r="AJ208">
            <v>519</v>
          </cell>
          <cell r="AK208" t="str">
            <v>MORRIS AVE</v>
          </cell>
          <cell r="AL208" t="str">
            <v>THIRD AVE</v>
          </cell>
          <cell r="AM208" t="str">
            <v>E 145TH ST</v>
          </cell>
          <cell r="AN208" t="str">
            <v>E 139TH ST</v>
          </cell>
          <cell r="AO208" t="str">
            <v>BRONX</v>
          </cell>
          <cell r="AP208">
            <v>1</v>
          </cell>
          <cell r="AQ208">
            <v>15</v>
          </cell>
          <cell r="AR208">
            <v>29</v>
          </cell>
          <cell r="AS208">
            <v>84</v>
          </cell>
          <cell r="AT208">
            <v>8</v>
          </cell>
          <cell r="AU208">
            <v>18628</v>
          </cell>
          <cell r="AV208" t="str">
            <v>1978/02/01-ATP 2</v>
          </cell>
        </row>
        <row r="209">
          <cell r="B209" t="str">
            <v>PELHAM PARKWAY</v>
          </cell>
          <cell r="C209" t="str">
            <v>NY005010390</v>
          </cell>
          <cell r="D209">
            <v>39</v>
          </cell>
          <cell r="E209">
            <v>39</v>
          </cell>
          <cell r="F209">
            <v>586</v>
          </cell>
          <cell r="G209">
            <v>586</v>
          </cell>
          <cell r="H209" t="str">
            <v>NY005271A</v>
          </cell>
          <cell r="I209" t="str">
            <v>FEDERAL</v>
          </cell>
          <cell r="J209" t="str">
            <v>CONVENTIONAL</v>
          </cell>
          <cell r="K209" t="str">
            <v>NEW CONST</v>
          </cell>
          <cell r="M209">
            <v>1265</v>
          </cell>
          <cell r="N209">
            <v>1266</v>
          </cell>
          <cell r="O209">
            <v>5446.5</v>
          </cell>
          <cell r="P209">
            <v>4.3099999999999996</v>
          </cell>
          <cell r="R209">
            <v>2472</v>
          </cell>
          <cell r="S209">
            <v>2472</v>
          </cell>
          <cell r="T209">
            <v>528</v>
          </cell>
          <cell r="U209">
            <v>0.42199999999999999</v>
          </cell>
          <cell r="V209">
            <v>23</v>
          </cell>
          <cell r="W209">
            <v>0</v>
          </cell>
          <cell r="X209">
            <v>38</v>
          </cell>
          <cell r="Y209">
            <v>6</v>
          </cell>
          <cell r="Z209">
            <v>1034160</v>
          </cell>
          <cell r="AA209">
            <v>23.74</v>
          </cell>
          <cell r="AB209">
            <v>967252</v>
          </cell>
          <cell r="AC209">
            <v>22.21</v>
          </cell>
          <cell r="AD209">
            <v>184875</v>
          </cell>
          <cell r="AE209">
            <v>10665277</v>
          </cell>
          <cell r="AF209">
            <v>0.17879999999999999</v>
          </cell>
          <cell r="AG209">
            <v>104</v>
          </cell>
          <cell r="AH209">
            <v>15295753</v>
          </cell>
          <cell r="AI209">
            <v>2806</v>
          </cell>
          <cell r="AJ209">
            <v>541</v>
          </cell>
          <cell r="AK209" t="str">
            <v>PELHAM PKWY</v>
          </cell>
          <cell r="AL209" t="str">
            <v>WALLACE AVE</v>
          </cell>
          <cell r="AM209" t="str">
            <v>WILLIAMSBRIDGE RD</v>
          </cell>
          <cell r="AN209" t="str">
            <v>MACE AVE</v>
          </cell>
          <cell r="AO209" t="str">
            <v>BRONX</v>
          </cell>
          <cell r="AP209">
            <v>11</v>
          </cell>
          <cell r="AQ209">
            <v>14</v>
          </cell>
          <cell r="AR209">
            <v>34</v>
          </cell>
          <cell r="AS209">
            <v>80</v>
          </cell>
          <cell r="AT209">
            <v>13</v>
          </cell>
          <cell r="AU209">
            <v>18444</v>
          </cell>
          <cell r="AV209" t="str">
            <v>1980/10/01-ATP 7</v>
          </cell>
        </row>
        <row r="210">
          <cell r="B210" t="str">
            <v>PENNSYLVANIA AVENUE-WORTMAN AVENUE</v>
          </cell>
          <cell r="C210" t="str">
            <v>NY005011940</v>
          </cell>
          <cell r="D210">
            <v>194</v>
          </cell>
          <cell r="E210">
            <v>194</v>
          </cell>
          <cell r="F210">
            <v>305</v>
          </cell>
          <cell r="G210">
            <v>305</v>
          </cell>
          <cell r="H210" t="str">
            <v>NY005091</v>
          </cell>
          <cell r="I210" t="str">
            <v>FEDERAL</v>
          </cell>
          <cell r="J210" t="str">
            <v>CONVENTIONAL</v>
          </cell>
          <cell r="K210" t="str">
            <v>NEW CONST</v>
          </cell>
          <cell r="M210">
            <v>336</v>
          </cell>
          <cell r="N210">
            <v>336</v>
          </cell>
          <cell r="O210">
            <v>1343</v>
          </cell>
          <cell r="P210">
            <v>4</v>
          </cell>
          <cell r="R210">
            <v>627</v>
          </cell>
          <cell r="S210">
            <v>627</v>
          </cell>
          <cell r="T210">
            <v>145</v>
          </cell>
          <cell r="U210">
            <v>0.438</v>
          </cell>
          <cell r="V210">
            <v>3</v>
          </cell>
          <cell r="W210">
            <v>1</v>
          </cell>
          <cell r="X210">
            <v>3</v>
          </cell>
          <cell r="Y210">
            <v>43693</v>
          </cell>
          <cell r="Z210">
            <v>236930</v>
          </cell>
          <cell r="AA210">
            <v>5.44</v>
          </cell>
          <cell r="AB210">
            <v>236930</v>
          </cell>
          <cell r="AC210">
            <v>5.44</v>
          </cell>
          <cell r="AD210">
            <v>40998</v>
          </cell>
          <cell r="AE210">
            <v>2712190</v>
          </cell>
          <cell r="AF210">
            <v>0.17299999999999999</v>
          </cell>
          <cell r="AG210">
            <v>115</v>
          </cell>
          <cell r="AH210">
            <v>11936021</v>
          </cell>
          <cell r="AI210">
            <v>8606</v>
          </cell>
          <cell r="AJ210">
            <v>462</v>
          </cell>
          <cell r="AK210" t="str">
            <v>PENNSYLVANIA AVE</v>
          </cell>
          <cell r="AL210" t="str">
            <v>WORTMAN AVE</v>
          </cell>
          <cell r="AM210" t="str">
            <v>STANLEY AVE</v>
          </cell>
          <cell r="AN210" t="str">
            <v>VERMONT ST</v>
          </cell>
          <cell r="AO210" t="str">
            <v>BROOKLYN</v>
          </cell>
          <cell r="AP210">
            <v>5</v>
          </cell>
          <cell r="AQ210">
            <v>8</v>
          </cell>
          <cell r="AR210">
            <v>19</v>
          </cell>
          <cell r="AS210">
            <v>60</v>
          </cell>
          <cell r="AT210">
            <v>42</v>
          </cell>
          <cell r="AU210">
            <v>26572</v>
          </cell>
        </row>
        <row r="211">
          <cell r="B211" t="str">
            <v>PINK</v>
          </cell>
          <cell r="C211" t="str">
            <v>NY005000890</v>
          </cell>
          <cell r="D211">
            <v>89</v>
          </cell>
          <cell r="E211">
            <v>89</v>
          </cell>
          <cell r="F211">
            <v>235</v>
          </cell>
          <cell r="G211">
            <v>235</v>
          </cell>
          <cell r="H211" t="str">
            <v>NY005035</v>
          </cell>
          <cell r="I211" t="str">
            <v>FEDERAL</v>
          </cell>
          <cell r="J211" t="str">
            <v>CONVENTIONAL</v>
          </cell>
          <cell r="K211" t="str">
            <v>NEW CONST</v>
          </cell>
          <cell r="M211">
            <v>1500</v>
          </cell>
          <cell r="N211">
            <v>1500</v>
          </cell>
          <cell r="O211">
            <v>7098</v>
          </cell>
          <cell r="P211">
            <v>4.7300000000000004</v>
          </cell>
          <cell r="R211">
            <v>3651</v>
          </cell>
          <cell r="S211">
            <v>3651</v>
          </cell>
          <cell r="T211">
            <v>471</v>
          </cell>
          <cell r="U211">
            <v>0.317</v>
          </cell>
          <cell r="V211">
            <v>22</v>
          </cell>
          <cell r="W211">
            <v>2</v>
          </cell>
          <cell r="X211">
            <v>25</v>
          </cell>
          <cell r="Y211">
            <v>8</v>
          </cell>
          <cell r="Z211">
            <v>1354844</v>
          </cell>
          <cell r="AA211">
            <v>31.1</v>
          </cell>
          <cell r="AB211">
            <v>1311306</v>
          </cell>
          <cell r="AC211">
            <v>30.1</v>
          </cell>
          <cell r="AD211">
            <v>193511</v>
          </cell>
          <cell r="AE211">
            <v>13316063</v>
          </cell>
          <cell r="AF211">
            <v>0.14280000000000001</v>
          </cell>
          <cell r="AG211">
            <v>117</v>
          </cell>
          <cell r="AH211">
            <v>20134047</v>
          </cell>
          <cell r="AI211">
            <v>2835</v>
          </cell>
          <cell r="AJ211">
            <v>557</v>
          </cell>
          <cell r="AK211" t="str">
            <v>CRESCENT ST</v>
          </cell>
          <cell r="AL211" t="str">
            <v>LINDEN BLVD</v>
          </cell>
          <cell r="AM211" t="str">
            <v>ELDERTS LA</v>
          </cell>
          <cell r="AN211" t="str">
            <v>STANLEY AVE</v>
          </cell>
          <cell r="AO211" t="str">
            <v>BROOKLYN</v>
          </cell>
          <cell r="AP211">
            <v>5</v>
          </cell>
          <cell r="AQ211">
            <v>8</v>
          </cell>
          <cell r="AR211">
            <v>19</v>
          </cell>
          <cell r="AS211">
            <v>60</v>
          </cell>
          <cell r="AT211">
            <v>42</v>
          </cell>
          <cell r="AU211">
            <v>21823</v>
          </cell>
        </row>
        <row r="212">
          <cell r="B212" t="str">
            <v>POLO GROUNDS TOWERS</v>
          </cell>
          <cell r="C212" t="str">
            <v>NY005001490</v>
          </cell>
          <cell r="D212">
            <v>149</v>
          </cell>
          <cell r="E212">
            <v>149</v>
          </cell>
          <cell r="F212">
            <v>260</v>
          </cell>
          <cell r="G212">
            <v>260</v>
          </cell>
          <cell r="H212" t="str">
            <v>NY005062</v>
          </cell>
          <cell r="I212" t="str">
            <v>FEDERAL</v>
          </cell>
          <cell r="J212" t="str">
            <v>CONVENTIONAL</v>
          </cell>
          <cell r="K212" t="str">
            <v>NEW CONST</v>
          </cell>
          <cell r="M212">
            <v>1614</v>
          </cell>
          <cell r="N212">
            <v>1614</v>
          </cell>
          <cell r="O212">
            <v>7682</v>
          </cell>
          <cell r="P212">
            <v>4.76</v>
          </cell>
          <cell r="R212">
            <v>3941</v>
          </cell>
          <cell r="S212">
            <v>3941</v>
          </cell>
          <cell r="T212">
            <v>581</v>
          </cell>
          <cell r="U212">
            <v>0.36499999999999999</v>
          </cell>
          <cell r="V212">
            <v>4</v>
          </cell>
          <cell r="W212">
            <v>4</v>
          </cell>
          <cell r="X212">
            <v>12</v>
          </cell>
          <cell r="Y212">
            <v>30</v>
          </cell>
          <cell r="Z212">
            <v>659780</v>
          </cell>
          <cell r="AA212">
            <v>15.15</v>
          </cell>
          <cell r="AB212">
            <v>659780</v>
          </cell>
          <cell r="AC212">
            <v>15.15</v>
          </cell>
          <cell r="AD212">
            <v>83689</v>
          </cell>
          <cell r="AE212">
            <v>14904498</v>
          </cell>
          <cell r="AF212">
            <v>0.1268</v>
          </cell>
          <cell r="AG212">
            <v>260</v>
          </cell>
          <cell r="AH212">
            <v>32292784</v>
          </cell>
          <cell r="AI212">
            <v>4190</v>
          </cell>
          <cell r="AJ212">
            <v>545</v>
          </cell>
          <cell r="AK212" t="str">
            <v>DOUGLASS BLVD</v>
          </cell>
          <cell r="AL212" t="str">
            <v>W 155TH ST</v>
          </cell>
          <cell r="AM212" t="str">
            <v>HARLEM RIVER DR</v>
          </cell>
          <cell r="AO212" t="str">
            <v>MANHATTAN</v>
          </cell>
          <cell r="AP212">
            <v>10</v>
          </cell>
          <cell r="AQ212">
            <v>13</v>
          </cell>
          <cell r="AR212">
            <v>30</v>
          </cell>
          <cell r="AS212">
            <v>71</v>
          </cell>
          <cell r="AT212">
            <v>9</v>
          </cell>
          <cell r="AU212">
            <v>25019</v>
          </cell>
        </row>
        <row r="213">
          <cell r="B213" t="str">
            <v>POMONOK</v>
          </cell>
          <cell r="C213" t="str">
            <v>NY005000530</v>
          </cell>
          <cell r="D213">
            <v>53</v>
          </cell>
          <cell r="E213">
            <v>53</v>
          </cell>
          <cell r="F213">
            <v>588</v>
          </cell>
          <cell r="G213">
            <v>588</v>
          </cell>
          <cell r="H213" t="str">
            <v>NY005271C</v>
          </cell>
          <cell r="I213" t="str">
            <v>FEDERAL</v>
          </cell>
          <cell r="J213" t="str">
            <v>CONVENTIONAL</v>
          </cell>
          <cell r="K213" t="str">
            <v>NEW CONST</v>
          </cell>
          <cell r="M213">
            <v>2069</v>
          </cell>
          <cell r="N213">
            <v>2071</v>
          </cell>
          <cell r="O213">
            <v>8838.5</v>
          </cell>
          <cell r="P213">
            <v>4.2699999999999996</v>
          </cell>
          <cell r="R213">
            <v>4219</v>
          </cell>
          <cell r="S213">
            <v>4219</v>
          </cell>
          <cell r="T213">
            <v>839</v>
          </cell>
          <cell r="U213">
            <v>0.40899999999999997</v>
          </cell>
          <cell r="V213">
            <v>35</v>
          </cell>
          <cell r="W213">
            <v>0</v>
          </cell>
          <cell r="X213">
            <v>121</v>
          </cell>
          <cell r="Y213">
            <v>39514</v>
          </cell>
          <cell r="Z213">
            <v>2238984</v>
          </cell>
          <cell r="AA213">
            <v>51.4</v>
          </cell>
          <cell r="AB213">
            <v>2083475</v>
          </cell>
          <cell r="AC213">
            <v>47.83</v>
          </cell>
          <cell r="AD213">
            <v>369627</v>
          </cell>
          <cell r="AE213">
            <v>19315843</v>
          </cell>
          <cell r="AF213">
            <v>0.1651</v>
          </cell>
          <cell r="AG213">
            <v>82</v>
          </cell>
          <cell r="AH213">
            <v>21645342</v>
          </cell>
          <cell r="AI213">
            <v>2446</v>
          </cell>
          <cell r="AJ213">
            <v>563</v>
          </cell>
          <cell r="AK213" t="str">
            <v>71ST AVE</v>
          </cell>
          <cell r="AL213" t="str">
            <v>PARSONS BLVD</v>
          </cell>
          <cell r="AM213" t="str">
            <v>KISSENA BLVD</v>
          </cell>
          <cell r="AN213" t="str">
            <v>65TH AVE</v>
          </cell>
          <cell r="AO213" t="str">
            <v>QUEENS</v>
          </cell>
          <cell r="AP213">
            <v>8</v>
          </cell>
          <cell r="AQ213">
            <v>6</v>
          </cell>
          <cell r="AR213">
            <v>16</v>
          </cell>
          <cell r="AS213">
            <v>27</v>
          </cell>
          <cell r="AT213">
            <v>24</v>
          </cell>
          <cell r="AU213">
            <v>19175</v>
          </cell>
          <cell r="AV213" t="str">
            <v>1980/10/01-ATP 7</v>
          </cell>
        </row>
        <row r="214">
          <cell r="B214" t="str">
            <v>PSS GRANDPARENT FAMILY APARTMENTS</v>
          </cell>
          <cell r="C214" t="str">
            <v>NY005005600</v>
          </cell>
          <cell r="D214">
            <v>560</v>
          </cell>
          <cell r="E214">
            <v>560</v>
          </cell>
          <cell r="H214" t="str">
            <v>NY005387</v>
          </cell>
          <cell r="I214" t="str">
            <v>MIXED FINANCE</v>
          </cell>
          <cell r="J214" t="str">
            <v>TURNKEY</v>
          </cell>
          <cell r="K214" t="str">
            <v>NEW CONST</v>
          </cell>
          <cell r="M214">
            <v>50</v>
          </cell>
          <cell r="N214">
            <v>51</v>
          </cell>
          <cell r="O214">
            <v>235</v>
          </cell>
          <cell r="P214">
            <v>4.7</v>
          </cell>
          <cell r="V214">
            <v>1</v>
          </cell>
          <cell r="W214">
            <v>0</v>
          </cell>
          <cell r="X214">
            <v>1</v>
          </cell>
          <cell r="Y214">
            <v>6</v>
          </cell>
          <cell r="Z214">
            <v>25595</v>
          </cell>
          <cell r="AA214">
            <v>0.59</v>
          </cell>
          <cell r="AB214">
            <v>25595</v>
          </cell>
          <cell r="AC214">
            <v>0.59</v>
          </cell>
          <cell r="AH214">
            <v>12020098</v>
          </cell>
          <cell r="AI214">
            <v>51149</v>
          </cell>
          <cell r="AK214" t="str">
            <v>PROSPECT AVENUE</v>
          </cell>
          <cell r="AL214" t="str">
            <v>UNION AVENUE</v>
          </cell>
          <cell r="AM214" t="str">
            <v>EAST 163RD STREET</v>
          </cell>
          <cell r="AO214" t="str">
            <v>BRONX</v>
          </cell>
          <cell r="AP214">
            <v>3</v>
          </cell>
          <cell r="AQ214">
            <v>15</v>
          </cell>
          <cell r="AR214">
            <v>32</v>
          </cell>
          <cell r="AS214">
            <v>79</v>
          </cell>
          <cell r="AT214">
            <v>17</v>
          </cell>
          <cell r="AU214">
            <v>38496</v>
          </cell>
          <cell r="AY214" t="str">
            <v>YES</v>
          </cell>
        </row>
        <row r="215">
          <cell r="B215" t="str">
            <v>PUBLIC SCHOOL 139 (CONVERSION)</v>
          </cell>
          <cell r="C215" t="str">
            <v>NY005011110</v>
          </cell>
          <cell r="D215">
            <v>340</v>
          </cell>
          <cell r="E215">
            <v>111</v>
          </cell>
          <cell r="F215">
            <v>774</v>
          </cell>
          <cell r="G215">
            <v>774</v>
          </cell>
          <cell r="H215" t="str">
            <v>NY005260</v>
          </cell>
          <cell r="I215" t="str">
            <v>FEDERAL</v>
          </cell>
          <cell r="J215" t="str">
            <v>TURNKEY</v>
          </cell>
          <cell r="K215" t="str">
            <v>REHAB (ELD)</v>
          </cell>
          <cell r="M215">
            <v>125</v>
          </cell>
          <cell r="N215">
            <v>125</v>
          </cell>
          <cell r="O215">
            <v>423.5</v>
          </cell>
          <cell r="P215">
            <v>3.39</v>
          </cell>
          <cell r="R215">
            <v>140</v>
          </cell>
          <cell r="S215">
            <v>140</v>
          </cell>
          <cell r="T215">
            <v>100</v>
          </cell>
          <cell r="U215">
            <v>0.81299999999999994</v>
          </cell>
          <cell r="V215">
            <v>1</v>
          </cell>
          <cell r="W215">
            <v>0</v>
          </cell>
          <cell r="X215">
            <v>2</v>
          </cell>
          <cell r="Y215">
            <v>5</v>
          </cell>
          <cell r="Z215">
            <v>64945</v>
          </cell>
          <cell r="AA215">
            <v>1.49</v>
          </cell>
          <cell r="AB215">
            <v>64945</v>
          </cell>
          <cell r="AC215">
            <v>1.49</v>
          </cell>
          <cell r="AD215">
            <v>26325</v>
          </cell>
          <cell r="AE215">
            <v>2943660</v>
          </cell>
          <cell r="AF215">
            <v>0.40529999999999999</v>
          </cell>
          <cell r="AG215">
            <v>94</v>
          </cell>
          <cell r="AH215">
            <v>7898759</v>
          </cell>
          <cell r="AI215">
            <v>18348</v>
          </cell>
          <cell r="AJ215">
            <v>393</v>
          </cell>
          <cell r="AK215" t="str">
            <v>W 139,140TH STS</v>
          </cell>
          <cell r="AL215" t="str">
            <v>POWELL BLVD</v>
          </cell>
          <cell r="AM215" t="str">
            <v>LENOX AVE</v>
          </cell>
          <cell r="AO215" t="str">
            <v>MANHATTAN</v>
          </cell>
          <cell r="AP215">
            <v>10</v>
          </cell>
          <cell r="AQ215">
            <v>13</v>
          </cell>
          <cell r="AR215">
            <v>30</v>
          </cell>
          <cell r="AS215">
            <v>70</v>
          </cell>
          <cell r="AT215">
            <v>9</v>
          </cell>
          <cell r="AU215">
            <v>31693</v>
          </cell>
          <cell r="AW215" t="str">
            <v>EXCLUSIVELY</v>
          </cell>
          <cell r="AX215" t="str">
            <v>YES</v>
          </cell>
        </row>
        <row r="216">
          <cell r="B216" t="str">
            <v>QUEENSBRIDGE NORTH</v>
          </cell>
          <cell r="C216" t="str">
            <v>NY005005050</v>
          </cell>
          <cell r="D216">
            <v>505</v>
          </cell>
          <cell r="E216">
            <v>505</v>
          </cell>
          <cell r="F216">
            <v>398</v>
          </cell>
          <cell r="G216">
            <v>398</v>
          </cell>
          <cell r="H216" t="str">
            <v>NY005002B</v>
          </cell>
          <cell r="I216" t="str">
            <v>FEDERAL</v>
          </cell>
          <cell r="J216" t="str">
            <v>CONVENTIONAL</v>
          </cell>
          <cell r="K216" t="str">
            <v>NEW CONST</v>
          </cell>
          <cell r="M216">
            <v>1542</v>
          </cell>
          <cell r="N216">
            <v>1543</v>
          </cell>
          <cell r="O216">
            <v>6337</v>
          </cell>
          <cell r="P216">
            <v>4.1100000000000003</v>
          </cell>
          <cell r="R216">
            <v>3129</v>
          </cell>
          <cell r="S216">
            <v>3129</v>
          </cell>
          <cell r="T216">
            <v>582</v>
          </cell>
          <cell r="U216">
            <v>0.38200000000000001</v>
          </cell>
          <cell r="V216">
            <v>13</v>
          </cell>
          <cell r="W216">
            <v>1</v>
          </cell>
          <cell r="X216">
            <v>48</v>
          </cell>
          <cell r="Y216">
            <v>6</v>
          </cell>
          <cell r="Z216">
            <v>886643</v>
          </cell>
          <cell r="AA216">
            <v>20.350000000000001</v>
          </cell>
          <cell r="AB216">
            <v>689843</v>
          </cell>
          <cell r="AC216">
            <v>15.84</v>
          </cell>
          <cell r="AD216">
            <v>191356</v>
          </cell>
          <cell r="AE216">
            <v>11314111</v>
          </cell>
          <cell r="AF216">
            <v>0.21579999999999999</v>
          </cell>
          <cell r="AG216">
            <v>154</v>
          </cell>
          <cell r="AH216">
            <v>6466805</v>
          </cell>
          <cell r="AI216">
            <v>1010</v>
          </cell>
          <cell r="AJ216">
            <v>556</v>
          </cell>
          <cell r="AK216" t="str">
            <v>41ST AVE</v>
          </cell>
          <cell r="AL216" t="str">
            <v>VERNON BLVD</v>
          </cell>
          <cell r="AM216" t="str">
            <v>40TH AVE</v>
          </cell>
          <cell r="AN216" t="str">
            <v>21ST ST</v>
          </cell>
          <cell r="AO216" t="str">
            <v>QUEENS</v>
          </cell>
          <cell r="AP216">
            <v>1</v>
          </cell>
          <cell r="AQ216">
            <v>12</v>
          </cell>
          <cell r="AR216">
            <v>12</v>
          </cell>
          <cell r="AS216">
            <v>37</v>
          </cell>
          <cell r="AT216">
            <v>26</v>
          </cell>
          <cell r="AU216">
            <v>14685</v>
          </cell>
        </row>
        <row r="217">
          <cell r="B217" t="str">
            <v>QUEENSBRIDGE SOUTH</v>
          </cell>
          <cell r="C217" t="str">
            <v>NY005000050</v>
          </cell>
          <cell r="D217">
            <v>5</v>
          </cell>
          <cell r="E217">
            <v>5</v>
          </cell>
          <cell r="F217">
            <v>843</v>
          </cell>
          <cell r="G217">
            <v>843</v>
          </cell>
          <cell r="H217" t="str">
            <v>NY005002A</v>
          </cell>
          <cell r="I217" t="str">
            <v>FEDERAL</v>
          </cell>
          <cell r="J217" t="str">
            <v>CONVENTIONAL</v>
          </cell>
          <cell r="K217" t="str">
            <v>NEW CONST</v>
          </cell>
          <cell r="M217">
            <v>1603</v>
          </cell>
          <cell r="N217">
            <v>1604</v>
          </cell>
          <cell r="O217">
            <v>6625.5</v>
          </cell>
          <cell r="P217">
            <v>4.13</v>
          </cell>
          <cell r="R217">
            <v>3284</v>
          </cell>
          <cell r="S217">
            <v>3284</v>
          </cell>
          <cell r="T217">
            <v>610</v>
          </cell>
          <cell r="U217">
            <v>0.38700000000000001</v>
          </cell>
          <cell r="V217">
            <v>13</v>
          </cell>
          <cell r="W217">
            <v>2</v>
          </cell>
          <cell r="X217">
            <v>50</v>
          </cell>
          <cell r="Y217">
            <v>6</v>
          </cell>
          <cell r="Z217">
            <v>1268298</v>
          </cell>
          <cell r="AA217">
            <v>29.12</v>
          </cell>
          <cell r="AB217">
            <v>820525</v>
          </cell>
          <cell r="AC217">
            <v>18.84</v>
          </cell>
          <cell r="AD217">
            <v>198609</v>
          </cell>
          <cell r="AE217">
            <v>11742973</v>
          </cell>
          <cell r="AF217">
            <v>0.15659999999999999</v>
          </cell>
          <cell r="AG217">
            <v>113</v>
          </cell>
          <cell r="AH217">
            <v>7054601</v>
          </cell>
          <cell r="AI217">
            <v>1057</v>
          </cell>
          <cell r="AJ217">
            <v>521</v>
          </cell>
          <cell r="AK217" t="str">
            <v>41ST AVE</v>
          </cell>
          <cell r="AL217" t="str">
            <v>VERNON BLVD</v>
          </cell>
          <cell r="AM217" t="str">
            <v>41ST RD</v>
          </cell>
          <cell r="AN217" t="str">
            <v>21ST ST</v>
          </cell>
          <cell r="AO217" t="str">
            <v>QUEENS</v>
          </cell>
          <cell r="AP217">
            <v>1</v>
          </cell>
          <cell r="AQ217">
            <v>12</v>
          </cell>
          <cell r="AR217">
            <v>12</v>
          </cell>
          <cell r="AS217">
            <v>37</v>
          </cell>
          <cell r="AT217">
            <v>26</v>
          </cell>
          <cell r="AU217">
            <v>14685</v>
          </cell>
        </row>
        <row r="218">
          <cell r="B218" t="str">
            <v>RALPH AVENUE REHAB</v>
          </cell>
          <cell r="C218" t="str">
            <v>NY005011670</v>
          </cell>
          <cell r="D218">
            <v>352</v>
          </cell>
          <cell r="E218">
            <v>167</v>
          </cell>
          <cell r="F218">
            <v>771</v>
          </cell>
          <cell r="G218">
            <v>763</v>
          </cell>
          <cell r="H218" t="str">
            <v>NY005290</v>
          </cell>
          <cell r="I218" t="str">
            <v>FEDERAL</v>
          </cell>
          <cell r="J218" t="str">
            <v>TURNKEY</v>
          </cell>
          <cell r="K218" t="str">
            <v>REHAB</v>
          </cell>
          <cell r="M218">
            <v>118</v>
          </cell>
          <cell r="N218">
            <v>118</v>
          </cell>
          <cell r="O218">
            <v>529</v>
          </cell>
          <cell r="P218">
            <v>4.4800000000000004</v>
          </cell>
          <cell r="R218">
            <v>284</v>
          </cell>
          <cell r="S218">
            <v>284</v>
          </cell>
          <cell r="T218">
            <v>26</v>
          </cell>
          <cell r="U218">
            <v>0.22</v>
          </cell>
          <cell r="V218">
            <v>5</v>
          </cell>
          <cell r="W218">
            <v>0</v>
          </cell>
          <cell r="X218">
            <v>5</v>
          </cell>
          <cell r="Y218">
            <v>4</v>
          </cell>
          <cell r="Z218">
            <v>70486</v>
          </cell>
          <cell r="AA218">
            <v>1.62</v>
          </cell>
          <cell r="AB218">
            <v>70486</v>
          </cell>
          <cell r="AC218">
            <v>1.62</v>
          </cell>
          <cell r="AD218">
            <v>27982</v>
          </cell>
          <cell r="AE218">
            <v>3052668</v>
          </cell>
          <cell r="AF218">
            <v>0.39700000000000002</v>
          </cell>
          <cell r="AG218">
            <v>175</v>
          </cell>
          <cell r="AH218">
            <v>6714551</v>
          </cell>
          <cell r="AI218">
            <v>12693</v>
          </cell>
          <cell r="AJ218">
            <v>574</v>
          </cell>
          <cell r="AK218" t="str">
            <v>EAST NEW YORK AVE</v>
          </cell>
          <cell r="AL218" t="str">
            <v>RALPH AVE</v>
          </cell>
          <cell r="AM218" t="str">
            <v>SUTTER AVE</v>
          </cell>
          <cell r="AN218" t="str">
            <v>E 98TH ST</v>
          </cell>
          <cell r="AO218" t="str">
            <v>BROOKLYN</v>
          </cell>
          <cell r="AP218">
            <v>16</v>
          </cell>
          <cell r="AQ218">
            <v>9</v>
          </cell>
          <cell r="AR218">
            <v>20</v>
          </cell>
          <cell r="AS218">
            <v>55</v>
          </cell>
          <cell r="AT218">
            <v>41</v>
          </cell>
          <cell r="AU218">
            <v>31769</v>
          </cell>
          <cell r="AX218" t="str">
            <v>YES</v>
          </cell>
        </row>
        <row r="219">
          <cell r="B219" t="str">
            <v>RANDALL AVENUE-BALCOM AVENUE</v>
          </cell>
          <cell r="C219" t="str">
            <v>NY005010630</v>
          </cell>
          <cell r="D219">
            <v>245</v>
          </cell>
          <cell r="E219">
            <v>63</v>
          </cell>
          <cell r="F219">
            <v>364</v>
          </cell>
          <cell r="G219">
            <v>218</v>
          </cell>
          <cell r="H219" t="str">
            <v>NY005179</v>
          </cell>
          <cell r="I219" t="str">
            <v>FEDERAL</v>
          </cell>
          <cell r="J219" t="str">
            <v>TURNKEY</v>
          </cell>
          <cell r="K219" t="str">
            <v>NEW CONST (ELD)</v>
          </cell>
          <cell r="M219">
            <v>251</v>
          </cell>
          <cell r="N219">
            <v>252</v>
          </cell>
          <cell r="O219">
            <v>823.5</v>
          </cell>
          <cell r="P219">
            <v>3.28</v>
          </cell>
          <cell r="R219">
            <v>276</v>
          </cell>
          <cell r="S219">
            <v>276</v>
          </cell>
          <cell r="T219">
            <v>217</v>
          </cell>
          <cell r="U219">
            <v>0.88600000000000001</v>
          </cell>
          <cell r="V219">
            <v>3</v>
          </cell>
          <cell r="W219">
            <v>0</v>
          </cell>
          <cell r="X219">
            <v>3</v>
          </cell>
          <cell r="Y219">
            <v>6</v>
          </cell>
          <cell r="Z219">
            <v>230000</v>
          </cell>
          <cell r="AA219">
            <v>5.28</v>
          </cell>
          <cell r="AB219">
            <v>230000</v>
          </cell>
          <cell r="AC219">
            <v>5.28</v>
          </cell>
          <cell r="AD219">
            <v>48175</v>
          </cell>
          <cell r="AE219">
            <v>1582410</v>
          </cell>
          <cell r="AF219">
            <v>0.20949999999999999</v>
          </cell>
          <cell r="AG219">
            <v>52</v>
          </cell>
          <cell r="AH219">
            <v>9186414</v>
          </cell>
          <cell r="AI219">
            <v>10757</v>
          </cell>
          <cell r="AJ219">
            <v>354</v>
          </cell>
          <cell r="AK219" t="str">
            <v>RANDALL AVE</v>
          </cell>
          <cell r="AL219" t="str">
            <v>BALCOM AVE</v>
          </cell>
          <cell r="AM219" t="str">
            <v>SCHLEY AVE</v>
          </cell>
          <cell r="AN219" t="str">
            <v>BUTTRICK AVE</v>
          </cell>
          <cell r="AO219" t="str">
            <v>BRONX</v>
          </cell>
          <cell r="AP219">
            <v>10</v>
          </cell>
          <cell r="AQ219">
            <v>14</v>
          </cell>
          <cell r="AR219">
            <v>34</v>
          </cell>
          <cell r="AS219">
            <v>82</v>
          </cell>
          <cell r="AT219">
            <v>13</v>
          </cell>
          <cell r="AU219">
            <v>28794</v>
          </cell>
          <cell r="AW219" t="str">
            <v>EXCLUSIVELY</v>
          </cell>
        </row>
        <row r="220">
          <cell r="B220" t="str">
            <v>RANDOLPH SOUTH</v>
          </cell>
          <cell r="C220" t="str">
            <v>NY005026001</v>
          </cell>
          <cell r="D220">
            <v>561</v>
          </cell>
          <cell r="I220" t="str">
            <v>MIXED FINANCE/NON-NYCHA</v>
          </cell>
          <cell r="J220" t="str">
            <v>CONVENTIONAL</v>
          </cell>
          <cell r="K220" t="str">
            <v>GUT REHAB</v>
          </cell>
          <cell r="M220">
            <v>147</v>
          </cell>
          <cell r="N220">
            <v>168</v>
          </cell>
          <cell r="V220">
            <v>2</v>
          </cell>
          <cell r="W220">
            <v>0</v>
          </cell>
          <cell r="Y220">
            <v>5</v>
          </cell>
          <cell r="Z220">
            <v>57935</v>
          </cell>
          <cell r="AK220" t="str">
            <v>WEST 114TH ST</v>
          </cell>
          <cell r="AL220" t="str">
            <v>FREDERICK DOUGLASS BLVD</v>
          </cell>
          <cell r="AO220" t="str">
            <v>MANHATTAN</v>
          </cell>
          <cell r="AP220">
            <v>10</v>
          </cell>
          <cell r="AQ220">
            <v>13</v>
          </cell>
          <cell r="AR220">
            <v>30</v>
          </cell>
          <cell r="AS220">
            <v>70</v>
          </cell>
          <cell r="AT220">
            <v>9</v>
          </cell>
          <cell r="AY220" t="str">
            <v>YES</v>
          </cell>
        </row>
        <row r="221">
          <cell r="B221" t="str">
            <v>RANGEL</v>
          </cell>
          <cell r="C221" t="str">
            <v>NY005000370</v>
          </cell>
          <cell r="D221">
            <v>37</v>
          </cell>
          <cell r="E221">
            <v>37</v>
          </cell>
          <cell r="F221">
            <v>317</v>
          </cell>
          <cell r="G221">
            <v>317</v>
          </cell>
          <cell r="H221" t="str">
            <v>NY005114E</v>
          </cell>
          <cell r="I221" t="str">
            <v>FEDERAL</v>
          </cell>
          <cell r="J221" t="str">
            <v>CONVENTIONAL</v>
          </cell>
          <cell r="K221" t="str">
            <v>NEW CONST</v>
          </cell>
          <cell r="M221">
            <v>982</v>
          </cell>
          <cell r="N221">
            <v>984</v>
          </cell>
          <cell r="O221">
            <v>4515</v>
          </cell>
          <cell r="P221">
            <v>4.5999999999999996</v>
          </cell>
          <cell r="R221">
            <v>2141</v>
          </cell>
          <cell r="S221">
            <v>2141</v>
          </cell>
          <cell r="T221">
            <v>339</v>
          </cell>
          <cell r="U221">
            <v>0.35699999999999998</v>
          </cell>
          <cell r="V221">
            <v>8</v>
          </cell>
          <cell r="W221">
            <v>0</v>
          </cell>
          <cell r="X221">
            <v>9</v>
          </cell>
          <cell r="Y221">
            <v>14</v>
          </cell>
          <cell r="Z221">
            <v>475672</v>
          </cell>
          <cell r="AA221">
            <v>10.92</v>
          </cell>
          <cell r="AB221">
            <v>475672</v>
          </cell>
          <cell r="AC221">
            <v>10.92</v>
          </cell>
          <cell r="AD221">
            <v>71671</v>
          </cell>
          <cell r="AE221">
            <v>7911809</v>
          </cell>
          <cell r="AF221">
            <v>0.1507</v>
          </cell>
          <cell r="AG221">
            <v>196</v>
          </cell>
          <cell r="AH221">
            <v>10613000</v>
          </cell>
          <cell r="AI221">
            <v>2373</v>
          </cell>
          <cell r="AJ221">
            <v>573</v>
          </cell>
          <cell r="AK221" t="str">
            <v>HARLEM RIVER DR</v>
          </cell>
          <cell r="AL221" t="str">
            <v>POLO GROUNDS TOWERS</v>
          </cell>
          <cell r="AM221" t="str">
            <v>HARLEM RIVER DRIVEWAY</v>
          </cell>
          <cell r="AO221" t="str">
            <v>MANHATTAN</v>
          </cell>
          <cell r="AP221">
            <v>10</v>
          </cell>
          <cell r="AQ221">
            <v>13</v>
          </cell>
          <cell r="AR221">
            <v>30</v>
          </cell>
          <cell r="AS221">
            <v>71</v>
          </cell>
          <cell r="AT221">
            <v>9</v>
          </cell>
          <cell r="AU221">
            <v>18909</v>
          </cell>
          <cell r="AV221" t="str">
            <v>1968/08/29-FED TRAN</v>
          </cell>
        </row>
        <row r="222">
          <cell r="B222" t="str">
            <v>RAVENSWOOD</v>
          </cell>
          <cell r="C222" t="str">
            <v>NY005000480</v>
          </cell>
          <cell r="D222">
            <v>48</v>
          </cell>
          <cell r="E222">
            <v>48</v>
          </cell>
          <cell r="F222">
            <v>369</v>
          </cell>
          <cell r="G222">
            <v>369</v>
          </cell>
          <cell r="H222" t="str">
            <v>NY005184</v>
          </cell>
          <cell r="I222" t="str">
            <v>FEDERAL</v>
          </cell>
          <cell r="J222" t="str">
            <v>CONVENTIONAL</v>
          </cell>
          <cell r="K222" t="str">
            <v>NEW CONST</v>
          </cell>
          <cell r="M222">
            <v>2164</v>
          </cell>
          <cell r="N222">
            <v>2166</v>
          </cell>
          <cell r="O222">
            <v>9134</v>
          </cell>
          <cell r="P222">
            <v>4.22</v>
          </cell>
          <cell r="R222">
            <v>4278</v>
          </cell>
          <cell r="S222">
            <v>4278</v>
          </cell>
          <cell r="T222">
            <v>871</v>
          </cell>
          <cell r="U222">
            <v>0.40600000000000003</v>
          </cell>
          <cell r="V222">
            <v>31</v>
          </cell>
          <cell r="W222">
            <v>0</v>
          </cell>
          <cell r="X222">
            <v>45</v>
          </cell>
          <cell r="Y222">
            <v>43623</v>
          </cell>
          <cell r="Z222">
            <v>1667814</v>
          </cell>
          <cell r="AA222">
            <v>38.29</v>
          </cell>
          <cell r="AB222">
            <v>1537135</v>
          </cell>
          <cell r="AC222">
            <v>35.29</v>
          </cell>
          <cell r="AD222">
            <v>346053</v>
          </cell>
          <cell r="AE222">
            <v>18107100</v>
          </cell>
          <cell r="AF222">
            <v>0.20749999999999999</v>
          </cell>
          <cell r="AG222">
            <v>112</v>
          </cell>
          <cell r="AH222">
            <v>21403996</v>
          </cell>
          <cell r="AI222">
            <v>2342</v>
          </cell>
          <cell r="AJ222">
            <v>588</v>
          </cell>
          <cell r="AK222" t="str">
            <v>12TH ST</v>
          </cell>
          <cell r="AL222" t="str">
            <v>34TH AVE</v>
          </cell>
          <cell r="AM222" t="str">
            <v>24TH ST</v>
          </cell>
          <cell r="AN222" t="str">
            <v>36TH AVE</v>
          </cell>
          <cell r="AO222" t="str">
            <v>QUEENS</v>
          </cell>
          <cell r="AP222">
            <v>1</v>
          </cell>
          <cell r="AQ222">
            <v>12</v>
          </cell>
          <cell r="AR222">
            <v>12</v>
          </cell>
          <cell r="AS222">
            <v>37</v>
          </cell>
          <cell r="AT222">
            <v>26</v>
          </cell>
          <cell r="AU222">
            <v>18828</v>
          </cell>
          <cell r="AV222" t="str">
            <v>1971/06/29-FED TRAN</v>
          </cell>
        </row>
        <row r="223">
          <cell r="B223" t="str">
            <v>RED HOOK EAST</v>
          </cell>
          <cell r="C223" t="str">
            <v>NY005000040</v>
          </cell>
          <cell r="D223">
            <v>4</v>
          </cell>
          <cell r="E223">
            <v>4</v>
          </cell>
          <cell r="F223">
            <v>202</v>
          </cell>
          <cell r="G223">
            <v>202</v>
          </cell>
          <cell r="H223" t="str">
            <v>NY005001</v>
          </cell>
          <cell r="I223" t="str">
            <v>FEDERAL</v>
          </cell>
          <cell r="J223" t="str">
            <v>CONVENTIONAL</v>
          </cell>
          <cell r="K223" t="str">
            <v>NEW CONST</v>
          </cell>
          <cell r="M223">
            <v>1404</v>
          </cell>
          <cell r="N223">
            <v>1411</v>
          </cell>
          <cell r="O223">
            <v>5888</v>
          </cell>
          <cell r="P223">
            <v>4.1900000000000004</v>
          </cell>
          <cell r="R223">
            <v>2832</v>
          </cell>
          <cell r="S223">
            <v>2832</v>
          </cell>
          <cell r="T223">
            <v>540</v>
          </cell>
          <cell r="U223">
            <v>0.39600000000000002</v>
          </cell>
          <cell r="V223">
            <v>16</v>
          </cell>
          <cell r="W223">
            <v>3</v>
          </cell>
          <cell r="X223">
            <v>51</v>
          </cell>
          <cell r="Y223">
            <v>43502</v>
          </cell>
          <cell r="Z223">
            <v>856003</v>
          </cell>
          <cell r="AA223">
            <v>19.649999999999999</v>
          </cell>
          <cell r="AB223">
            <v>856003</v>
          </cell>
          <cell r="AC223">
            <v>19.649999999999999</v>
          </cell>
          <cell r="AD223">
            <v>192198</v>
          </cell>
          <cell r="AE223">
            <v>10734477</v>
          </cell>
          <cell r="AF223">
            <v>0.22450000000000001</v>
          </cell>
          <cell r="AG223">
            <v>144</v>
          </cell>
          <cell r="AJ223">
            <v>525</v>
          </cell>
          <cell r="AK223" t="str">
            <v>CLINTON ST</v>
          </cell>
          <cell r="AL223" t="str">
            <v>LORRAINE ST</v>
          </cell>
          <cell r="AM223" t="str">
            <v>COLUMBIA ST</v>
          </cell>
          <cell r="AN223" t="str">
            <v>WEST 9TH ST</v>
          </cell>
          <cell r="AO223" t="str">
            <v>BROOKLYN</v>
          </cell>
          <cell r="AP223">
            <v>6</v>
          </cell>
          <cell r="AQ223">
            <v>7</v>
          </cell>
          <cell r="AR223">
            <v>25</v>
          </cell>
          <cell r="AS223">
            <v>51</v>
          </cell>
          <cell r="AT223">
            <v>38</v>
          </cell>
        </row>
        <row r="224">
          <cell r="B224" t="str">
            <v>RED HOOK I</v>
          </cell>
          <cell r="C224" t="str">
            <v>***</v>
          </cell>
          <cell r="D224" t="str">
            <v>004, 079</v>
          </cell>
          <cell r="E224" t="str">
            <v>004, 079</v>
          </cell>
          <cell r="F224">
            <v>202</v>
          </cell>
          <cell r="G224" t="str">
            <v>202, 230</v>
          </cell>
          <cell r="H224" t="str">
            <v>NY005001</v>
          </cell>
          <cell r="I224" t="str">
            <v>FEDERAL</v>
          </cell>
          <cell r="J224" t="str">
            <v>CONVENTIONAL</v>
          </cell>
          <cell r="K224" t="str">
            <v>NEW CONST</v>
          </cell>
          <cell r="M224">
            <v>2531</v>
          </cell>
          <cell r="N224">
            <v>2545</v>
          </cell>
          <cell r="O224">
            <v>10591</v>
          </cell>
          <cell r="P224">
            <v>4.18</v>
          </cell>
          <cell r="R224">
            <v>5173</v>
          </cell>
          <cell r="S224">
            <v>5137</v>
          </cell>
          <cell r="T224">
            <v>975</v>
          </cell>
          <cell r="U224">
            <v>0.39700000000000002</v>
          </cell>
          <cell r="V224">
            <v>27</v>
          </cell>
          <cell r="W224">
            <v>3</v>
          </cell>
          <cell r="X224">
            <v>89</v>
          </cell>
          <cell r="Y224">
            <v>43502</v>
          </cell>
          <cell r="Z224">
            <v>1452438</v>
          </cell>
          <cell r="AA224">
            <v>33.340000000000003</v>
          </cell>
          <cell r="AB224">
            <v>1452438</v>
          </cell>
          <cell r="AC224">
            <v>33.340000000000003</v>
          </cell>
          <cell r="AD224">
            <v>326157</v>
          </cell>
          <cell r="AE224">
            <v>19292734</v>
          </cell>
          <cell r="AF224">
            <v>0.22459999999999999</v>
          </cell>
          <cell r="AG224">
            <v>154</v>
          </cell>
          <cell r="AH224">
            <v>12102930</v>
          </cell>
          <cell r="AI224">
            <v>1137</v>
          </cell>
          <cell r="AJ224">
            <v>517</v>
          </cell>
          <cell r="AK224" t="str">
            <v>DWIGHT ST</v>
          </cell>
          <cell r="AL224" t="str">
            <v>CLINTON ST</v>
          </cell>
          <cell r="AM224" t="str">
            <v>W 9TH ST</v>
          </cell>
          <cell r="AN224" t="str">
            <v>LORRAINE ST</v>
          </cell>
          <cell r="AO224" t="str">
            <v>BROOKLYN</v>
          </cell>
          <cell r="AP224">
            <v>6</v>
          </cell>
          <cell r="AQ224">
            <v>7</v>
          </cell>
          <cell r="AR224">
            <v>25</v>
          </cell>
          <cell r="AS224">
            <v>51</v>
          </cell>
          <cell r="AT224">
            <v>38</v>
          </cell>
          <cell r="AU224">
            <v>14569</v>
          </cell>
        </row>
        <row r="225">
          <cell r="B225" t="str">
            <v>RED HOOK II</v>
          </cell>
          <cell r="C225" t="str">
            <v>NY005000790</v>
          </cell>
          <cell r="D225" t="str">
            <v>079*</v>
          </cell>
          <cell r="E225">
            <v>79</v>
          </cell>
          <cell r="F225">
            <v>230</v>
          </cell>
          <cell r="G225">
            <v>230</v>
          </cell>
          <cell r="H225" t="str">
            <v>NY005029</v>
          </cell>
          <cell r="I225" t="str">
            <v>FEDERAL</v>
          </cell>
          <cell r="J225" t="str">
            <v>CONVENTIONAL</v>
          </cell>
          <cell r="K225" t="str">
            <v>NEW CONST</v>
          </cell>
          <cell r="M225">
            <v>344</v>
          </cell>
          <cell r="N225">
            <v>346</v>
          </cell>
          <cell r="O225">
            <v>1618</v>
          </cell>
          <cell r="P225">
            <v>4.7</v>
          </cell>
          <cell r="R225">
            <v>860</v>
          </cell>
          <cell r="S225">
            <v>860</v>
          </cell>
          <cell r="T225">
            <v>93</v>
          </cell>
          <cell r="U225">
            <v>0.27500000000000002</v>
          </cell>
          <cell r="V225">
            <v>3</v>
          </cell>
          <cell r="W225">
            <v>1</v>
          </cell>
          <cell r="X225">
            <v>12</v>
          </cell>
          <cell r="Y225">
            <v>43538</v>
          </cell>
          <cell r="Z225">
            <v>245292</v>
          </cell>
          <cell r="AA225">
            <v>5.63</v>
          </cell>
          <cell r="AB225">
            <v>245292</v>
          </cell>
          <cell r="AC225">
            <v>5.63</v>
          </cell>
          <cell r="AD225">
            <v>35301</v>
          </cell>
          <cell r="AE225">
            <v>2896000</v>
          </cell>
          <cell r="AF225">
            <v>0.1439</v>
          </cell>
          <cell r="AG225">
            <v>153</v>
          </cell>
          <cell r="AH225">
            <v>4517169</v>
          </cell>
          <cell r="AI225">
            <v>2776</v>
          </cell>
          <cell r="AJ225">
            <v>615</v>
          </cell>
          <cell r="AK225" t="str">
            <v>RICHARDS ST</v>
          </cell>
          <cell r="AL225" t="str">
            <v>DWIGHT ST</v>
          </cell>
          <cell r="AM225" t="str">
            <v>WOLCOTT ST</v>
          </cell>
          <cell r="AN225" t="str">
            <v>RED HOOK PARK</v>
          </cell>
          <cell r="AO225" t="str">
            <v>BROOKLYN</v>
          </cell>
          <cell r="AP225">
            <v>6</v>
          </cell>
          <cell r="AQ225">
            <v>7</v>
          </cell>
          <cell r="AR225">
            <v>25</v>
          </cell>
          <cell r="AS225">
            <v>51</v>
          </cell>
          <cell r="AT225">
            <v>38</v>
          </cell>
          <cell r="AU225">
            <v>20236</v>
          </cell>
        </row>
        <row r="226">
          <cell r="B226" t="str">
            <v>RED HOOK WEST</v>
          </cell>
          <cell r="C226" t="str">
            <v>NY005000790</v>
          </cell>
          <cell r="D226">
            <v>79</v>
          </cell>
          <cell r="E226">
            <v>79</v>
          </cell>
          <cell r="F226" t="str">
            <v>202 - BLDGS 15-25, 230 - BLDGS 1-4</v>
          </cell>
          <cell r="G226">
            <v>230</v>
          </cell>
          <cell r="H226" t="str">
            <v>NY005001 - BLDGS 15-25, NY005029 - BLDGS 1-4</v>
          </cell>
          <cell r="I226" t="str">
            <v>FEDERAL</v>
          </cell>
          <cell r="J226" t="str">
            <v>CONVENTIONAL</v>
          </cell>
          <cell r="K226" t="str">
            <v>NEW CONST</v>
          </cell>
          <cell r="M226">
            <v>1471</v>
          </cell>
          <cell r="N226">
            <v>1480</v>
          </cell>
          <cell r="O226">
            <v>6320.5</v>
          </cell>
          <cell r="P226">
            <v>4.3</v>
          </cell>
          <cell r="R226">
            <v>3165</v>
          </cell>
          <cell r="S226">
            <v>3165</v>
          </cell>
          <cell r="T226">
            <v>528</v>
          </cell>
          <cell r="U226">
            <v>0.36899999999999999</v>
          </cell>
          <cell r="V226">
            <v>14</v>
          </cell>
          <cell r="W226">
            <v>1</v>
          </cell>
          <cell r="X226">
            <v>50</v>
          </cell>
          <cell r="Y226">
            <v>41704</v>
          </cell>
          <cell r="Z226">
            <v>841727</v>
          </cell>
          <cell r="AA226">
            <v>19.32</v>
          </cell>
          <cell r="AB226">
            <v>841727</v>
          </cell>
          <cell r="AC226">
            <v>19.32</v>
          </cell>
          <cell r="AD226">
            <v>169260</v>
          </cell>
          <cell r="AE226">
            <v>11454257</v>
          </cell>
          <cell r="AF226">
            <v>0.2011</v>
          </cell>
          <cell r="AG226">
            <v>164</v>
          </cell>
          <cell r="AJ226">
            <v>532</v>
          </cell>
          <cell r="AK226" t="str">
            <v>RICHARDS ST</v>
          </cell>
          <cell r="AL226" t="str">
            <v>LORRAINE ST</v>
          </cell>
          <cell r="AM226" t="str">
            <v>HICKS ST</v>
          </cell>
          <cell r="AN226" t="str">
            <v>WEST 9TH ST</v>
          </cell>
          <cell r="AO226" t="str">
            <v>BROOKLYN</v>
          </cell>
          <cell r="AP226">
            <v>6</v>
          </cell>
          <cell r="AQ226">
            <v>7</v>
          </cell>
          <cell r="AR226">
            <v>25</v>
          </cell>
          <cell r="AS226">
            <v>51</v>
          </cell>
          <cell r="AT226">
            <v>38</v>
          </cell>
        </row>
        <row r="227">
          <cell r="B227" t="str">
            <v>REDFERN</v>
          </cell>
          <cell r="C227" t="str">
            <v>NY005000550</v>
          </cell>
          <cell r="D227">
            <v>55</v>
          </cell>
          <cell r="E227">
            <v>55</v>
          </cell>
          <cell r="F227">
            <v>525</v>
          </cell>
          <cell r="G227">
            <v>525</v>
          </cell>
          <cell r="H227" t="str">
            <v>NY005216D</v>
          </cell>
          <cell r="I227" t="str">
            <v>FEDERAL</v>
          </cell>
          <cell r="J227" t="str">
            <v>CONVENTIONAL</v>
          </cell>
          <cell r="K227" t="str">
            <v>NEW CONST</v>
          </cell>
          <cell r="M227">
            <v>599</v>
          </cell>
          <cell r="N227">
            <v>604</v>
          </cell>
          <cell r="O227">
            <v>2908.5</v>
          </cell>
          <cell r="P227">
            <v>4.8600000000000003</v>
          </cell>
          <cell r="R227">
            <v>1573</v>
          </cell>
          <cell r="S227">
            <v>1573</v>
          </cell>
          <cell r="T227">
            <v>185</v>
          </cell>
          <cell r="U227">
            <v>0.315</v>
          </cell>
          <cell r="V227">
            <v>9</v>
          </cell>
          <cell r="W227">
            <v>0</v>
          </cell>
          <cell r="X227">
            <v>16</v>
          </cell>
          <cell r="Y227">
            <v>43623</v>
          </cell>
          <cell r="Z227">
            <v>817865</v>
          </cell>
          <cell r="AA227">
            <v>18.78</v>
          </cell>
          <cell r="AB227">
            <v>726038</v>
          </cell>
          <cell r="AC227">
            <v>16.670000000000002</v>
          </cell>
          <cell r="AD227">
            <v>95461</v>
          </cell>
          <cell r="AE227">
            <v>5602438</v>
          </cell>
          <cell r="AF227">
            <v>0.1167</v>
          </cell>
          <cell r="AG227">
            <v>84</v>
          </cell>
          <cell r="AH227">
            <v>9334000</v>
          </cell>
          <cell r="AI227">
            <v>3186</v>
          </cell>
          <cell r="AJ227">
            <v>506</v>
          </cell>
          <cell r="AK227" t="str">
            <v>REDFERN AVE</v>
          </cell>
          <cell r="AL227" t="str">
            <v>HASSOCK ST</v>
          </cell>
          <cell r="AM227" t="str">
            <v>BEACH CHANNEL DR</v>
          </cell>
          <cell r="AN227" t="str">
            <v>B 12TH ST</v>
          </cell>
          <cell r="AO227" t="str">
            <v>QUEENS</v>
          </cell>
          <cell r="AP227">
            <v>14</v>
          </cell>
          <cell r="AQ227">
            <v>5</v>
          </cell>
          <cell r="AR227">
            <v>10</v>
          </cell>
          <cell r="AS227">
            <v>31</v>
          </cell>
          <cell r="AT227">
            <v>31</v>
          </cell>
          <cell r="AU227">
            <v>21790</v>
          </cell>
          <cell r="AV227" t="str">
            <v>1978/02/01-ATP 2</v>
          </cell>
        </row>
        <row r="228">
          <cell r="B228" t="str">
            <v>REHAB PROGRAM (COLLEGE POINT)</v>
          </cell>
          <cell r="C228" t="str">
            <v>NY005011860</v>
          </cell>
          <cell r="D228">
            <v>143</v>
          </cell>
          <cell r="E228">
            <v>186</v>
          </cell>
          <cell r="F228">
            <v>297</v>
          </cell>
          <cell r="G228">
            <v>290</v>
          </cell>
          <cell r="H228" t="str">
            <v>NY005076E</v>
          </cell>
          <cell r="I228" t="str">
            <v>FEDERAL</v>
          </cell>
          <cell r="J228" t="str">
            <v>CONVENTIONAL</v>
          </cell>
          <cell r="K228" t="str">
            <v>REHAB (ELD)</v>
          </cell>
          <cell r="M228">
            <v>13</v>
          </cell>
          <cell r="N228">
            <v>13</v>
          </cell>
          <cell r="O228">
            <v>32.5</v>
          </cell>
          <cell r="P228">
            <v>2.5</v>
          </cell>
          <cell r="R228">
            <v>13</v>
          </cell>
          <cell r="S228">
            <v>13</v>
          </cell>
          <cell r="T228">
            <v>12</v>
          </cell>
          <cell r="U228">
            <v>0.92300000000000004</v>
          </cell>
          <cell r="V228">
            <v>1</v>
          </cell>
          <cell r="W228">
            <v>0</v>
          </cell>
          <cell r="X228">
            <v>1</v>
          </cell>
          <cell r="Y228">
            <v>1</v>
          </cell>
          <cell r="Z228">
            <v>15000</v>
          </cell>
          <cell r="AA228">
            <v>0.34</v>
          </cell>
          <cell r="AB228">
            <v>15000</v>
          </cell>
          <cell r="AC228">
            <v>0.34</v>
          </cell>
          <cell r="AD228">
            <v>9320</v>
          </cell>
          <cell r="AE228">
            <v>115995</v>
          </cell>
          <cell r="AF228">
            <v>0.62129999999999996</v>
          </cell>
          <cell r="AG228">
            <v>38</v>
          </cell>
          <cell r="AH228">
            <v>5909934</v>
          </cell>
          <cell r="AI228">
            <v>4821</v>
          </cell>
          <cell r="AJ228">
            <v>235</v>
          </cell>
          <cell r="AK228" t="str">
            <v>125TH ST</v>
          </cell>
          <cell r="AL228" t="str">
            <v>22ND AVE</v>
          </cell>
          <cell r="AM228" t="str">
            <v>126TH ST</v>
          </cell>
          <cell r="AO228" t="str">
            <v>QUEENS</v>
          </cell>
          <cell r="AP228">
            <v>7</v>
          </cell>
          <cell r="AQ228">
            <v>14</v>
          </cell>
          <cell r="AR228">
            <v>11</v>
          </cell>
          <cell r="AS228">
            <v>27</v>
          </cell>
          <cell r="AT228">
            <v>19</v>
          </cell>
          <cell r="AU228">
            <v>23407</v>
          </cell>
          <cell r="AW228" t="str">
            <v>EXCLUSIVELY</v>
          </cell>
        </row>
        <row r="229">
          <cell r="B229" t="str">
            <v>REHAB PROGRAM (DOUGLASS REHABS)</v>
          </cell>
          <cell r="C229" t="str">
            <v>NY005013170</v>
          </cell>
          <cell r="D229">
            <v>515</v>
          </cell>
          <cell r="E229">
            <v>359</v>
          </cell>
          <cell r="F229" t="str">
            <v>255 - BLDGS 2-4, 299 - BLDG 1</v>
          </cell>
          <cell r="G229">
            <v>255</v>
          </cell>
          <cell r="H229" t="str">
            <v>NY005076A - BLDG 3-4, NY005076B - BLDGS 2, NY005076C - BLDG 1</v>
          </cell>
          <cell r="I229" t="str">
            <v>FEDERAL</v>
          </cell>
          <cell r="J229" t="str">
            <v>CONVENTIONAL</v>
          </cell>
          <cell r="K229" t="str">
            <v>REHAB</v>
          </cell>
          <cell r="M229">
            <v>112</v>
          </cell>
          <cell r="N229">
            <v>112</v>
          </cell>
          <cell r="O229">
            <v>413</v>
          </cell>
          <cell r="P229">
            <v>3.69</v>
          </cell>
          <cell r="R229">
            <v>182</v>
          </cell>
          <cell r="S229">
            <v>182</v>
          </cell>
          <cell r="T229">
            <v>43</v>
          </cell>
          <cell r="U229">
            <v>0.38400000000000001</v>
          </cell>
          <cell r="V229">
            <v>4</v>
          </cell>
          <cell r="W229">
            <v>0</v>
          </cell>
          <cell r="X229">
            <v>9</v>
          </cell>
          <cell r="Y229">
            <v>39147</v>
          </cell>
          <cell r="Z229">
            <v>24462</v>
          </cell>
          <cell r="AA229">
            <v>0.56000000000000005</v>
          </cell>
          <cell r="AB229">
            <v>24462</v>
          </cell>
          <cell r="AC229">
            <v>0.56000000000000005</v>
          </cell>
          <cell r="AD229">
            <v>16326</v>
          </cell>
          <cell r="AE229">
            <v>1247684</v>
          </cell>
          <cell r="AF229">
            <v>0.66739999999999999</v>
          </cell>
          <cell r="AG229">
            <v>325</v>
          </cell>
          <cell r="AJ229">
            <v>543</v>
          </cell>
          <cell r="AK229" t="str">
            <v>W 104TH ST</v>
          </cell>
          <cell r="AL229" t="str">
            <v>BROADWAY</v>
          </cell>
          <cell r="AM229" t="str">
            <v>W 101ST ST</v>
          </cell>
          <cell r="AN229" t="str">
            <v>WEST END AVE</v>
          </cell>
          <cell r="AO229" t="str">
            <v>MANHATTAN</v>
          </cell>
          <cell r="AP229">
            <v>7</v>
          </cell>
          <cell r="AQ229">
            <v>10</v>
          </cell>
          <cell r="AR229">
            <v>31</v>
          </cell>
          <cell r="AS229">
            <v>69</v>
          </cell>
          <cell r="AT229">
            <v>6</v>
          </cell>
          <cell r="AU229">
            <v>23407</v>
          </cell>
          <cell r="AY229" t="str">
            <v>YES</v>
          </cell>
        </row>
        <row r="230">
          <cell r="B230" t="str">
            <v>REHAB PROGRAM (TAFT REHABS)</v>
          </cell>
          <cell r="C230" t="str">
            <v>NY005013170</v>
          </cell>
          <cell r="D230">
            <v>516</v>
          </cell>
          <cell r="E230">
            <v>359</v>
          </cell>
          <cell r="F230" t="str">
            <v>295 - BLDG 1, 293 - BLDGS 2,3 292 - BLDG 4</v>
          </cell>
          <cell r="G230">
            <v>295</v>
          </cell>
          <cell r="H230" t="str">
            <v>NY005076G - BLDG 1, NY005076I - BLDG 2, 3,  NY005076J - BLDG 4</v>
          </cell>
          <cell r="I230" t="str">
            <v>FEDERAL</v>
          </cell>
          <cell r="J230" t="str">
            <v>CONVENTIONAL</v>
          </cell>
          <cell r="K230" t="str">
            <v>REHAB</v>
          </cell>
          <cell r="M230">
            <v>156</v>
          </cell>
          <cell r="N230">
            <v>156</v>
          </cell>
          <cell r="O230">
            <v>602</v>
          </cell>
          <cell r="P230">
            <v>3.86</v>
          </cell>
          <cell r="R230">
            <v>290</v>
          </cell>
          <cell r="S230">
            <v>290</v>
          </cell>
          <cell r="T230">
            <v>44</v>
          </cell>
          <cell r="U230">
            <v>0.28399999999999997</v>
          </cell>
          <cell r="V230">
            <v>4</v>
          </cell>
          <cell r="W230">
            <v>0</v>
          </cell>
          <cell r="X230">
            <v>4</v>
          </cell>
          <cell r="Y230">
            <v>7</v>
          </cell>
          <cell r="Z230">
            <v>27171</v>
          </cell>
          <cell r="AA230">
            <v>0.62</v>
          </cell>
          <cell r="AB230">
            <v>27171</v>
          </cell>
          <cell r="AC230">
            <v>0.62</v>
          </cell>
          <cell r="AD230">
            <v>22914</v>
          </cell>
          <cell r="AE230">
            <v>1809773</v>
          </cell>
          <cell r="AF230">
            <v>0.84330000000000005</v>
          </cell>
          <cell r="AG230">
            <v>468</v>
          </cell>
          <cell r="AJ230">
            <v>540</v>
          </cell>
          <cell r="AK230" t="str">
            <v>SAINT NICHOLAS AVE</v>
          </cell>
          <cell r="AL230" t="str">
            <v>W 119TH ST</v>
          </cell>
          <cell r="AM230" t="str">
            <v>LENOX AVE</v>
          </cell>
          <cell r="AN230" t="str">
            <v>W 112TH ST</v>
          </cell>
          <cell r="AO230" t="str">
            <v>MANHATTAN</v>
          </cell>
          <cell r="AP230">
            <v>10</v>
          </cell>
          <cell r="AQ230">
            <v>13</v>
          </cell>
          <cell r="AR230">
            <v>30</v>
          </cell>
          <cell r="AS230">
            <v>70</v>
          </cell>
          <cell r="AT230">
            <v>9</v>
          </cell>
          <cell r="AU230">
            <v>23407</v>
          </cell>
          <cell r="AY230" t="str">
            <v>YES</v>
          </cell>
        </row>
        <row r="231">
          <cell r="B231" t="str">
            <v>REHAB PROGRAM (WISE REHAB)</v>
          </cell>
          <cell r="C231" t="str">
            <v>NY005011270</v>
          </cell>
          <cell r="D231">
            <v>517</v>
          </cell>
          <cell r="E231">
            <v>127</v>
          </cell>
          <cell r="F231">
            <v>298</v>
          </cell>
          <cell r="G231">
            <v>259</v>
          </cell>
          <cell r="H231" t="str">
            <v>NY005076D</v>
          </cell>
          <cell r="I231" t="str">
            <v>FEDERAL</v>
          </cell>
          <cell r="J231" t="str">
            <v>CONVENTIONAL</v>
          </cell>
          <cell r="K231" t="str">
            <v>REHAB</v>
          </cell>
          <cell r="M231">
            <v>40</v>
          </cell>
          <cell r="N231">
            <v>40</v>
          </cell>
          <cell r="O231">
            <v>159</v>
          </cell>
          <cell r="P231">
            <v>3.98</v>
          </cell>
          <cell r="R231">
            <v>67</v>
          </cell>
          <cell r="S231">
            <v>67</v>
          </cell>
          <cell r="T231">
            <v>18</v>
          </cell>
          <cell r="U231">
            <v>0.45</v>
          </cell>
          <cell r="V231">
            <v>1</v>
          </cell>
          <cell r="W231">
            <v>0</v>
          </cell>
          <cell r="X231">
            <v>1</v>
          </cell>
          <cell r="Y231">
            <v>5</v>
          </cell>
          <cell r="Z231">
            <v>10071</v>
          </cell>
          <cell r="AA231">
            <v>0.23</v>
          </cell>
          <cell r="AB231">
            <v>10071</v>
          </cell>
          <cell r="AC231">
            <v>0.23</v>
          </cell>
          <cell r="AD231">
            <v>7367</v>
          </cell>
          <cell r="AE231">
            <v>472901</v>
          </cell>
          <cell r="AF231">
            <v>0.73150000000000004</v>
          </cell>
          <cell r="AG231">
            <v>291</v>
          </cell>
          <cell r="AJ231">
            <v>628</v>
          </cell>
          <cell r="AK231" t="str">
            <v>COLUMBUS AVE</v>
          </cell>
          <cell r="AL231" t="str">
            <v>W 94TH ST</v>
          </cell>
          <cell r="AM231" t="str">
            <v>CENTRAL PARK WEST</v>
          </cell>
          <cell r="AN231" t="str">
            <v>W 93RD ST</v>
          </cell>
          <cell r="AO231" t="str">
            <v>MANHATTAN</v>
          </cell>
          <cell r="AP231">
            <v>7</v>
          </cell>
          <cell r="AQ231">
            <v>10</v>
          </cell>
          <cell r="AR231">
            <v>30</v>
          </cell>
          <cell r="AS231">
            <v>69</v>
          </cell>
          <cell r="AT231">
            <v>6</v>
          </cell>
          <cell r="AU231">
            <v>23407</v>
          </cell>
        </row>
        <row r="232">
          <cell r="B232" t="str">
            <v>REID APARTMENTS</v>
          </cell>
          <cell r="C232" t="str">
            <v>NY005011670</v>
          </cell>
          <cell r="D232">
            <v>167</v>
          </cell>
          <cell r="E232">
            <v>167</v>
          </cell>
          <cell r="F232">
            <v>283</v>
          </cell>
          <cell r="G232">
            <v>283</v>
          </cell>
          <cell r="H232" t="str">
            <v>NY005089</v>
          </cell>
          <cell r="I232" t="str">
            <v>FEDERAL</v>
          </cell>
          <cell r="J232" t="str">
            <v>CONVENTIONAL</v>
          </cell>
          <cell r="K232" t="str">
            <v>NEW CONST (ELD)</v>
          </cell>
          <cell r="M232">
            <v>227</v>
          </cell>
          <cell r="N232">
            <v>230</v>
          </cell>
          <cell r="O232">
            <v>681.5</v>
          </cell>
          <cell r="P232">
            <v>3</v>
          </cell>
          <cell r="R232">
            <v>235</v>
          </cell>
          <cell r="S232">
            <v>235</v>
          </cell>
          <cell r="T232">
            <v>206</v>
          </cell>
          <cell r="U232">
            <v>0.92</v>
          </cell>
          <cell r="V232">
            <v>1</v>
          </cell>
          <cell r="W232">
            <v>0</v>
          </cell>
          <cell r="X232">
            <v>1</v>
          </cell>
          <cell r="Y232">
            <v>20</v>
          </cell>
          <cell r="Z232">
            <v>68762</v>
          </cell>
          <cell r="AA232">
            <v>1.58</v>
          </cell>
          <cell r="AB232">
            <v>68762</v>
          </cell>
          <cell r="AC232">
            <v>1.58</v>
          </cell>
          <cell r="AD232">
            <v>13285</v>
          </cell>
          <cell r="AE232">
            <v>1397832</v>
          </cell>
          <cell r="AF232">
            <v>0.19320000000000001</v>
          </cell>
          <cell r="AG232">
            <v>149</v>
          </cell>
          <cell r="AH232">
            <v>3910160</v>
          </cell>
          <cell r="AI232">
            <v>5227</v>
          </cell>
          <cell r="AJ232">
            <v>318</v>
          </cell>
          <cell r="AK232" t="str">
            <v>TROY AVE</v>
          </cell>
          <cell r="AL232" t="str">
            <v>ALBANY AVE</v>
          </cell>
          <cell r="AM232" t="str">
            <v>EAST NEW YORK AVE</v>
          </cell>
          <cell r="AN232" t="str">
            <v>MAPLE ST</v>
          </cell>
          <cell r="AO232" t="str">
            <v>BROOKLYN</v>
          </cell>
          <cell r="AP232">
            <v>9</v>
          </cell>
          <cell r="AQ232">
            <v>9</v>
          </cell>
          <cell r="AR232">
            <v>20</v>
          </cell>
          <cell r="AS232">
            <v>43</v>
          </cell>
          <cell r="AT232">
            <v>41</v>
          </cell>
          <cell r="AU232">
            <v>25537</v>
          </cell>
          <cell r="AW232" t="str">
            <v>EXCLUSIVELY</v>
          </cell>
        </row>
        <row r="233">
          <cell r="B233" t="str">
            <v>RICHMOND TERRACE</v>
          </cell>
          <cell r="C233" t="str">
            <v>NY005011170</v>
          </cell>
          <cell r="D233">
            <v>117</v>
          </cell>
          <cell r="E233">
            <v>117</v>
          </cell>
          <cell r="F233">
            <v>241</v>
          </cell>
          <cell r="G233">
            <v>241</v>
          </cell>
          <cell r="H233" t="str">
            <v>NY005039</v>
          </cell>
          <cell r="I233" t="str">
            <v>FEDERAL</v>
          </cell>
          <cell r="J233" t="str">
            <v>CONVENTIONAL</v>
          </cell>
          <cell r="K233" t="str">
            <v>NEW CONST</v>
          </cell>
          <cell r="M233">
            <v>488</v>
          </cell>
          <cell r="N233">
            <v>489</v>
          </cell>
          <cell r="O233">
            <v>2308</v>
          </cell>
          <cell r="P233">
            <v>4.7300000000000004</v>
          </cell>
          <cell r="R233">
            <v>1269</v>
          </cell>
          <cell r="S233">
            <v>1269</v>
          </cell>
          <cell r="T233">
            <v>137</v>
          </cell>
          <cell r="U233">
            <v>0.28399999999999997</v>
          </cell>
          <cell r="V233">
            <v>6</v>
          </cell>
          <cell r="W233">
            <v>1</v>
          </cell>
          <cell r="X233">
            <v>7</v>
          </cell>
          <cell r="Y233">
            <v>8</v>
          </cell>
          <cell r="Z233">
            <v>464184</v>
          </cell>
          <cell r="AA233">
            <v>10.66</v>
          </cell>
          <cell r="AB233">
            <v>440715</v>
          </cell>
          <cell r="AC233">
            <v>10.119999999999999</v>
          </cell>
          <cell r="AD233">
            <v>57285</v>
          </cell>
          <cell r="AE233">
            <v>4498022</v>
          </cell>
          <cell r="AF233">
            <v>0.1234</v>
          </cell>
          <cell r="AG233">
            <v>119</v>
          </cell>
          <cell r="AH233">
            <v>9551430</v>
          </cell>
          <cell r="AI233">
            <v>4129</v>
          </cell>
          <cell r="AJ233">
            <v>530</v>
          </cell>
          <cell r="AK233" t="str">
            <v>JERSEY ST</v>
          </cell>
          <cell r="AL233" t="str">
            <v>RICHMOND TERR</v>
          </cell>
          <cell r="AM233" t="str">
            <v>CRESCENT AVE</v>
          </cell>
          <cell r="AO233" t="str">
            <v>STATEN ISLAND</v>
          </cell>
          <cell r="AP233">
            <v>1</v>
          </cell>
          <cell r="AQ233">
            <v>11</v>
          </cell>
          <cell r="AR233">
            <v>23</v>
          </cell>
          <cell r="AS233">
            <v>61</v>
          </cell>
          <cell r="AT233">
            <v>49</v>
          </cell>
          <cell r="AU233">
            <v>23497</v>
          </cell>
        </row>
        <row r="234">
          <cell r="B234" t="str">
            <v>RIIS</v>
          </cell>
          <cell r="C234" t="str">
            <v>NY005010180</v>
          </cell>
          <cell r="D234">
            <v>18</v>
          </cell>
          <cell r="E234">
            <v>18</v>
          </cell>
          <cell r="F234">
            <v>210</v>
          </cell>
          <cell r="G234">
            <v>210</v>
          </cell>
          <cell r="H234" t="str">
            <v>NY005008</v>
          </cell>
          <cell r="I234" t="str">
            <v>FEDERAL</v>
          </cell>
          <cell r="J234" t="str">
            <v>CONVENTIONAL</v>
          </cell>
          <cell r="K234" t="str">
            <v>NEW CONST</v>
          </cell>
          <cell r="M234">
            <v>1191</v>
          </cell>
          <cell r="N234">
            <v>1191</v>
          </cell>
          <cell r="O234">
            <v>5666.5</v>
          </cell>
          <cell r="P234">
            <v>4.76</v>
          </cell>
          <cell r="R234">
            <v>2715</v>
          </cell>
          <cell r="S234">
            <v>2715</v>
          </cell>
          <cell r="T234">
            <v>464</v>
          </cell>
          <cell r="U234">
            <v>0.39800000000000002</v>
          </cell>
          <cell r="V234">
            <v>13</v>
          </cell>
          <cell r="W234">
            <v>0</v>
          </cell>
          <cell r="X234">
            <v>18</v>
          </cell>
          <cell r="Y234">
            <v>41803</v>
          </cell>
          <cell r="Z234">
            <v>510926</v>
          </cell>
          <cell r="AA234">
            <v>11.73</v>
          </cell>
          <cell r="AB234">
            <v>510926</v>
          </cell>
          <cell r="AC234">
            <v>11.73</v>
          </cell>
          <cell r="AD234">
            <v>103446</v>
          </cell>
          <cell r="AE234">
            <v>9657260</v>
          </cell>
          <cell r="AF234">
            <v>0.20250000000000001</v>
          </cell>
          <cell r="AG234">
            <v>231</v>
          </cell>
          <cell r="AH234">
            <v>13510289</v>
          </cell>
          <cell r="AI234">
            <v>2411</v>
          </cell>
          <cell r="AJ234">
            <v>595</v>
          </cell>
          <cell r="AK234" t="str">
            <v>FDR DR</v>
          </cell>
          <cell r="AL234" t="str">
            <v>AVENUE D</v>
          </cell>
          <cell r="AM234" t="str">
            <v>E 8TH ST</v>
          </cell>
          <cell r="AN234" t="str">
            <v>E 13TH ST</v>
          </cell>
          <cell r="AO234" t="str">
            <v>MANHATTAN</v>
          </cell>
          <cell r="AP234">
            <v>3</v>
          </cell>
          <cell r="AQ234">
            <v>7</v>
          </cell>
          <cell r="AR234">
            <v>27</v>
          </cell>
          <cell r="AS234">
            <v>74</v>
          </cell>
          <cell r="AT234">
            <v>2</v>
          </cell>
          <cell r="AU234">
            <v>17915</v>
          </cell>
        </row>
        <row r="235">
          <cell r="B235" t="str">
            <v>RIIS II</v>
          </cell>
          <cell r="C235" t="str">
            <v>NY005010180</v>
          </cell>
          <cell r="D235">
            <v>19</v>
          </cell>
          <cell r="E235">
            <v>18</v>
          </cell>
          <cell r="F235">
            <v>372</v>
          </cell>
          <cell r="G235">
            <v>210</v>
          </cell>
          <cell r="H235" t="str">
            <v>NY005181D</v>
          </cell>
          <cell r="I235" t="str">
            <v>FEDERAL</v>
          </cell>
          <cell r="J235" t="str">
            <v>CONVENTIONAL</v>
          </cell>
          <cell r="K235" t="str">
            <v>NEW CONST</v>
          </cell>
          <cell r="M235">
            <v>577</v>
          </cell>
          <cell r="N235">
            <v>578</v>
          </cell>
          <cell r="O235">
            <v>2720.5</v>
          </cell>
          <cell r="P235">
            <v>4.71</v>
          </cell>
          <cell r="R235">
            <v>1271</v>
          </cell>
          <cell r="S235">
            <v>1271</v>
          </cell>
          <cell r="T235">
            <v>244</v>
          </cell>
          <cell r="U235">
            <v>0.42599999999999999</v>
          </cell>
          <cell r="V235">
            <v>6</v>
          </cell>
          <cell r="W235">
            <v>0</v>
          </cell>
          <cell r="X235">
            <v>8</v>
          </cell>
          <cell r="Y235">
            <v>41803</v>
          </cell>
          <cell r="Z235">
            <v>258562</v>
          </cell>
          <cell r="AA235">
            <v>5.94</v>
          </cell>
          <cell r="AB235">
            <v>258562</v>
          </cell>
          <cell r="AC235">
            <v>5.94</v>
          </cell>
          <cell r="AD235">
            <v>43916</v>
          </cell>
          <cell r="AE235">
            <v>4497120</v>
          </cell>
          <cell r="AF235">
            <v>0.16980000000000001</v>
          </cell>
          <cell r="AG235">
            <v>214</v>
          </cell>
          <cell r="AH235">
            <v>6339520</v>
          </cell>
          <cell r="AI235">
            <v>2344</v>
          </cell>
          <cell r="AJ235">
            <v>542</v>
          </cell>
          <cell r="AK235" t="str">
            <v>FDR DR</v>
          </cell>
          <cell r="AL235" t="str">
            <v>AVENUE D</v>
          </cell>
          <cell r="AM235" t="str">
            <v>EAST 6TH ST</v>
          </cell>
          <cell r="AN235" t="str">
            <v>EAST 8TH ST</v>
          </cell>
          <cell r="AO235" t="str">
            <v>MANHATTAN</v>
          </cell>
          <cell r="AP235">
            <v>3</v>
          </cell>
          <cell r="AQ235">
            <v>7</v>
          </cell>
          <cell r="AR235">
            <v>27</v>
          </cell>
          <cell r="AS235">
            <v>74</v>
          </cell>
          <cell r="AT235">
            <v>2</v>
          </cell>
          <cell r="AU235">
            <v>17929</v>
          </cell>
          <cell r="AV235" t="str">
            <v>1972/06/29-FED TRAN</v>
          </cell>
        </row>
        <row r="236">
          <cell r="B236" t="str">
            <v>ROBBINS PLAZA</v>
          </cell>
          <cell r="C236" t="str">
            <v>NY005011390</v>
          </cell>
          <cell r="D236">
            <v>218</v>
          </cell>
          <cell r="E236">
            <v>139</v>
          </cell>
          <cell r="F236">
            <v>329</v>
          </cell>
          <cell r="G236">
            <v>253</v>
          </cell>
          <cell r="H236" t="str">
            <v>NY005151</v>
          </cell>
          <cell r="I236" t="str">
            <v>FEDERAL</v>
          </cell>
          <cell r="J236" t="str">
            <v>CONVENTIONAL</v>
          </cell>
          <cell r="K236" t="str">
            <v>NEW CONST (ELD)</v>
          </cell>
          <cell r="M236">
            <v>150</v>
          </cell>
          <cell r="N236">
            <v>150</v>
          </cell>
          <cell r="O236">
            <v>470</v>
          </cell>
          <cell r="P236">
            <v>3.13</v>
          </cell>
          <cell r="R236">
            <v>160</v>
          </cell>
          <cell r="S236">
            <v>160</v>
          </cell>
          <cell r="T236">
            <v>136</v>
          </cell>
          <cell r="U236">
            <v>0.91900000000000004</v>
          </cell>
          <cell r="V236">
            <v>1</v>
          </cell>
          <cell r="W236">
            <v>0</v>
          </cell>
          <cell r="X236">
            <v>1</v>
          </cell>
          <cell r="Y236">
            <v>20</v>
          </cell>
          <cell r="Z236">
            <v>12553</v>
          </cell>
          <cell r="AA236">
            <v>0.28999999999999998</v>
          </cell>
          <cell r="AB236">
            <v>12553</v>
          </cell>
          <cell r="AC236">
            <v>0.28999999999999998</v>
          </cell>
          <cell r="AD236">
            <v>6773</v>
          </cell>
          <cell r="AE236">
            <v>974866</v>
          </cell>
          <cell r="AF236">
            <v>0.53959999999999997</v>
          </cell>
          <cell r="AG236">
            <v>552</v>
          </cell>
          <cell r="AH236">
            <v>4855905</v>
          </cell>
          <cell r="AI236">
            <v>9568</v>
          </cell>
          <cell r="AJ236">
            <v>340</v>
          </cell>
          <cell r="AK236" t="str">
            <v>E 70TH ST</v>
          </cell>
          <cell r="AL236" t="str">
            <v>FIRST AVE</v>
          </cell>
          <cell r="AM236" t="str">
            <v>E 71ST ST</v>
          </cell>
          <cell r="AN236" t="str">
            <v>SECOND AVE</v>
          </cell>
          <cell r="AO236" t="str">
            <v>MANHATTAN</v>
          </cell>
          <cell r="AP236">
            <v>8</v>
          </cell>
          <cell r="AQ236">
            <v>12</v>
          </cell>
          <cell r="AR236">
            <v>28</v>
          </cell>
          <cell r="AS236">
            <v>76</v>
          </cell>
          <cell r="AT236">
            <v>5</v>
          </cell>
          <cell r="AU236">
            <v>27453</v>
          </cell>
          <cell r="AW236" t="str">
            <v>EXCLUSIVELY</v>
          </cell>
        </row>
        <row r="237">
          <cell r="B237" t="str">
            <v>ROBINSON</v>
          </cell>
          <cell r="C237" t="str">
            <v>NY005012410</v>
          </cell>
          <cell r="D237">
            <v>241</v>
          </cell>
          <cell r="E237">
            <v>241</v>
          </cell>
          <cell r="F237">
            <v>346</v>
          </cell>
          <cell r="G237">
            <v>346</v>
          </cell>
          <cell r="H237" t="str">
            <v>NY005173</v>
          </cell>
          <cell r="I237" t="str">
            <v>FEDERAL</v>
          </cell>
          <cell r="J237" t="str">
            <v>TURNKEY</v>
          </cell>
          <cell r="K237" t="str">
            <v>NEW CONST</v>
          </cell>
          <cell r="M237">
            <v>188</v>
          </cell>
          <cell r="N237">
            <v>189</v>
          </cell>
          <cell r="O237">
            <v>834</v>
          </cell>
          <cell r="P237">
            <v>4.4400000000000004</v>
          </cell>
          <cell r="R237">
            <v>421</v>
          </cell>
          <cell r="S237">
            <v>421</v>
          </cell>
          <cell r="T237">
            <v>70</v>
          </cell>
          <cell r="U237">
            <v>0.376</v>
          </cell>
          <cell r="V237">
            <v>1</v>
          </cell>
          <cell r="W237">
            <v>0</v>
          </cell>
          <cell r="X237">
            <v>2</v>
          </cell>
          <cell r="Y237">
            <v>8</v>
          </cell>
          <cell r="Z237">
            <v>64945</v>
          </cell>
          <cell r="AA237">
            <v>1.49</v>
          </cell>
          <cell r="AB237">
            <v>64945</v>
          </cell>
          <cell r="AC237">
            <v>1.49</v>
          </cell>
          <cell r="AD237">
            <v>22776</v>
          </cell>
          <cell r="AE237">
            <v>1802766</v>
          </cell>
          <cell r="AF237">
            <v>0.35070000000000001</v>
          </cell>
          <cell r="AG237">
            <v>283</v>
          </cell>
          <cell r="AH237">
            <v>5990000</v>
          </cell>
          <cell r="AI237">
            <v>7068</v>
          </cell>
          <cell r="AJ237">
            <v>565</v>
          </cell>
          <cell r="AK237" t="str">
            <v>E 128TH ST</v>
          </cell>
          <cell r="AL237" t="str">
            <v>E 129TH ST</v>
          </cell>
          <cell r="AM237" t="str">
            <v>LEXINGTON AVE</v>
          </cell>
          <cell r="AN237" t="str">
            <v>PARK AVE</v>
          </cell>
          <cell r="AO237" t="str">
            <v>MANHATTAN</v>
          </cell>
          <cell r="AP237">
            <v>11</v>
          </cell>
          <cell r="AQ237">
            <v>13</v>
          </cell>
          <cell r="AR237">
            <v>30</v>
          </cell>
          <cell r="AS237">
            <v>68</v>
          </cell>
          <cell r="AT237">
            <v>9</v>
          </cell>
          <cell r="AU237">
            <v>26815</v>
          </cell>
        </row>
        <row r="238">
          <cell r="B238" t="str">
            <v>ROOSEVELT I</v>
          </cell>
          <cell r="C238" t="str">
            <v>NY005011350</v>
          </cell>
          <cell r="D238">
            <v>135</v>
          </cell>
          <cell r="E238">
            <v>135</v>
          </cell>
          <cell r="F238">
            <v>227</v>
          </cell>
          <cell r="G238">
            <v>227</v>
          </cell>
          <cell r="H238" t="str">
            <v>NY005054</v>
          </cell>
          <cell r="I238" t="str">
            <v>FEDERAL</v>
          </cell>
          <cell r="J238" t="str">
            <v>CONVENTIONAL</v>
          </cell>
          <cell r="K238" t="str">
            <v>NEW CONST</v>
          </cell>
          <cell r="M238">
            <v>761</v>
          </cell>
          <cell r="N238">
            <v>763</v>
          </cell>
          <cell r="O238">
            <v>3575.5</v>
          </cell>
          <cell r="P238">
            <v>4.7</v>
          </cell>
          <cell r="R238">
            <v>1814</v>
          </cell>
          <cell r="S238">
            <v>1814</v>
          </cell>
          <cell r="T238">
            <v>323</v>
          </cell>
          <cell r="U238">
            <v>0.42799999999999999</v>
          </cell>
          <cell r="V238">
            <v>6</v>
          </cell>
          <cell r="W238">
            <v>0</v>
          </cell>
          <cell r="X238">
            <v>6</v>
          </cell>
          <cell r="Y238" t="str">
            <v>14-15-18</v>
          </cell>
          <cell r="Z238">
            <v>340000</v>
          </cell>
          <cell r="AA238">
            <v>7.81</v>
          </cell>
          <cell r="AB238">
            <v>340000</v>
          </cell>
          <cell r="AC238">
            <v>7.81</v>
          </cell>
          <cell r="AD238">
            <v>52168</v>
          </cell>
          <cell r="AE238">
            <v>6754320</v>
          </cell>
          <cell r="AF238">
            <v>0.15340000000000001</v>
          </cell>
          <cell r="AG238">
            <v>232</v>
          </cell>
          <cell r="AH238">
            <v>14017427</v>
          </cell>
          <cell r="AI238">
            <v>3914</v>
          </cell>
          <cell r="AJ238">
            <v>526</v>
          </cell>
          <cell r="AK238" t="str">
            <v>KOSCIUSKO ST</v>
          </cell>
          <cell r="AL238" t="str">
            <v>PULASKI ST</v>
          </cell>
          <cell r="AM238" t="str">
            <v>MARCUS GARVEY BLVD</v>
          </cell>
          <cell r="AN238" t="str">
            <v>STUYVESANT AVE</v>
          </cell>
          <cell r="AO238" t="str">
            <v>BROOKLYN</v>
          </cell>
          <cell r="AP238">
            <v>3</v>
          </cell>
          <cell r="AQ238">
            <v>8</v>
          </cell>
          <cell r="AR238">
            <v>18</v>
          </cell>
          <cell r="AS238" t="str">
            <v>54, 56</v>
          </cell>
          <cell r="AT238">
            <v>36</v>
          </cell>
          <cell r="AU238">
            <v>23650</v>
          </cell>
          <cell r="AW238" t="str">
            <v>PARTIALLY</v>
          </cell>
        </row>
        <row r="239">
          <cell r="B239" t="str">
            <v>ROOSEVELT II</v>
          </cell>
          <cell r="C239" t="str">
            <v>NY005011350</v>
          </cell>
          <cell r="D239">
            <v>177</v>
          </cell>
          <cell r="E239">
            <v>135</v>
          </cell>
          <cell r="F239">
            <v>281</v>
          </cell>
          <cell r="G239">
            <v>227</v>
          </cell>
          <cell r="H239" t="str">
            <v>NY005083</v>
          </cell>
          <cell r="I239" t="str">
            <v>FEDERAL</v>
          </cell>
          <cell r="J239" t="str">
            <v>CONVENTIONAL</v>
          </cell>
          <cell r="K239" t="str">
            <v>NEW CONST</v>
          </cell>
          <cell r="M239">
            <v>342</v>
          </cell>
          <cell r="N239">
            <v>342</v>
          </cell>
          <cell r="O239">
            <v>1496</v>
          </cell>
          <cell r="P239">
            <v>4.37</v>
          </cell>
          <cell r="R239">
            <v>727</v>
          </cell>
          <cell r="S239">
            <v>727</v>
          </cell>
          <cell r="T239">
            <v>139</v>
          </cell>
          <cell r="U239">
            <v>0.41</v>
          </cell>
          <cell r="V239">
            <v>3</v>
          </cell>
          <cell r="W239">
            <v>0</v>
          </cell>
          <cell r="X239">
            <v>3</v>
          </cell>
          <cell r="Y239" t="str">
            <v>14-15</v>
          </cell>
          <cell r="Z239">
            <v>146506</v>
          </cell>
          <cell r="AA239">
            <v>3.36</v>
          </cell>
          <cell r="AB239">
            <v>146506</v>
          </cell>
          <cell r="AC239">
            <v>3.36</v>
          </cell>
          <cell r="AD239">
            <v>24067</v>
          </cell>
          <cell r="AE239">
            <v>2801874</v>
          </cell>
          <cell r="AF239">
            <v>0.1643</v>
          </cell>
          <cell r="AG239">
            <v>216</v>
          </cell>
          <cell r="AH239">
            <v>6450218</v>
          </cell>
          <cell r="AI239">
            <v>4312</v>
          </cell>
          <cell r="AJ239">
            <v>538</v>
          </cell>
          <cell r="AK239" t="str">
            <v>LEWIS AVE</v>
          </cell>
          <cell r="AL239" t="str">
            <v>STUYVESANT AVE</v>
          </cell>
          <cell r="AM239" t="str">
            <v>HART ST</v>
          </cell>
          <cell r="AN239" t="str">
            <v>PULASKI ST</v>
          </cell>
          <cell r="AO239" t="str">
            <v>BROOKLYN</v>
          </cell>
          <cell r="AP239">
            <v>3</v>
          </cell>
          <cell r="AQ239">
            <v>8</v>
          </cell>
          <cell r="AR239">
            <v>18</v>
          </cell>
          <cell r="AS239">
            <v>54</v>
          </cell>
          <cell r="AT239">
            <v>36</v>
          </cell>
          <cell r="AU239">
            <v>24472</v>
          </cell>
        </row>
        <row r="240">
          <cell r="B240" t="str">
            <v>RUTGERS</v>
          </cell>
          <cell r="C240" t="str">
            <v>NY005020990</v>
          </cell>
          <cell r="D240">
            <v>99</v>
          </cell>
          <cell r="E240">
            <v>99</v>
          </cell>
          <cell r="F240">
            <v>439</v>
          </cell>
          <cell r="G240">
            <v>439</v>
          </cell>
          <cell r="H240" t="str">
            <v>NY005382</v>
          </cell>
          <cell r="I240" t="str">
            <v>MIXED FINANCE/LLC1</v>
          </cell>
          <cell r="J240" t="str">
            <v>CONVENTIONAL</v>
          </cell>
          <cell r="K240" t="str">
            <v>NEW CONST</v>
          </cell>
          <cell r="L240">
            <v>102</v>
          </cell>
          <cell r="M240">
            <v>721</v>
          </cell>
          <cell r="N240">
            <v>721</v>
          </cell>
          <cell r="O240">
            <v>3358.5</v>
          </cell>
          <cell r="P240">
            <v>4.66</v>
          </cell>
          <cell r="Q240">
            <v>26</v>
          </cell>
          <cell r="R240">
            <v>1325</v>
          </cell>
          <cell r="S240">
            <v>1585</v>
          </cell>
          <cell r="T240">
            <v>343</v>
          </cell>
          <cell r="U240">
            <v>0.48</v>
          </cell>
          <cell r="V240">
            <v>5</v>
          </cell>
          <cell r="W240">
            <v>0</v>
          </cell>
          <cell r="X240">
            <v>5</v>
          </cell>
          <cell r="Y240">
            <v>20</v>
          </cell>
          <cell r="Z240">
            <v>227341</v>
          </cell>
          <cell r="AA240">
            <v>5.22</v>
          </cell>
          <cell r="AB240">
            <v>227341</v>
          </cell>
          <cell r="AC240">
            <v>5.22</v>
          </cell>
          <cell r="AD240">
            <v>39355</v>
          </cell>
          <cell r="AE240">
            <v>5936573</v>
          </cell>
          <cell r="AF240">
            <v>0.1731</v>
          </cell>
          <cell r="AG240">
            <v>304</v>
          </cell>
          <cell r="AH240">
            <v>14090000</v>
          </cell>
          <cell r="AI240">
            <v>4277</v>
          </cell>
          <cell r="AJ240">
            <v>544</v>
          </cell>
          <cell r="AK240" t="str">
            <v>CHERRY ST</v>
          </cell>
          <cell r="AL240" t="str">
            <v>PIKE ST</v>
          </cell>
          <cell r="AM240" t="str">
            <v>MADISON ST</v>
          </cell>
          <cell r="AN240" t="str">
            <v>RUTGERS ST</v>
          </cell>
          <cell r="AO240" t="str">
            <v>MANHATTAN</v>
          </cell>
          <cell r="AP240">
            <v>3</v>
          </cell>
          <cell r="AQ240">
            <v>7</v>
          </cell>
          <cell r="AR240">
            <v>26</v>
          </cell>
          <cell r="AS240">
            <v>65</v>
          </cell>
          <cell r="AT240">
            <v>1</v>
          </cell>
          <cell r="AU240">
            <v>23832</v>
          </cell>
        </row>
        <row r="241">
          <cell r="B241" t="str">
            <v>RUTLAND TOWERS</v>
          </cell>
          <cell r="C241" t="str">
            <v>NY005011670</v>
          </cell>
          <cell r="D241">
            <v>282</v>
          </cell>
          <cell r="E241">
            <v>167</v>
          </cell>
          <cell r="F241">
            <v>508</v>
          </cell>
          <cell r="G241">
            <v>283</v>
          </cell>
          <cell r="H241" t="str">
            <v>NY005211</v>
          </cell>
          <cell r="I241" t="str">
            <v>FEDERAL</v>
          </cell>
          <cell r="J241" t="str">
            <v>CONVENTIONAL</v>
          </cell>
          <cell r="K241" t="str">
            <v>REHAB</v>
          </cell>
          <cell r="M241">
            <v>60</v>
          </cell>
          <cell r="N241">
            <v>61</v>
          </cell>
          <cell r="O241">
            <v>218</v>
          </cell>
          <cell r="P241">
            <v>3.63</v>
          </cell>
          <cell r="R241">
            <v>100</v>
          </cell>
          <cell r="S241">
            <v>100</v>
          </cell>
          <cell r="T241">
            <v>29</v>
          </cell>
          <cell r="U241">
            <v>0.49199999999999999</v>
          </cell>
          <cell r="V241">
            <v>1</v>
          </cell>
          <cell r="W241">
            <v>0</v>
          </cell>
          <cell r="X241">
            <v>1</v>
          </cell>
          <cell r="Y241">
            <v>6</v>
          </cell>
          <cell r="Z241">
            <v>19400</v>
          </cell>
          <cell r="AA241">
            <v>0.45</v>
          </cell>
          <cell r="AB241">
            <v>19400</v>
          </cell>
          <cell r="AC241">
            <v>0.45</v>
          </cell>
          <cell r="AD241">
            <v>13470</v>
          </cell>
          <cell r="AE241">
            <v>642963</v>
          </cell>
          <cell r="AF241">
            <v>0.69430000000000003</v>
          </cell>
          <cell r="AG241">
            <v>222</v>
          </cell>
          <cell r="AH241">
            <v>1594181</v>
          </cell>
          <cell r="AI241">
            <v>6727</v>
          </cell>
          <cell r="AJ241">
            <v>502</v>
          </cell>
          <cell r="AK241" t="str">
            <v>EAST NEW YORK AVE</v>
          </cell>
          <cell r="AL241" t="str">
            <v>E 91ST ST</v>
          </cell>
          <cell r="AM241" t="str">
            <v>E 92ND ST</v>
          </cell>
          <cell r="AN241" t="str">
            <v>RUTLAND RD</v>
          </cell>
          <cell r="AO241" t="str">
            <v>BROOKLYN</v>
          </cell>
          <cell r="AP241">
            <v>17</v>
          </cell>
          <cell r="AQ241">
            <v>9</v>
          </cell>
          <cell r="AR241">
            <v>20</v>
          </cell>
          <cell r="AS241">
            <v>58</v>
          </cell>
          <cell r="AT241">
            <v>41</v>
          </cell>
          <cell r="AU241">
            <v>28262</v>
          </cell>
        </row>
        <row r="242">
          <cell r="B242" t="str">
            <v>SACK WERN</v>
          </cell>
          <cell r="C242" t="str">
            <v>NY005012800</v>
          </cell>
          <cell r="D242">
            <v>280</v>
          </cell>
          <cell r="E242">
            <v>280</v>
          </cell>
          <cell r="F242">
            <v>506</v>
          </cell>
          <cell r="G242">
            <v>506</v>
          </cell>
          <cell r="H242" t="str">
            <v>NY005205</v>
          </cell>
          <cell r="I242" t="str">
            <v>FEDERAL</v>
          </cell>
          <cell r="J242" t="str">
            <v>CONVENTIONAL</v>
          </cell>
          <cell r="K242" t="str">
            <v>REHAB</v>
          </cell>
          <cell r="M242">
            <v>411</v>
          </cell>
          <cell r="N242">
            <v>413</v>
          </cell>
          <cell r="O242">
            <v>1891.5</v>
          </cell>
          <cell r="P242">
            <v>4.5999999999999996</v>
          </cell>
          <cell r="R242">
            <v>864</v>
          </cell>
          <cell r="S242">
            <v>864</v>
          </cell>
          <cell r="T242">
            <v>166</v>
          </cell>
          <cell r="U242">
            <v>0.40899999999999997</v>
          </cell>
          <cell r="V242">
            <v>7</v>
          </cell>
          <cell r="W242">
            <v>1</v>
          </cell>
          <cell r="X242">
            <v>8</v>
          </cell>
          <cell r="Y242">
            <v>6</v>
          </cell>
          <cell r="Z242">
            <v>226969</v>
          </cell>
          <cell r="AA242">
            <v>5.21</v>
          </cell>
          <cell r="AB242">
            <v>226969</v>
          </cell>
          <cell r="AC242">
            <v>5.21</v>
          </cell>
          <cell r="AD242">
            <v>63056</v>
          </cell>
          <cell r="AE242">
            <v>3782352</v>
          </cell>
          <cell r="AF242">
            <v>0.27779999999999999</v>
          </cell>
          <cell r="AG242">
            <v>166</v>
          </cell>
          <cell r="AH242">
            <v>8699894</v>
          </cell>
          <cell r="AI242">
            <v>4528</v>
          </cell>
          <cell r="AJ242">
            <v>573</v>
          </cell>
          <cell r="AK242" t="str">
            <v>BEACH AVE</v>
          </cell>
          <cell r="AL242" t="str">
            <v>TAYLOR AVE</v>
          </cell>
          <cell r="AM242" t="str">
            <v>NOBLE AVE</v>
          </cell>
          <cell r="AN242" t="str">
            <v>ROSEDALE AVE</v>
          </cell>
          <cell r="AO242" t="str">
            <v>BRONX</v>
          </cell>
          <cell r="AP242">
            <v>9</v>
          </cell>
          <cell r="AQ242">
            <v>15</v>
          </cell>
          <cell r="AR242">
            <v>34</v>
          </cell>
          <cell r="AS242">
            <v>85</v>
          </cell>
          <cell r="AT242">
            <v>18</v>
          </cell>
          <cell r="AU242">
            <v>28257</v>
          </cell>
        </row>
        <row r="243">
          <cell r="B243" t="str">
            <v>SAINT MARY'S PARK</v>
          </cell>
          <cell r="C243" t="str">
            <v>NY005020930</v>
          </cell>
          <cell r="D243">
            <v>93</v>
          </cell>
          <cell r="E243">
            <v>93</v>
          </cell>
          <cell r="F243">
            <v>673</v>
          </cell>
          <cell r="G243">
            <v>673</v>
          </cell>
          <cell r="H243" t="str">
            <v>NY005384</v>
          </cell>
          <cell r="I243" t="str">
            <v>MIXED FINANCE/LLC1</v>
          </cell>
          <cell r="J243" t="str">
            <v>CONVENTIONAL</v>
          </cell>
          <cell r="K243" t="str">
            <v>NEW CONST</v>
          </cell>
          <cell r="L243">
            <v>210</v>
          </cell>
          <cell r="M243">
            <v>1005</v>
          </cell>
          <cell r="N243">
            <v>1007</v>
          </cell>
          <cell r="O243">
            <v>4523.5</v>
          </cell>
          <cell r="P243">
            <v>4.5</v>
          </cell>
          <cell r="Q243">
            <v>539</v>
          </cell>
          <cell r="R243">
            <v>1760</v>
          </cell>
          <cell r="S243">
            <v>2299</v>
          </cell>
          <cell r="T243">
            <v>344</v>
          </cell>
          <cell r="U243">
            <v>0.34699999999999998</v>
          </cell>
          <cell r="V243">
            <v>6</v>
          </cell>
          <cell r="W243">
            <v>0</v>
          </cell>
          <cell r="X243">
            <v>6</v>
          </cell>
          <cell r="Y243">
            <v>21</v>
          </cell>
          <cell r="Z243">
            <v>588851</v>
          </cell>
          <cell r="AA243">
            <v>13.52</v>
          </cell>
          <cell r="AB243">
            <v>545801</v>
          </cell>
          <cell r="AC243">
            <v>12.53</v>
          </cell>
          <cell r="AD243">
            <v>57006</v>
          </cell>
          <cell r="AE243">
            <v>8922933</v>
          </cell>
          <cell r="AF243">
            <v>9.6799999999999997E-2</v>
          </cell>
          <cell r="AG243">
            <v>170</v>
          </cell>
          <cell r="AH243">
            <v>16351823</v>
          </cell>
          <cell r="AI243">
            <v>3607</v>
          </cell>
          <cell r="AJ243">
            <v>512</v>
          </cell>
          <cell r="AK243" t="str">
            <v>CAULDWELL AVE</v>
          </cell>
          <cell r="AL243" t="str">
            <v>E 156TH ST</v>
          </cell>
          <cell r="AM243" t="str">
            <v>WESTCHESTER AVE</v>
          </cell>
          <cell r="AN243" t="str">
            <v>TRINITY AVE</v>
          </cell>
          <cell r="AO243" t="str">
            <v>BRONX</v>
          </cell>
          <cell r="AP243">
            <v>1</v>
          </cell>
          <cell r="AQ243">
            <v>15</v>
          </cell>
          <cell r="AR243" t="str">
            <v>29, 32</v>
          </cell>
          <cell r="AS243" t="str">
            <v>79, 84</v>
          </cell>
          <cell r="AT243">
            <v>17</v>
          </cell>
          <cell r="AU243">
            <v>21670</v>
          </cell>
        </row>
        <row r="244">
          <cell r="B244" t="str">
            <v>SAINT NICHOLAS</v>
          </cell>
          <cell r="C244" t="str">
            <v>NY005000380</v>
          </cell>
          <cell r="D244">
            <v>38</v>
          </cell>
          <cell r="E244">
            <v>38</v>
          </cell>
          <cell r="F244">
            <v>211</v>
          </cell>
          <cell r="G244">
            <v>211</v>
          </cell>
          <cell r="H244" t="str">
            <v>NY005010</v>
          </cell>
          <cell r="I244" t="str">
            <v>FEDERAL</v>
          </cell>
          <cell r="J244" t="str">
            <v>CONVENTIONAL</v>
          </cell>
          <cell r="K244" t="str">
            <v>NEW CONST</v>
          </cell>
          <cell r="M244">
            <v>1525</v>
          </cell>
          <cell r="N244">
            <v>1526</v>
          </cell>
          <cell r="O244">
            <v>7109.5</v>
          </cell>
          <cell r="P244">
            <v>4.66</v>
          </cell>
          <cell r="R244">
            <v>3426</v>
          </cell>
          <cell r="S244">
            <v>3426</v>
          </cell>
          <cell r="T244">
            <v>533</v>
          </cell>
          <cell r="U244">
            <v>0.35799999999999998</v>
          </cell>
          <cell r="V244">
            <v>13</v>
          </cell>
          <cell r="W244">
            <v>0</v>
          </cell>
          <cell r="X244">
            <v>14</v>
          </cell>
          <cell r="Y244">
            <v>14</v>
          </cell>
          <cell r="Z244">
            <v>680670</v>
          </cell>
          <cell r="AA244">
            <v>15.63</v>
          </cell>
          <cell r="AB244">
            <v>625559</v>
          </cell>
          <cell r="AC244">
            <v>14.36</v>
          </cell>
          <cell r="AD244">
            <v>105458</v>
          </cell>
          <cell r="AE244">
            <v>13112212</v>
          </cell>
          <cell r="AF244">
            <v>0.15490000000000001</v>
          </cell>
          <cell r="AG244">
            <v>219</v>
          </cell>
          <cell r="AH244">
            <v>20560063</v>
          </cell>
          <cell r="AI244">
            <v>2891</v>
          </cell>
          <cell r="AJ244">
            <v>529</v>
          </cell>
          <cell r="AK244" t="str">
            <v>W 127TH ST</v>
          </cell>
          <cell r="AL244" t="str">
            <v>DOUGLASS BLVD</v>
          </cell>
          <cell r="AM244" t="str">
            <v>POWELL BLVD</v>
          </cell>
          <cell r="AN244" t="str">
            <v>W 131ST ST</v>
          </cell>
          <cell r="AO244" t="str">
            <v>MANHATTAN</v>
          </cell>
          <cell r="AP244">
            <v>10</v>
          </cell>
          <cell r="AQ244">
            <v>13</v>
          </cell>
          <cell r="AR244">
            <v>30</v>
          </cell>
          <cell r="AS244">
            <v>70</v>
          </cell>
          <cell r="AT244">
            <v>9</v>
          </cell>
          <cell r="AU244">
            <v>19997</v>
          </cell>
        </row>
        <row r="245">
          <cell r="B245" t="str">
            <v>SAMUEL (CITY)</v>
          </cell>
          <cell r="C245" t="str">
            <v>NY005023770</v>
          </cell>
          <cell r="D245">
            <v>377</v>
          </cell>
          <cell r="E245">
            <v>377</v>
          </cell>
          <cell r="F245">
            <v>650</v>
          </cell>
          <cell r="G245">
            <v>650</v>
          </cell>
          <cell r="H245" t="str">
            <v>NY005375</v>
          </cell>
          <cell r="I245" t="str">
            <v>MIXED FINANCE/LLC1</v>
          </cell>
          <cell r="J245" t="str">
            <v>CONVENTIONAL</v>
          </cell>
          <cell r="K245" t="str">
            <v>REHAB</v>
          </cell>
          <cell r="L245">
            <v>105</v>
          </cell>
          <cell r="M245">
            <v>664</v>
          </cell>
          <cell r="N245">
            <v>664</v>
          </cell>
          <cell r="O245">
            <v>2824</v>
          </cell>
          <cell r="P245">
            <v>4.25</v>
          </cell>
          <cell r="Q245">
            <v>241</v>
          </cell>
          <cell r="R245">
            <v>1171</v>
          </cell>
          <cell r="S245">
            <v>1412</v>
          </cell>
          <cell r="T245">
            <v>173</v>
          </cell>
          <cell r="U245">
            <v>0.26500000000000001</v>
          </cell>
          <cell r="V245">
            <v>40</v>
          </cell>
          <cell r="W245">
            <v>2</v>
          </cell>
          <cell r="X245">
            <v>43</v>
          </cell>
          <cell r="Y245">
            <v>39208</v>
          </cell>
          <cell r="Z245">
            <v>201872</v>
          </cell>
          <cell r="AA245">
            <v>4.63</v>
          </cell>
          <cell r="AB245">
            <v>201872</v>
          </cell>
          <cell r="AC245">
            <v>4.63</v>
          </cell>
          <cell r="AD245">
            <v>116528</v>
          </cell>
          <cell r="AE245">
            <v>7142241</v>
          </cell>
          <cell r="AF245">
            <v>0.57720000000000005</v>
          </cell>
          <cell r="AG245">
            <v>305</v>
          </cell>
          <cell r="AH245">
            <v>0</v>
          </cell>
          <cell r="AJ245">
            <v>660</v>
          </cell>
          <cell r="AK245" t="str">
            <v>LENOX AVE</v>
          </cell>
          <cell r="AL245" t="str">
            <v>W 139TH ST</v>
          </cell>
          <cell r="AM245" t="str">
            <v>W 147TH ST</v>
          </cell>
          <cell r="AN245" t="str">
            <v>AC POWELL BLVD</v>
          </cell>
          <cell r="AO245" t="str">
            <v>MANHATTAN</v>
          </cell>
          <cell r="AP245">
            <v>10</v>
          </cell>
          <cell r="AQ245">
            <v>13</v>
          </cell>
          <cell r="AR245">
            <v>30</v>
          </cell>
          <cell r="AS245" t="str">
            <v>70, 71</v>
          </cell>
          <cell r="AT245">
            <v>9</v>
          </cell>
          <cell r="AU245">
            <v>34577</v>
          </cell>
          <cell r="AX245" t="str">
            <v>YES</v>
          </cell>
        </row>
        <row r="246">
          <cell r="B246" t="str">
            <v>SAMUEL (MHOP) I</v>
          </cell>
          <cell r="C246" t="str">
            <v>NY005013170</v>
          </cell>
          <cell r="D246">
            <v>389</v>
          </cell>
          <cell r="E246">
            <v>359</v>
          </cell>
          <cell r="F246">
            <v>847</v>
          </cell>
          <cell r="G246">
            <v>847</v>
          </cell>
          <cell r="H246" t="str">
            <v>NY005335</v>
          </cell>
          <cell r="I246" t="str">
            <v>MHOP</v>
          </cell>
          <cell r="J246" t="str">
            <v>CONVENTIONAL</v>
          </cell>
          <cell r="K246" t="str">
            <v>REHAB</v>
          </cell>
          <cell r="M246">
            <v>24</v>
          </cell>
          <cell r="N246">
            <v>53</v>
          </cell>
          <cell r="O246">
            <v>108</v>
          </cell>
          <cell r="P246">
            <v>4.5</v>
          </cell>
          <cell r="R246">
            <v>38</v>
          </cell>
          <cell r="S246">
            <v>38</v>
          </cell>
          <cell r="T246">
            <v>10</v>
          </cell>
          <cell r="U246">
            <v>0.41699999999999998</v>
          </cell>
          <cell r="V246">
            <v>5</v>
          </cell>
          <cell r="W246">
            <v>0</v>
          </cell>
          <cell r="X246">
            <v>5</v>
          </cell>
          <cell r="Y246">
            <v>5</v>
          </cell>
          <cell r="Z246">
            <v>13819</v>
          </cell>
          <cell r="AA246">
            <v>0.32</v>
          </cell>
          <cell r="AB246">
            <v>13819</v>
          </cell>
          <cell r="AC246">
            <v>0.32</v>
          </cell>
          <cell r="AD246">
            <v>11274</v>
          </cell>
          <cell r="AE246">
            <v>607774</v>
          </cell>
          <cell r="AF246">
            <v>0.81579999999999997</v>
          </cell>
          <cell r="AG246">
            <v>119</v>
          </cell>
          <cell r="AH246">
            <v>4630200</v>
          </cell>
          <cell r="AI246">
            <v>19661</v>
          </cell>
          <cell r="AJ246">
            <v>800</v>
          </cell>
          <cell r="AK246" t="str">
            <v>W 139TH ST</v>
          </cell>
          <cell r="AL246" t="str">
            <v>AC POWELL BLVD</v>
          </cell>
          <cell r="AM246" t="str">
            <v>W 141ST ST</v>
          </cell>
          <cell r="AN246" t="str">
            <v>LENOX AVE</v>
          </cell>
          <cell r="AO246" t="str">
            <v>MANHATTAN</v>
          </cell>
          <cell r="AP246">
            <v>10</v>
          </cell>
          <cell r="AQ246">
            <v>13</v>
          </cell>
          <cell r="AR246">
            <v>30</v>
          </cell>
          <cell r="AS246">
            <v>70</v>
          </cell>
          <cell r="AT246">
            <v>9</v>
          </cell>
          <cell r="AU246">
            <v>34365</v>
          </cell>
          <cell r="AX246" t="str">
            <v>YES</v>
          </cell>
          <cell r="AY246" t="str">
            <v>YES</v>
          </cell>
        </row>
        <row r="247">
          <cell r="B247" t="str">
            <v>SAMUEL (MHOP) II</v>
          </cell>
          <cell r="C247" t="str">
            <v>NY005013170</v>
          </cell>
          <cell r="D247">
            <v>398</v>
          </cell>
          <cell r="E247">
            <v>359</v>
          </cell>
          <cell r="F247">
            <v>871</v>
          </cell>
          <cell r="G247">
            <v>871</v>
          </cell>
          <cell r="H247" t="str">
            <v>NY005345</v>
          </cell>
          <cell r="I247" t="str">
            <v>MHOP</v>
          </cell>
          <cell r="J247" t="str">
            <v>CONVENTIONAL</v>
          </cell>
          <cell r="K247" t="str">
            <v>REHAB</v>
          </cell>
          <cell r="M247">
            <v>4</v>
          </cell>
          <cell r="N247">
            <v>10</v>
          </cell>
          <cell r="O247">
            <v>20</v>
          </cell>
          <cell r="P247">
            <v>5</v>
          </cell>
          <cell r="R247">
            <v>12</v>
          </cell>
          <cell r="S247">
            <v>12</v>
          </cell>
          <cell r="T247">
            <v>0</v>
          </cell>
          <cell r="U247">
            <v>0</v>
          </cell>
          <cell r="V247">
            <v>1</v>
          </cell>
          <cell r="W247">
            <v>0</v>
          </cell>
          <cell r="X247">
            <v>1</v>
          </cell>
          <cell r="Y247">
            <v>5</v>
          </cell>
          <cell r="Z247">
            <v>3098</v>
          </cell>
          <cell r="AA247">
            <v>7.0000000000000007E-2</v>
          </cell>
          <cell r="AB247">
            <v>3098</v>
          </cell>
          <cell r="AC247">
            <v>7.0000000000000007E-2</v>
          </cell>
          <cell r="AD247">
            <v>2326</v>
          </cell>
          <cell r="AE247">
            <v>114675</v>
          </cell>
          <cell r="AF247">
            <v>0.75080000000000002</v>
          </cell>
          <cell r="AG247">
            <v>171</v>
          </cell>
          <cell r="AH247">
            <v>967700</v>
          </cell>
          <cell r="AI247">
            <v>20160</v>
          </cell>
          <cell r="AJ247">
            <v>1036</v>
          </cell>
          <cell r="AK247" t="str">
            <v>AC POWELL BLVD</v>
          </cell>
          <cell r="AL247" t="str">
            <v>W 139TH ST</v>
          </cell>
          <cell r="AM247" t="str">
            <v>LENOX AVE</v>
          </cell>
          <cell r="AO247" t="str">
            <v>MANHATTAN</v>
          </cell>
          <cell r="AP247">
            <v>10</v>
          </cell>
          <cell r="AQ247">
            <v>13</v>
          </cell>
          <cell r="AR247">
            <v>30</v>
          </cell>
          <cell r="AS247">
            <v>70</v>
          </cell>
          <cell r="AT247">
            <v>9</v>
          </cell>
          <cell r="AU247">
            <v>34181</v>
          </cell>
          <cell r="AX247" t="str">
            <v>YES</v>
          </cell>
          <cell r="AY247" t="str">
            <v>YES</v>
          </cell>
        </row>
        <row r="248">
          <cell r="B248" t="str">
            <v>SAMUEL (MHOP) III</v>
          </cell>
          <cell r="C248" t="str">
            <v>NY005013170</v>
          </cell>
          <cell r="D248">
            <v>399</v>
          </cell>
          <cell r="E248">
            <v>359</v>
          </cell>
          <cell r="F248">
            <v>483</v>
          </cell>
          <cell r="G248">
            <v>483</v>
          </cell>
          <cell r="H248" t="str">
            <v>NY005359</v>
          </cell>
          <cell r="I248" t="str">
            <v>MHOP</v>
          </cell>
          <cell r="J248" t="str">
            <v>CONVENTIONAL</v>
          </cell>
          <cell r="K248" t="str">
            <v>REHAB</v>
          </cell>
          <cell r="M248">
            <v>1</v>
          </cell>
          <cell r="N248">
            <v>10</v>
          </cell>
          <cell r="O248">
            <v>4.5</v>
          </cell>
          <cell r="P248">
            <v>4.5</v>
          </cell>
          <cell r="R248">
            <v>3</v>
          </cell>
          <cell r="S248">
            <v>3</v>
          </cell>
          <cell r="T248">
            <v>0</v>
          </cell>
          <cell r="U248">
            <v>0</v>
          </cell>
          <cell r="V248">
            <v>1</v>
          </cell>
          <cell r="W248">
            <v>0</v>
          </cell>
          <cell r="X248">
            <v>1</v>
          </cell>
          <cell r="Y248">
            <v>5</v>
          </cell>
          <cell r="Z248">
            <v>5396</v>
          </cell>
          <cell r="AA248">
            <v>0.12</v>
          </cell>
          <cell r="AB248">
            <v>5396</v>
          </cell>
          <cell r="AC248">
            <v>0.12</v>
          </cell>
          <cell r="AD248">
            <v>1599</v>
          </cell>
          <cell r="AE248">
            <v>114675</v>
          </cell>
          <cell r="AF248">
            <v>0.29630000000000001</v>
          </cell>
          <cell r="AG248">
            <v>25</v>
          </cell>
          <cell r="AH248">
            <v>887005</v>
          </cell>
          <cell r="AI248">
            <v>20159</v>
          </cell>
          <cell r="AJ248">
            <v>1431</v>
          </cell>
          <cell r="AK248" t="str">
            <v>AC POWELL BLVD</v>
          </cell>
          <cell r="AL248" t="str">
            <v>W 142ND ST</v>
          </cell>
          <cell r="AM248" t="str">
            <v>LENOX AVE</v>
          </cell>
          <cell r="AO248" t="str">
            <v>MANHATTAN</v>
          </cell>
          <cell r="AP248">
            <v>10</v>
          </cell>
          <cell r="AQ248">
            <v>13</v>
          </cell>
          <cell r="AR248">
            <v>30</v>
          </cell>
          <cell r="AS248">
            <v>71</v>
          </cell>
          <cell r="AT248">
            <v>9</v>
          </cell>
          <cell r="AU248">
            <v>34880</v>
          </cell>
          <cell r="AX248" t="str">
            <v>YES</v>
          </cell>
          <cell r="AY248" t="str">
            <v>YES</v>
          </cell>
        </row>
        <row r="249">
          <cell r="B249" t="str">
            <v>SARATOGA VILLAGE</v>
          </cell>
          <cell r="C249" t="str">
            <v>NY005011620</v>
          </cell>
          <cell r="D249">
            <v>158</v>
          </cell>
          <cell r="E249">
            <v>162</v>
          </cell>
          <cell r="F249">
            <v>274</v>
          </cell>
          <cell r="G249">
            <v>269</v>
          </cell>
          <cell r="H249" t="str">
            <v>NY005067</v>
          </cell>
          <cell r="I249" t="str">
            <v>FEDERAL</v>
          </cell>
          <cell r="J249" t="str">
            <v>CONVENTIONAL</v>
          </cell>
          <cell r="K249" t="str">
            <v>NEW CONST</v>
          </cell>
          <cell r="M249">
            <v>125</v>
          </cell>
          <cell r="N249">
            <v>125</v>
          </cell>
          <cell r="O249">
            <v>562.5</v>
          </cell>
          <cell r="P249">
            <v>4.5</v>
          </cell>
          <cell r="R249">
            <v>298</v>
          </cell>
          <cell r="S249">
            <v>298</v>
          </cell>
          <cell r="T249">
            <v>42</v>
          </cell>
          <cell r="U249">
            <v>0.33600000000000002</v>
          </cell>
          <cell r="V249">
            <v>1</v>
          </cell>
          <cell r="W249">
            <v>0</v>
          </cell>
          <cell r="X249">
            <v>1</v>
          </cell>
          <cell r="Y249">
            <v>16</v>
          </cell>
          <cell r="Z249">
            <v>54935</v>
          </cell>
          <cell r="AA249">
            <v>1.26</v>
          </cell>
          <cell r="AB249">
            <v>54935</v>
          </cell>
          <cell r="AC249">
            <v>1.26</v>
          </cell>
          <cell r="AD249">
            <v>6911</v>
          </cell>
          <cell r="AE249">
            <v>1037975</v>
          </cell>
          <cell r="AF249">
            <v>0.1258</v>
          </cell>
          <cell r="AG249">
            <v>237</v>
          </cell>
          <cell r="AH249">
            <v>2334676</v>
          </cell>
          <cell r="AI249">
            <v>4147</v>
          </cell>
          <cell r="AJ249">
            <v>613</v>
          </cell>
          <cell r="AK249" t="str">
            <v>SARATOGA AVE</v>
          </cell>
          <cell r="AL249" t="str">
            <v>HANCOCK ST</v>
          </cell>
          <cell r="AM249" t="str">
            <v>HALSEY ST</v>
          </cell>
          <cell r="AO249" t="str">
            <v>BROOKLYN</v>
          </cell>
          <cell r="AP249">
            <v>16</v>
          </cell>
          <cell r="AQ249">
            <v>8</v>
          </cell>
          <cell r="AR249">
            <v>18</v>
          </cell>
          <cell r="AS249">
            <v>55</v>
          </cell>
          <cell r="AT249">
            <v>41</v>
          </cell>
          <cell r="AU249">
            <v>24472</v>
          </cell>
        </row>
        <row r="250">
          <cell r="B250" t="str">
            <v>SEDGWICK</v>
          </cell>
          <cell r="C250" t="str">
            <v>NY005010450</v>
          </cell>
          <cell r="D250">
            <v>45</v>
          </cell>
          <cell r="E250">
            <v>45</v>
          </cell>
          <cell r="F250">
            <v>368</v>
          </cell>
          <cell r="G250">
            <v>368</v>
          </cell>
          <cell r="H250" t="str">
            <v>NY005183B</v>
          </cell>
          <cell r="I250" t="str">
            <v>FEDERAL</v>
          </cell>
          <cell r="J250" t="str">
            <v>CONVENTIONAL</v>
          </cell>
          <cell r="K250" t="str">
            <v>NEW CONST</v>
          </cell>
          <cell r="M250">
            <v>783</v>
          </cell>
          <cell r="N250">
            <v>786</v>
          </cell>
          <cell r="O250">
            <v>3316.5</v>
          </cell>
          <cell r="P250">
            <v>4.24</v>
          </cell>
          <cell r="R250">
            <v>1457</v>
          </cell>
          <cell r="S250">
            <v>1457</v>
          </cell>
          <cell r="T250">
            <v>341</v>
          </cell>
          <cell r="U250">
            <v>0.439</v>
          </cell>
          <cell r="V250">
            <v>7</v>
          </cell>
          <cell r="W250">
            <v>0</v>
          </cell>
          <cell r="X250">
            <v>7</v>
          </cell>
          <cell r="Y250" t="str">
            <v>14-15</v>
          </cell>
          <cell r="Z250">
            <v>319008</v>
          </cell>
          <cell r="AA250">
            <v>7.32</v>
          </cell>
          <cell r="AB250">
            <v>319008</v>
          </cell>
          <cell r="AC250">
            <v>7.32</v>
          </cell>
          <cell r="AD250">
            <v>59598</v>
          </cell>
          <cell r="AE250">
            <v>6642484</v>
          </cell>
          <cell r="AF250">
            <v>0.18679999999999999</v>
          </cell>
          <cell r="AG250">
            <v>199</v>
          </cell>
          <cell r="AH250">
            <v>8397841</v>
          </cell>
          <cell r="AI250">
            <v>2529</v>
          </cell>
          <cell r="AJ250">
            <v>491</v>
          </cell>
          <cell r="AK250" t="str">
            <v>UNDERCLIFF AVE</v>
          </cell>
          <cell r="AL250" t="str">
            <v>W 174TH ST</v>
          </cell>
          <cell r="AM250" t="str">
            <v>UNIVERSITY AVE</v>
          </cell>
          <cell r="AO250" t="str">
            <v>BRONX</v>
          </cell>
          <cell r="AP250">
            <v>5</v>
          </cell>
          <cell r="AQ250">
            <v>13</v>
          </cell>
          <cell r="AR250">
            <v>29</v>
          </cell>
          <cell r="AS250">
            <v>77</v>
          </cell>
          <cell r="AT250">
            <v>16</v>
          </cell>
          <cell r="AU250">
            <v>18710</v>
          </cell>
          <cell r="AV250" t="str">
            <v>1972/06/29-FED TRAN</v>
          </cell>
        </row>
        <row r="251">
          <cell r="B251" t="str">
            <v>SEWARD PARK EXTENSION</v>
          </cell>
          <cell r="C251" t="str">
            <v>NY005011000</v>
          </cell>
          <cell r="D251">
            <v>192</v>
          </cell>
          <cell r="E251">
            <v>100</v>
          </cell>
          <cell r="F251">
            <v>312</v>
          </cell>
          <cell r="G251">
            <v>312</v>
          </cell>
          <cell r="H251" t="str">
            <v>NY005100</v>
          </cell>
          <cell r="I251" t="str">
            <v>FEDERAL</v>
          </cell>
          <cell r="J251" t="str">
            <v>CONVENTIONAL</v>
          </cell>
          <cell r="K251" t="str">
            <v>NEW CONST</v>
          </cell>
          <cell r="M251">
            <v>360</v>
          </cell>
          <cell r="N251">
            <v>360</v>
          </cell>
          <cell r="O251">
            <v>1591</v>
          </cell>
          <cell r="P251">
            <v>4.42</v>
          </cell>
          <cell r="R251">
            <v>796</v>
          </cell>
          <cell r="S251">
            <v>796</v>
          </cell>
          <cell r="T251">
            <v>146</v>
          </cell>
          <cell r="U251">
            <v>0.41199999999999998</v>
          </cell>
          <cell r="V251">
            <v>2</v>
          </cell>
          <cell r="W251">
            <v>2</v>
          </cell>
          <cell r="X251">
            <v>5</v>
          </cell>
          <cell r="Y251">
            <v>23</v>
          </cell>
          <cell r="Z251">
            <v>90637</v>
          </cell>
          <cell r="AA251">
            <v>2.08</v>
          </cell>
          <cell r="AB251">
            <v>90637</v>
          </cell>
          <cell r="AC251">
            <v>2.08</v>
          </cell>
          <cell r="AD251">
            <v>23922</v>
          </cell>
          <cell r="AE251">
            <v>3370430</v>
          </cell>
          <cell r="AF251">
            <v>0.26390000000000002</v>
          </cell>
          <cell r="AG251">
            <v>383</v>
          </cell>
          <cell r="AH251">
            <v>11871465</v>
          </cell>
          <cell r="AI251">
            <v>7394</v>
          </cell>
          <cell r="AJ251">
            <v>511</v>
          </cell>
          <cell r="AK251" t="str">
            <v>BROOME ST</v>
          </cell>
          <cell r="AL251" t="str">
            <v>NORFOLK ST</v>
          </cell>
          <cell r="AM251" t="str">
            <v>GRAND ST</v>
          </cell>
          <cell r="AN251" t="str">
            <v>ESSEX ST</v>
          </cell>
          <cell r="AO251" t="str">
            <v>MANHATTAN</v>
          </cell>
          <cell r="AP251">
            <v>3</v>
          </cell>
          <cell r="AQ251">
            <v>12</v>
          </cell>
          <cell r="AR251">
            <v>26</v>
          </cell>
          <cell r="AS251">
            <v>65</v>
          </cell>
          <cell r="AT251">
            <v>1</v>
          </cell>
          <cell r="AU251">
            <v>26968</v>
          </cell>
        </row>
        <row r="252">
          <cell r="B252" t="str">
            <v>SHEEPSHEAD BAY</v>
          </cell>
          <cell r="C252" t="str">
            <v>NY005010360</v>
          </cell>
          <cell r="D252">
            <v>36</v>
          </cell>
          <cell r="E252">
            <v>36</v>
          </cell>
          <cell r="F252">
            <v>314</v>
          </cell>
          <cell r="G252">
            <v>314</v>
          </cell>
          <cell r="H252" t="str">
            <v>NY005114B</v>
          </cell>
          <cell r="I252" t="str">
            <v>FEDERAL</v>
          </cell>
          <cell r="J252" t="str">
            <v>CONVENTIONAL</v>
          </cell>
          <cell r="K252" t="str">
            <v>NEW CONST</v>
          </cell>
          <cell r="M252">
            <v>1054</v>
          </cell>
          <cell r="N252">
            <v>1056</v>
          </cell>
          <cell r="O252">
            <v>4911</v>
          </cell>
          <cell r="P252">
            <v>4.66</v>
          </cell>
          <cell r="R252">
            <v>2383</v>
          </cell>
          <cell r="S252">
            <v>2383</v>
          </cell>
          <cell r="T252">
            <v>371</v>
          </cell>
          <cell r="U252">
            <v>0.35399999999999998</v>
          </cell>
          <cell r="V252">
            <v>18</v>
          </cell>
          <cell r="W252">
            <v>0</v>
          </cell>
          <cell r="X252">
            <v>36</v>
          </cell>
          <cell r="Y252">
            <v>6</v>
          </cell>
          <cell r="Z252">
            <v>1036600</v>
          </cell>
          <cell r="AA252">
            <v>23.8</v>
          </cell>
          <cell r="AB252">
            <v>953637</v>
          </cell>
          <cell r="AC252">
            <v>21.89</v>
          </cell>
          <cell r="AD252">
            <v>159727</v>
          </cell>
          <cell r="AE252">
            <v>10080777</v>
          </cell>
          <cell r="AF252">
            <v>0.15409999999999999</v>
          </cell>
          <cell r="AG252">
            <v>100</v>
          </cell>
          <cell r="AH252">
            <v>12596000</v>
          </cell>
          <cell r="AI252">
            <v>2573</v>
          </cell>
          <cell r="AJ252">
            <v>542</v>
          </cell>
          <cell r="AK252" t="str">
            <v>AVENUE X</v>
          </cell>
          <cell r="AL252" t="str">
            <v>BATCHELDER ST</v>
          </cell>
          <cell r="AM252" t="str">
            <v>AVENUE V</v>
          </cell>
          <cell r="AN252" t="str">
            <v>NOSTRAND AVE</v>
          </cell>
          <cell r="AO252" t="str">
            <v>BROOKLYN</v>
          </cell>
          <cell r="AP252">
            <v>15</v>
          </cell>
          <cell r="AQ252">
            <v>9</v>
          </cell>
          <cell r="AR252">
            <v>19</v>
          </cell>
          <cell r="AS252">
            <v>41</v>
          </cell>
          <cell r="AT252">
            <v>46</v>
          </cell>
          <cell r="AU252">
            <v>18483</v>
          </cell>
          <cell r="AV252" t="str">
            <v>1968/08/29-FED TRAN</v>
          </cell>
        </row>
        <row r="253">
          <cell r="B253" t="str">
            <v>SHELTON HOUSE</v>
          </cell>
          <cell r="C253" t="str">
            <v>NY005010910</v>
          </cell>
          <cell r="D253">
            <v>279</v>
          </cell>
          <cell r="E253">
            <v>91</v>
          </cell>
          <cell r="F253">
            <v>505</v>
          </cell>
          <cell r="G253">
            <v>240</v>
          </cell>
          <cell r="H253" t="str">
            <v>NY005203</v>
          </cell>
          <cell r="I253" t="str">
            <v>FEDERAL</v>
          </cell>
          <cell r="J253" t="str">
            <v>CONVENTIONAL</v>
          </cell>
          <cell r="K253" t="str">
            <v>REHAB (ELD)</v>
          </cell>
          <cell r="M253">
            <v>153</v>
          </cell>
          <cell r="N253">
            <v>155</v>
          </cell>
          <cell r="O253">
            <v>475.5</v>
          </cell>
          <cell r="P253">
            <v>3.11</v>
          </cell>
          <cell r="R253">
            <v>164</v>
          </cell>
          <cell r="S253">
            <v>164</v>
          </cell>
          <cell r="T253">
            <v>138</v>
          </cell>
          <cell r="U253">
            <v>0.92</v>
          </cell>
          <cell r="V253">
            <v>1</v>
          </cell>
          <cell r="W253">
            <v>0</v>
          </cell>
          <cell r="X253">
            <v>1</v>
          </cell>
          <cell r="Y253">
            <v>12</v>
          </cell>
          <cell r="Z253">
            <v>21844</v>
          </cell>
          <cell r="AA253">
            <v>0.5</v>
          </cell>
          <cell r="AB253">
            <v>21844</v>
          </cell>
          <cell r="AC253">
            <v>0.5</v>
          </cell>
          <cell r="AD253">
            <v>14991</v>
          </cell>
          <cell r="AE253">
            <v>1287831</v>
          </cell>
          <cell r="AF253">
            <v>0.68630000000000002</v>
          </cell>
          <cell r="AG253">
            <v>328</v>
          </cell>
          <cell r="AH253">
            <v>3615000</v>
          </cell>
          <cell r="AI253">
            <v>7061</v>
          </cell>
          <cell r="AJ253">
            <v>325</v>
          </cell>
          <cell r="AK253" t="str">
            <v>162ND ST</v>
          </cell>
          <cell r="AL253" t="str">
            <v>89TH AVE</v>
          </cell>
          <cell r="AM253" t="str">
            <v>163RD ST</v>
          </cell>
          <cell r="AN253" t="str">
            <v>JAMAICA AVE</v>
          </cell>
          <cell r="AO253" t="str">
            <v>QUEENS</v>
          </cell>
          <cell r="AP253">
            <v>12</v>
          </cell>
          <cell r="AQ253">
            <v>5</v>
          </cell>
          <cell r="AR253">
            <v>14</v>
          </cell>
          <cell r="AS253">
            <v>32</v>
          </cell>
          <cell r="AT253">
            <v>24</v>
          </cell>
          <cell r="AU253">
            <v>28794</v>
          </cell>
          <cell r="AW253" t="str">
            <v>EXCLUSIVELY</v>
          </cell>
          <cell r="AX253" t="str">
            <v>YES</v>
          </cell>
        </row>
        <row r="254">
          <cell r="B254" t="str">
            <v>SMITH</v>
          </cell>
          <cell r="C254" t="str">
            <v>NY005000270</v>
          </cell>
          <cell r="D254">
            <v>27</v>
          </cell>
          <cell r="E254">
            <v>27</v>
          </cell>
          <cell r="F254">
            <v>531</v>
          </cell>
          <cell r="G254">
            <v>531</v>
          </cell>
          <cell r="H254" t="str">
            <v>NY005220B</v>
          </cell>
          <cell r="I254" t="str">
            <v>FEDERAL</v>
          </cell>
          <cell r="J254" t="str">
            <v>CONVENTIONAL</v>
          </cell>
          <cell r="K254" t="str">
            <v>NEW CONST</v>
          </cell>
          <cell r="M254">
            <v>1934</v>
          </cell>
          <cell r="N254">
            <v>1935</v>
          </cell>
          <cell r="O254">
            <v>8988</v>
          </cell>
          <cell r="P254">
            <v>4.6500000000000004</v>
          </cell>
          <cell r="R254">
            <v>4126</v>
          </cell>
          <cell r="S254">
            <v>4126</v>
          </cell>
          <cell r="T254">
            <v>923</v>
          </cell>
          <cell r="U254">
            <v>0.48099999999999998</v>
          </cell>
          <cell r="V254">
            <v>12</v>
          </cell>
          <cell r="W254">
            <v>0</v>
          </cell>
          <cell r="X254">
            <v>12</v>
          </cell>
          <cell r="Y254">
            <v>17</v>
          </cell>
          <cell r="Z254">
            <v>947493</v>
          </cell>
          <cell r="AA254">
            <v>21.75</v>
          </cell>
          <cell r="AB254">
            <v>806175</v>
          </cell>
          <cell r="AC254">
            <v>18.510000000000002</v>
          </cell>
          <cell r="AD254">
            <v>126462</v>
          </cell>
          <cell r="AE254">
            <v>15937490</v>
          </cell>
          <cell r="AF254">
            <v>0.13350000000000001</v>
          </cell>
          <cell r="AG254">
            <v>190</v>
          </cell>
          <cell r="AH254">
            <v>29083000</v>
          </cell>
          <cell r="AI254">
            <v>3270</v>
          </cell>
          <cell r="AJ254">
            <v>551</v>
          </cell>
          <cell r="AK254" t="str">
            <v>MADISON ST</v>
          </cell>
          <cell r="AL254" t="str">
            <v>CATHERINE ST</v>
          </cell>
          <cell r="AM254" t="str">
            <v>SOUTH ST</v>
          </cell>
          <cell r="AN254" t="str">
            <v>SAINT JAMES PL</v>
          </cell>
          <cell r="AO254" t="str">
            <v>MANHATTAN</v>
          </cell>
          <cell r="AP254">
            <v>3</v>
          </cell>
          <cell r="AQ254">
            <v>7</v>
          </cell>
          <cell r="AR254">
            <v>26</v>
          </cell>
          <cell r="AS254">
            <v>65</v>
          </cell>
          <cell r="AT254">
            <v>1</v>
          </cell>
          <cell r="AU254">
            <v>19476</v>
          </cell>
          <cell r="AV254" t="str">
            <v>1978/07/01-ATP 3</v>
          </cell>
        </row>
        <row r="255">
          <cell r="B255" t="str">
            <v>SOTOMAYOR HOUSES</v>
          </cell>
          <cell r="C255" t="str">
            <v>NY005010670</v>
          </cell>
          <cell r="D255">
            <v>67</v>
          </cell>
          <cell r="E255">
            <v>67</v>
          </cell>
          <cell r="F255">
            <v>222</v>
          </cell>
          <cell r="G255">
            <v>222</v>
          </cell>
          <cell r="H255" t="str">
            <v>NY005022</v>
          </cell>
          <cell r="I255" t="str">
            <v>FEDERAL</v>
          </cell>
          <cell r="J255" t="str">
            <v>CONVENTIONAL</v>
          </cell>
          <cell r="K255" t="str">
            <v>NEW CONST</v>
          </cell>
          <cell r="M255">
            <v>1495</v>
          </cell>
          <cell r="N255">
            <v>1497</v>
          </cell>
          <cell r="O255">
            <v>6963.5</v>
          </cell>
          <cell r="P255">
            <v>4.66</v>
          </cell>
          <cell r="R255">
            <v>3286</v>
          </cell>
          <cell r="S255">
            <v>3286</v>
          </cell>
          <cell r="T255">
            <v>567</v>
          </cell>
          <cell r="U255">
            <v>0.38400000000000001</v>
          </cell>
          <cell r="V255">
            <v>28</v>
          </cell>
          <cell r="W255">
            <v>3</v>
          </cell>
          <cell r="X255">
            <v>31</v>
          </cell>
          <cell r="Y255">
            <v>7</v>
          </cell>
          <cell r="Z255">
            <v>1340519</v>
          </cell>
          <cell r="AA255">
            <v>30.77</v>
          </cell>
          <cell r="AB255">
            <v>1340519</v>
          </cell>
          <cell r="AC255">
            <v>30.77</v>
          </cell>
          <cell r="AD255">
            <v>190435</v>
          </cell>
          <cell r="AE255">
            <v>12238008</v>
          </cell>
          <cell r="AF255">
            <v>0.1421</v>
          </cell>
          <cell r="AG255">
            <v>107</v>
          </cell>
          <cell r="AH255">
            <v>17963549</v>
          </cell>
          <cell r="AI255">
            <v>2564</v>
          </cell>
          <cell r="AJ255">
            <v>542</v>
          </cell>
          <cell r="AK255" t="str">
            <v>WATSON AVE</v>
          </cell>
          <cell r="AL255" t="str">
            <v>BRUCKNER BLVD</v>
          </cell>
          <cell r="AM255" t="str">
            <v>SOUNDVIEW AVE</v>
          </cell>
          <cell r="AN255" t="str">
            <v>LELAND AVE</v>
          </cell>
          <cell r="AO255" t="str">
            <v>BRONX</v>
          </cell>
          <cell r="AP255">
            <v>9</v>
          </cell>
          <cell r="AQ255">
            <v>15</v>
          </cell>
          <cell r="AR255">
            <v>32</v>
          </cell>
          <cell r="AS255">
            <v>85</v>
          </cell>
          <cell r="AT255">
            <v>18</v>
          </cell>
          <cell r="AU255">
            <v>20148</v>
          </cell>
        </row>
        <row r="256">
          <cell r="B256" t="str">
            <v>SOUNDVIEW</v>
          </cell>
          <cell r="C256" t="str">
            <v>NY005000710</v>
          </cell>
          <cell r="D256">
            <v>71</v>
          </cell>
          <cell r="E256">
            <v>71</v>
          </cell>
          <cell r="F256">
            <v>537</v>
          </cell>
          <cell r="G256">
            <v>537</v>
          </cell>
          <cell r="H256" t="str">
            <v>NY005220H</v>
          </cell>
          <cell r="I256" t="str">
            <v>FEDERAL</v>
          </cell>
          <cell r="J256" t="str">
            <v>CONVENTIONAL</v>
          </cell>
          <cell r="K256" t="str">
            <v>NEW CONST</v>
          </cell>
          <cell r="M256">
            <v>1258</v>
          </cell>
          <cell r="N256">
            <v>1259</v>
          </cell>
          <cell r="O256">
            <v>5863</v>
          </cell>
          <cell r="P256">
            <v>4.66</v>
          </cell>
          <cell r="R256">
            <v>2901</v>
          </cell>
          <cell r="S256">
            <v>2901</v>
          </cell>
          <cell r="T256">
            <v>493</v>
          </cell>
          <cell r="U256">
            <v>0.39600000000000002</v>
          </cell>
          <cell r="V256">
            <v>13</v>
          </cell>
          <cell r="W256">
            <v>2</v>
          </cell>
          <cell r="X256">
            <v>28</v>
          </cell>
          <cell r="Y256">
            <v>7</v>
          </cell>
          <cell r="Z256">
            <v>1076761</v>
          </cell>
          <cell r="AA256">
            <v>24.72</v>
          </cell>
          <cell r="AB256">
            <v>1076761</v>
          </cell>
          <cell r="AC256">
            <v>24.72</v>
          </cell>
          <cell r="AD256">
            <v>164048</v>
          </cell>
          <cell r="AE256">
            <v>10481330</v>
          </cell>
          <cell r="AF256">
            <v>0.14319999999999999</v>
          </cell>
          <cell r="AG256">
            <v>117</v>
          </cell>
          <cell r="AH256">
            <v>13445000</v>
          </cell>
          <cell r="AI256">
            <v>2308</v>
          </cell>
          <cell r="AJ256">
            <v>500</v>
          </cell>
          <cell r="AK256" t="str">
            <v>ROSEDALE AVE</v>
          </cell>
          <cell r="AL256" t="str">
            <v>LACOMBE AVE</v>
          </cell>
          <cell r="AM256" t="str">
            <v>BRONX RIVER AVE</v>
          </cell>
          <cell r="AN256" t="str">
            <v>SOUNDVIEW PK</v>
          </cell>
          <cell r="AO256" t="str">
            <v>BRONX</v>
          </cell>
          <cell r="AP256">
            <v>9</v>
          </cell>
          <cell r="AQ256">
            <v>15</v>
          </cell>
          <cell r="AR256">
            <v>32</v>
          </cell>
          <cell r="AS256">
            <v>85</v>
          </cell>
          <cell r="AT256">
            <v>18</v>
          </cell>
          <cell r="AU256">
            <v>20026</v>
          </cell>
          <cell r="AV256" t="str">
            <v>1978/07/01-ATP 3</v>
          </cell>
        </row>
        <row r="257">
          <cell r="B257" t="str">
            <v>SOUTH BEACH</v>
          </cell>
          <cell r="C257" t="str">
            <v>NY005010350</v>
          </cell>
          <cell r="D257">
            <v>35</v>
          </cell>
          <cell r="E257">
            <v>35</v>
          </cell>
          <cell r="F257">
            <v>315</v>
          </cell>
          <cell r="G257">
            <v>315</v>
          </cell>
          <cell r="H257" t="str">
            <v>NY005114C</v>
          </cell>
          <cell r="I257" t="str">
            <v>FEDERAL</v>
          </cell>
          <cell r="J257" t="str">
            <v>CONVENTIONAL</v>
          </cell>
          <cell r="K257" t="str">
            <v>NEW CONST</v>
          </cell>
          <cell r="M257">
            <v>421</v>
          </cell>
          <cell r="N257">
            <v>422</v>
          </cell>
          <cell r="O257">
            <v>1936.5</v>
          </cell>
          <cell r="P257">
            <v>4.5999999999999996</v>
          </cell>
          <cell r="R257">
            <v>891</v>
          </cell>
          <cell r="S257">
            <v>891</v>
          </cell>
          <cell r="T257">
            <v>183</v>
          </cell>
          <cell r="U257">
            <v>0.441</v>
          </cell>
          <cell r="V257">
            <v>8</v>
          </cell>
          <cell r="W257">
            <v>0</v>
          </cell>
          <cell r="X257">
            <v>15</v>
          </cell>
          <cell r="Y257">
            <v>6</v>
          </cell>
          <cell r="Z257">
            <v>708283</v>
          </cell>
          <cell r="AA257">
            <v>16.260000000000002</v>
          </cell>
          <cell r="AB257">
            <v>638737</v>
          </cell>
          <cell r="AC257">
            <v>14.66</v>
          </cell>
          <cell r="AD257">
            <v>68084</v>
          </cell>
          <cell r="AE257">
            <v>3921651</v>
          </cell>
          <cell r="AF257">
            <v>9.6100000000000005E-2</v>
          </cell>
          <cell r="AG257">
            <v>55</v>
          </cell>
          <cell r="AH257">
            <v>5377000</v>
          </cell>
          <cell r="AI257">
            <v>2795</v>
          </cell>
          <cell r="AJ257">
            <v>479</v>
          </cell>
          <cell r="AK257" t="str">
            <v>KRAMER ST</v>
          </cell>
          <cell r="AL257" t="str">
            <v>LAMPORT BLVD</v>
          </cell>
          <cell r="AM257" t="str">
            <v>REID AVE</v>
          </cell>
          <cell r="AN257" t="str">
            <v>PARKINSON AVE</v>
          </cell>
          <cell r="AO257" t="str">
            <v>STATEN ISLAND</v>
          </cell>
          <cell r="AP257">
            <v>2</v>
          </cell>
          <cell r="AQ257">
            <v>11</v>
          </cell>
          <cell r="AR257">
            <v>23</v>
          </cell>
          <cell r="AS257">
            <v>64</v>
          </cell>
          <cell r="AT257">
            <v>50</v>
          </cell>
          <cell r="AU257">
            <v>18342</v>
          </cell>
          <cell r="AV257" t="str">
            <v>1968/08/29-FED TRAN</v>
          </cell>
        </row>
        <row r="258">
          <cell r="B258" t="str">
            <v>SOUTH BRONX AREA (SITE 402)</v>
          </cell>
          <cell r="C258" t="str">
            <v>NY005013420</v>
          </cell>
          <cell r="D258">
            <v>305</v>
          </cell>
          <cell r="E258">
            <v>342</v>
          </cell>
          <cell r="F258">
            <v>550</v>
          </cell>
          <cell r="G258">
            <v>753</v>
          </cell>
          <cell r="H258" t="str">
            <v>NY005224</v>
          </cell>
          <cell r="I258" t="str">
            <v>FEDERAL</v>
          </cell>
          <cell r="J258" t="str">
            <v>TURNKEY</v>
          </cell>
          <cell r="K258" t="str">
            <v>NEW CONST</v>
          </cell>
          <cell r="M258">
            <v>112</v>
          </cell>
          <cell r="N258">
            <v>114</v>
          </cell>
          <cell r="O258">
            <v>592</v>
          </cell>
          <cell r="P258">
            <v>5.29</v>
          </cell>
          <cell r="R258">
            <v>383</v>
          </cell>
          <cell r="S258">
            <v>383</v>
          </cell>
          <cell r="T258">
            <v>18</v>
          </cell>
          <cell r="U258">
            <v>0.16200000000000001</v>
          </cell>
          <cell r="V258">
            <v>4</v>
          </cell>
          <cell r="W258">
            <v>0</v>
          </cell>
          <cell r="X258">
            <v>19</v>
          </cell>
          <cell r="Y258">
            <v>3</v>
          </cell>
          <cell r="Z258">
            <v>149500</v>
          </cell>
          <cell r="AA258">
            <v>3.43</v>
          </cell>
          <cell r="AB258">
            <v>149500</v>
          </cell>
          <cell r="AC258">
            <v>3.43</v>
          </cell>
          <cell r="AD258">
            <v>41764</v>
          </cell>
          <cell r="AE258">
            <v>1301202</v>
          </cell>
          <cell r="AF258">
            <v>0.27939999999999998</v>
          </cell>
          <cell r="AG258">
            <v>112</v>
          </cell>
          <cell r="AH258">
            <v>8902455</v>
          </cell>
          <cell r="AI258">
            <v>14764</v>
          </cell>
          <cell r="AJ258">
            <v>636</v>
          </cell>
          <cell r="AK258" t="str">
            <v>E 158TH ST</v>
          </cell>
          <cell r="AL258" t="str">
            <v>E 161ST ST</v>
          </cell>
          <cell r="AM258" t="str">
            <v>CAULDWELL AVE</v>
          </cell>
          <cell r="AN258" t="str">
            <v>EAGLE AVE</v>
          </cell>
          <cell r="AO258" t="str">
            <v>BRONX</v>
          </cell>
          <cell r="AP258">
            <v>1</v>
          </cell>
          <cell r="AQ258">
            <v>15</v>
          </cell>
          <cell r="AR258">
            <v>32</v>
          </cell>
          <cell r="AS258">
            <v>79</v>
          </cell>
          <cell r="AT258">
            <v>17</v>
          </cell>
          <cell r="AU258">
            <v>32264</v>
          </cell>
          <cell r="AX258" t="str">
            <v>YES</v>
          </cell>
        </row>
        <row r="259">
          <cell r="B259" t="str">
            <v>SOUTH JAMAICA I</v>
          </cell>
          <cell r="C259" t="str">
            <v>NY005010080</v>
          </cell>
          <cell r="D259">
            <v>8</v>
          </cell>
          <cell r="E259">
            <v>8</v>
          </cell>
          <cell r="F259">
            <v>206</v>
          </cell>
          <cell r="G259">
            <v>206</v>
          </cell>
          <cell r="H259" t="str">
            <v>NY005004</v>
          </cell>
          <cell r="I259" t="str">
            <v>FEDERAL</v>
          </cell>
          <cell r="J259" t="str">
            <v>CONVENTIONAL</v>
          </cell>
          <cell r="K259" t="str">
            <v>NEW CONST</v>
          </cell>
          <cell r="M259">
            <v>448</v>
          </cell>
          <cell r="N259">
            <v>448</v>
          </cell>
          <cell r="O259">
            <v>1797</v>
          </cell>
          <cell r="P259">
            <v>4.01</v>
          </cell>
          <cell r="R259">
            <v>841</v>
          </cell>
          <cell r="S259">
            <v>841</v>
          </cell>
          <cell r="T259">
            <v>144</v>
          </cell>
          <cell r="U259">
            <v>0.33900000000000002</v>
          </cell>
          <cell r="V259">
            <v>11</v>
          </cell>
          <cell r="W259">
            <v>1</v>
          </cell>
          <cell r="X259">
            <v>33</v>
          </cell>
          <cell r="Y259">
            <v>43528</v>
          </cell>
          <cell r="Z259">
            <v>392989</v>
          </cell>
          <cell r="AA259">
            <v>9.02</v>
          </cell>
          <cell r="AB259">
            <v>392989</v>
          </cell>
          <cell r="AC259">
            <v>9.02</v>
          </cell>
          <cell r="AD259">
            <v>82310</v>
          </cell>
          <cell r="AE259">
            <v>2940659</v>
          </cell>
          <cell r="AF259">
            <v>0.2094</v>
          </cell>
          <cell r="AG259">
            <v>93</v>
          </cell>
          <cell r="AH259">
            <v>2117392</v>
          </cell>
          <cell r="AI259">
            <v>1182</v>
          </cell>
          <cell r="AJ259">
            <v>515</v>
          </cell>
          <cell r="AK259" t="str">
            <v>158TH ST</v>
          </cell>
          <cell r="AL259" t="str">
            <v>SOUTH RD</v>
          </cell>
          <cell r="AM259" t="str">
            <v>160TH ST</v>
          </cell>
          <cell r="AN259" t="str">
            <v>109TH AVE</v>
          </cell>
          <cell r="AO259" t="str">
            <v>QUEENS</v>
          </cell>
          <cell r="AP259">
            <v>12</v>
          </cell>
          <cell r="AQ259">
            <v>5</v>
          </cell>
          <cell r="AR259" t="str">
            <v>10, 14</v>
          </cell>
          <cell r="AS259">
            <v>32</v>
          </cell>
          <cell r="AT259">
            <v>28</v>
          </cell>
          <cell r="AU259">
            <v>14824</v>
          </cell>
        </row>
        <row r="260">
          <cell r="B260" t="str">
            <v>SOUTH JAMAICA II</v>
          </cell>
          <cell r="C260" t="str">
            <v>NY005010080</v>
          </cell>
          <cell r="D260">
            <v>66</v>
          </cell>
          <cell r="E260">
            <v>8</v>
          </cell>
          <cell r="F260">
            <v>220</v>
          </cell>
          <cell r="G260">
            <v>206</v>
          </cell>
          <cell r="H260" t="str">
            <v>NY005018</v>
          </cell>
          <cell r="I260" t="str">
            <v>FEDERAL</v>
          </cell>
          <cell r="J260" t="str">
            <v>CONVENTIONAL</v>
          </cell>
          <cell r="K260" t="str">
            <v>NEW CONST</v>
          </cell>
          <cell r="M260">
            <v>598</v>
          </cell>
          <cell r="N260">
            <v>600</v>
          </cell>
          <cell r="O260">
            <v>2811</v>
          </cell>
          <cell r="P260">
            <v>4.7</v>
          </cell>
          <cell r="R260">
            <v>1449</v>
          </cell>
          <cell r="S260">
            <v>1449</v>
          </cell>
          <cell r="T260">
            <v>166</v>
          </cell>
          <cell r="U260">
            <v>0.28299999999999997</v>
          </cell>
          <cell r="V260">
            <v>16</v>
          </cell>
          <cell r="W260">
            <v>0</v>
          </cell>
          <cell r="X260">
            <v>27</v>
          </cell>
          <cell r="Y260">
            <v>43531</v>
          </cell>
          <cell r="Z260">
            <v>579217</v>
          </cell>
          <cell r="AA260">
            <v>13.3</v>
          </cell>
          <cell r="AB260">
            <v>579217</v>
          </cell>
          <cell r="AC260">
            <v>13.36</v>
          </cell>
          <cell r="AD260">
            <v>116506</v>
          </cell>
          <cell r="AE260">
            <v>5268542</v>
          </cell>
          <cell r="AF260">
            <v>0.2011</v>
          </cell>
          <cell r="AG260">
            <v>109</v>
          </cell>
          <cell r="AH260">
            <v>8541145</v>
          </cell>
          <cell r="AI260">
            <v>3030</v>
          </cell>
          <cell r="AJ260">
            <v>592</v>
          </cell>
          <cell r="AK260" t="str">
            <v>SOUTH RD</v>
          </cell>
          <cell r="AL260" t="str">
            <v>160TH ST</v>
          </cell>
          <cell r="AM260" t="str">
            <v>BRINKERHOFF AVE</v>
          </cell>
          <cell r="AN260" t="str">
            <v>158TH ST</v>
          </cell>
          <cell r="AO260" t="str">
            <v>QUEENS</v>
          </cell>
          <cell r="AP260">
            <v>12</v>
          </cell>
          <cell r="AQ260">
            <v>5</v>
          </cell>
          <cell r="AR260" t="str">
            <v>10, 14</v>
          </cell>
          <cell r="AS260">
            <v>32</v>
          </cell>
          <cell r="AT260">
            <v>28</v>
          </cell>
          <cell r="AU260">
            <v>20022</v>
          </cell>
        </row>
        <row r="261">
          <cell r="B261" t="str">
            <v>STANTON STREET</v>
          </cell>
          <cell r="C261" t="str">
            <v>NY005013590</v>
          </cell>
          <cell r="D261">
            <v>559</v>
          </cell>
          <cell r="E261">
            <v>359</v>
          </cell>
          <cell r="F261">
            <v>841</v>
          </cell>
          <cell r="G261">
            <v>840</v>
          </cell>
          <cell r="H261" t="str">
            <v>NY005326</v>
          </cell>
          <cell r="I261" t="str">
            <v>FEDERAL</v>
          </cell>
          <cell r="J261" t="str">
            <v>TURNKEY</v>
          </cell>
          <cell r="K261" t="str">
            <v>NEW CONST</v>
          </cell>
          <cell r="M261">
            <v>13</v>
          </cell>
          <cell r="N261">
            <v>13</v>
          </cell>
          <cell r="O261">
            <v>66.5</v>
          </cell>
          <cell r="P261">
            <v>5.12</v>
          </cell>
          <cell r="R261">
            <v>35</v>
          </cell>
          <cell r="S261">
            <v>35</v>
          </cell>
          <cell r="T261">
            <v>2</v>
          </cell>
          <cell r="U261">
            <v>0.154</v>
          </cell>
          <cell r="V261">
            <v>1</v>
          </cell>
          <cell r="W261">
            <v>0</v>
          </cell>
          <cell r="X261">
            <v>1</v>
          </cell>
          <cell r="Y261">
            <v>6</v>
          </cell>
          <cell r="Z261">
            <v>5000</v>
          </cell>
          <cell r="AA261">
            <v>0.11</v>
          </cell>
          <cell r="AB261">
            <v>5000</v>
          </cell>
          <cell r="AC261">
            <v>0.11</v>
          </cell>
          <cell r="AD261">
            <v>3600</v>
          </cell>
          <cell r="AF261">
            <v>0.72</v>
          </cell>
          <cell r="AG261">
            <v>318</v>
          </cell>
          <cell r="AH261">
            <v>4561538</v>
          </cell>
          <cell r="AI261">
            <v>68595</v>
          </cell>
          <cell r="AJ261">
            <v>468</v>
          </cell>
          <cell r="AK261" t="str">
            <v>ATTORNEY ST</v>
          </cell>
          <cell r="AL261" t="str">
            <v>STANTON ST</v>
          </cell>
          <cell r="AM261" t="str">
            <v>RIDGE ST</v>
          </cell>
          <cell r="AO261" t="str">
            <v>MANHATTAN</v>
          </cell>
          <cell r="AP261">
            <v>3</v>
          </cell>
          <cell r="AQ261">
            <v>12</v>
          </cell>
          <cell r="AR261">
            <v>26</v>
          </cell>
          <cell r="AS261">
            <v>65</v>
          </cell>
          <cell r="AT261">
            <v>1</v>
          </cell>
          <cell r="AU261">
            <v>37956</v>
          </cell>
          <cell r="AX261" t="str">
            <v>YES</v>
          </cell>
          <cell r="AY261" t="str">
            <v>YES</v>
          </cell>
        </row>
        <row r="262">
          <cell r="B262" t="str">
            <v>STAPLETON</v>
          </cell>
          <cell r="C262" t="str">
            <v>NY005021140</v>
          </cell>
          <cell r="D262">
            <v>114</v>
          </cell>
          <cell r="E262">
            <v>114</v>
          </cell>
          <cell r="F262">
            <v>436</v>
          </cell>
          <cell r="G262">
            <v>436</v>
          </cell>
          <cell r="H262" t="str">
            <v>NY005383</v>
          </cell>
          <cell r="I262" t="str">
            <v>MIXED FINANCE/LLC1</v>
          </cell>
          <cell r="J262" t="str">
            <v>CONVENTIONAL</v>
          </cell>
          <cell r="K262" t="str">
            <v>NEW CONST</v>
          </cell>
          <cell r="L262">
            <v>125</v>
          </cell>
          <cell r="M262">
            <v>693</v>
          </cell>
          <cell r="N262">
            <v>693</v>
          </cell>
          <cell r="O262">
            <v>3358.5</v>
          </cell>
          <cell r="P262">
            <v>4.8499999999999996</v>
          </cell>
          <cell r="Q262">
            <v>355</v>
          </cell>
          <cell r="R262">
            <v>1711</v>
          </cell>
          <cell r="S262">
            <v>2066</v>
          </cell>
          <cell r="T262">
            <v>202</v>
          </cell>
          <cell r="U262">
            <v>0.30599999999999999</v>
          </cell>
          <cell r="V262">
            <v>6</v>
          </cell>
          <cell r="W262">
            <v>1</v>
          </cell>
          <cell r="X262">
            <v>12</v>
          </cell>
          <cell r="Y262" t="str">
            <v>1, 8</v>
          </cell>
          <cell r="Z262">
            <v>734857</v>
          </cell>
          <cell r="AA262">
            <v>16.87</v>
          </cell>
          <cell r="AB262">
            <v>611147</v>
          </cell>
          <cell r="AC262">
            <v>14.03</v>
          </cell>
          <cell r="AD262">
            <v>76976</v>
          </cell>
          <cell r="AE262">
            <v>6441281</v>
          </cell>
          <cell r="AF262">
            <v>0.1047</v>
          </cell>
          <cell r="AG262">
            <v>122</v>
          </cell>
          <cell r="AH262">
            <v>12271000</v>
          </cell>
          <cell r="AI262">
            <v>3654</v>
          </cell>
          <cell r="AJ262">
            <v>521</v>
          </cell>
          <cell r="AK262" t="str">
            <v>BROAD &amp; HILL STS</v>
          </cell>
          <cell r="AL262" t="str">
            <v>TOMPKINS AVE</v>
          </cell>
          <cell r="AM262" t="str">
            <v>WARREN ST</v>
          </cell>
          <cell r="AN262" t="str">
            <v>GORDON ST</v>
          </cell>
          <cell r="AO262" t="str">
            <v>STATEN ISLAND</v>
          </cell>
          <cell r="AP262">
            <v>1</v>
          </cell>
          <cell r="AQ262">
            <v>11</v>
          </cell>
          <cell r="AR262">
            <v>23</v>
          </cell>
          <cell r="AS262">
            <v>61</v>
          </cell>
          <cell r="AT262">
            <v>49</v>
          </cell>
          <cell r="AU262">
            <v>22797</v>
          </cell>
        </row>
        <row r="263">
          <cell r="B263" t="str">
            <v>STEBBINS AVENUE-HEWITT PLACE</v>
          </cell>
          <cell r="C263" t="str">
            <v>NY005013420</v>
          </cell>
          <cell r="D263">
            <v>353</v>
          </cell>
          <cell r="E263">
            <v>342</v>
          </cell>
          <cell r="F263">
            <v>770</v>
          </cell>
          <cell r="G263">
            <v>753</v>
          </cell>
          <cell r="H263" t="str">
            <v>NY005280</v>
          </cell>
          <cell r="I263" t="str">
            <v>FEDERAL</v>
          </cell>
          <cell r="J263" t="str">
            <v>TURNKEY</v>
          </cell>
          <cell r="K263" t="str">
            <v>NEW CONST</v>
          </cell>
          <cell r="M263">
            <v>119</v>
          </cell>
          <cell r="N263">
            <v>120</v>
          </cell>
          <cell r="O263">
            <v>535.5</v>
          </cell>
          <cell r="P263">
            <v>4.5</v>
          </cell>
          <cell r="R263">
            <v>274</v>
          </cell>
          <cell r="S263">
            <v>274</v>
          </cell>
          <cell r="T263">
            <v>37</v>
          </cell>
          <cell r="U263">
            <v>0.311</v>
          </cell>
          <cell r="V263">
            <v>2</v>
          </cell>
          <cell r="W263">
            <v>0</v>
          </cell>
          <cell r="X263">
            <v>14</v>
          </cell>
          <cell r="Y263">
            <v>3</v>
          </cell>
          <cell r="Z263">
            <v>123156</v>
          </cell>
          <cell r="AA263">
            <v>2.83</v>
          </cell>
          <cell r="AB263">
            <v>123156</v>
          </cell>
          <cell r="AC263">
            <v>2.83</v>
          </cell>
          <cell r="AD263">
            <v>42267</v>
          </cell>
          <cell r="AE263">
            <v>1098942</v>
          </cell>
          <cell r="AF263">
            <v>0.34320000000000001</v>
          </cell>
          <cell r="AG263">
            <v>97</v>
          </cell>
          <cell r="AH263">
            <v>8851338</v>
          </cell>
          <cell r="AI263">
            <v>16391</v>
          </cell>
          <cell r="AJ263">
            <v>648</v>
          </cell>
          <cell r="AK263" t="str">
            <v>HEWITT PL</v>
          </cell>
          <cell r="AL263" t="str">
            <v>WESTCHESTER AVE</v>
          </cell>
          <cell r="AM263" t="str">
            <v>REV JAMES A POLITE AVE</v>
          </cell>
          <cell r="AN263" t="str">
            <v>DAWSON ST</v>
          </cell>
          <cell r="AO263" t="str">
            <v>BRONX</v>
          </cell>
          <cell r="AP263">
            <v>2</v>
          </cell>
          <cell r="AQ263">
            <v>15</v>
          </cell>
          <cell r="AR263">
            <v>32</v>
          </cell>
          <cell r="AS263">
            <v>85</v>
          </cell>
          <cell r="AT263">
            <v>17</v>
          </cell>
          <cell r="AU263">
            <v>31884</v>
          </cell>
          <cell r="AX263" t="str">
            <v>YES</v>
          </cell>
        </row>
        <row r="264">
          <cell r="B264" t="str">
            <v>STERLING PLACE REHABS (SAINT JOHNS-STERLING)</v>
          </cell>
          <cell r="C264" t="str">
            <v>NY005013510</v>
          </cell>
          <cell r="D264">
            <v>366</v>
          </cell>
          <cell r="E264">
            <v>351</v>
          </cell>
          <cell r="F264">
            <v>801</v>
          </cell>
          <cell r="G264">
            <v>765</v>
          </cell>
          <cell r="H264" t="str">
            <v>NY005250</v>
          </cell>
          <cell r="I264" t="str">
            <v>FEDERAL</v>
          </cell>
          <cell r="J264" t="str">
            <v>TURNKEY</v>
          </cell>
          <cell r="K264" t="str">
            <v>REHAB</v>
          </cell>
          <cell r="M264">
            <v>83</v>
          </cell>
          <cell r="N264">
            <v>83</v>
          </cell>
          <cell r="O264">
            <v>440.5</v>
          </cell>
          <cell r="P264">
            <v>5.31</v>
          </cell>
          <cell r="R264">
            <v>275</v>
          </cell>
          <cell r="S264">
            <v>275</v>
          </cell>
          <cell r="T264">
            <v>12</v>
          </cell>
          <cell r="U264">
            <v>0.14599999999999999</v>
          </cell>
          <cell r="V264">
            <v>5</v>
          </cell>
          <cell r="W264">
            <v>0</v>
          </cell>
          <cell r="X264">
            <v>5</v>
          </cell>
          <cell r="Y264">
            <v>4</v>
          </cell>
          <cell r="Z264">
            <v>49149</v>
          </cell>
          <cell r="AA264">
            <v>1.1299999999999999</v>
          </cell>
          <cell r="AB264">
            <v>49149</v>
          </cell>
          <cell r="AC264">
            <v>1.1299999999999999</v>
          </cell>
          <cell r="AD264">
            <v>28039</v>
          </cell>
          <cell r="AE264">
            <v>1312849</v>
          </cell>
          <cell r="AF264">
            <v>0.57050000000000001</v>
          </cell>
          <cell r="AG264">
            <v>243</v>
          </cell>
          <cell r="AH264">
            <v>9091865</v>
          </cell>
          <cell r="AI264">
            <v>20640</v>
          </cell>
          <cell r="AJ264">
            <v>709</v>
          </cell>
          <cell r="AK264" t="str">
            <v>SAINT JOHNS PL &amp; PARK PL</v>
          </cell>
          <cell r="AL264" t="str">
            <v>STERLING PL</v>
          </cell>
          <cell r="AM264" t="str">
            <v>BUFFALO AVE &amp; UTICA AVE</v>
          </cell>
          <cell r="AN264" t="str">
            <v>RALPH AVE</v>
          </cell>
          <cell r="AO264" t="str">
            <v>BROOKLYN</v>
          </cell>
          <cell r="AP264">
            <v>8</v>
          </cell>
          <cell r="AQ264">
            <v>9</v>
          </cell>
          <cell r="AR264" t="str">
            <v>20, 25</v>
          </cell>
          <cell r="AS264">
            <v>55</v>
          </cell>
          <cell r="AT264" t="str">
            <v>36, 41</v>
          </cell>
          <cell r="AU264">
            <v>33369</v>
          </cell>
          <cell r="AX264" t="str">
            <v>YES</v>
          </cell>
        </row>
        <row r="265">
          <cell r="B265" t="str">
            <v>STERLING PLACE REHABS (STERLING-BUFFALO)</v>
          </cell>
          <cell r="C265" t="str">
            <v>NY005013510</v>
          </cell>
          <cell r="D265">
            <v>368</v>
          </cell>
          <cell r="E265">
            <v>351</v>
          </cell>
          <cell r="F265">
            <v>837</v>
          </cell>
          <cell r="G265">
            <v>765</v>
          </cell>
          <cell r="H265" t="str">
            <v>NY005305</v>
          </cell>
          <cell r="I265" t="str">
            <v>FEDERAL</v>
          </cell>
          <cell r="J265" t="str">
            <v>TURNKEY</v>
          </cell>
          <cell r="K265" t="str">
            <v>REHAB</v>
          </cell>
          <cell r="M265">
            <v>125</v>
          </cell>
          <cell r="N265">
            <v>125</v>
          </cell>
          <cell r="O265">
            <v>593.5</v>
          </cell>
          <cell r="P265">
            <v>4.75</v>
          </cell>
          <cell r="R265">
            <v>329</v>
          </cell>
          <cell r="S265">
            <v>329</v>
          </cell>
          <cell r="T265">
            <v>25</v>
          </cell>
          <cell r="U265">
            <v>0.20200000000000001</v>
          </cell>
          <cell r="V265">
            <v>7</v>
          </cell>
          <cell r="W265">
            <v>0</v>
          </cell>
          <cell r="X265">
            <v>7</v>
          </cell>
          <cell r="Y265">
            <v>4</v>
          </cell>
          <cell r="Z265">
            <v>48928</v>
          </cell>
          <cell r="AA265">
            <v>1.1200000000000001</v>
          </cell>
          <cell r="AB265">
            <v>48928</v>
          </cell>
          <cell r="AC265">
            <v>1.1200000000000001</v>
          </cell>
          <cell r="AD265">
            <v>36119</v>
          </cell>
          <cell r="AE265">
            <v>1656285</v>
          </cell>
          <cell r="AF265">
            <v>0.73819999999999997</v>
          </cell>
          <cell r="AG265">
            <v>294</v>
          </cell>
          <cell r="AH265">
            <v>12235716</v>
          </cell>
          <cell r="AI265">
            <v>20616</v>
          </cell>
          <cell r="AJ265">
            <v>614</v>
          </cell>
          <cell r="AK265" t="str">
            <v>SAINT JOHNS PL &amp; PARK PL</v>
          </cell>
          <cell r="AL265" t="str">
            <v>STERLING PL</v>
          </cell>
          <cell r="AM265" t="str">
            <v>BUFFALO AVE &amp; UTICA AVE</v>
          </cell>
          <cell r="AN265" t="str">
            <v>RALPH AVE</v>
          </cell>
          <cell r="AO265" t="str">
            <v>BROOKLYN</v>
          </cell>
          <cell r="AP265">
            <v>8</v>
          </cell>
          <cell r="AQ265">
            <v>9</v>
          </cell>
          <cell r="AR265" t="str">
            <v>20, 25</v>
          </cell>
          <cell r="AS265">
            <v>55</v>
          </cell>
          <cell r="AT265" t="str">
            <v>36, 41</v>
          </cell>
          <cell r="AU265">
            <v>33369</v>
          </cell>
          <cell r="AX265" t="str">
            <v>YES</v>
          </cell>
        </row>
        <row r="266">
          <cell r="B266" t="str">
            <v>STRAUS</v>
          </cell>
          <cell r="C266" t="str">
            <v>NY005011530</v>
          </cell>
          <cell r="D266">
            <v>153</v>
          </cell>
          <cell r="E266">
            <v>153</v>
          </cell>
          <cell r="F266">
            <v>263</v>
          </cell>
          <cell r="G266">
            <v>263</v>
          </cell>
          <cell r="H266" t="str">
            <v>NY005063</v>
          </cell>
          <cell r="I266" t="str">
            <v>FEDERAL</v>
          </cell>
          <cell r="J266" t="str">
            <v>CONVENTIONAL</v>
          </cell>
          <cell r="K266" t="str">
            <v>NEW CONST</v>
          </cell>
          <cell r="M266">
            <v>267</v>
          </cell>
          <cell r="N266">
            <v>267</v>
          </cell>
          <cell r="O266">
            <v>1162.5</v>
          </cell>
          <cell r="P266">
            <v>4.3499999999999996</v>
          </cell>
          <cell r="R266">
            <v>550</v>
          </cell>
          <cell r="S266">
            <v>550</v>
          </cell>
          <cell r="T266">
            <v>127</v>
          </cell>
          <cell r="U266">
            <v>0.48099999999999998</v>
          </cell>
          <cell r="V266">
            <v>2</v>
          </cell>
          <cell r="W266">
            <v>0</v>
          </cell>
          <cell r="X266">
            <v>2</v>
          </cell>
          <cell r="Y266" t="str">
            <v>19-20</v>
          </cell>
          <cell r="Z266">
            <v>46018</v>
          </cell>
          <cell r="AA266">
            <v>1.06</v>
          </cell>
          <cell r="AB266">
            <v>46018</v>
          </cell>
          <cell r="AC266">
            <v>1.06</v>
          </cell>
          <cell r="AD266">
            <v>12476</v>
          </cell>
          <cell r="AE266">
            <v>2133126</v>
          </cell>
          <cell r="AF266">
            <v>0.27110000000000001</v>
          </cell>
          <cell r="AG266">
            <v>519</v>
          </cell>
          <cell r="AH266">
            <v>5442401</v>
          </cell>
          <cell r="AI266">
            <v>4674</v>
          </cell>
          <cell r="AJ266">
            <v>564</v>
          </cell>
          <cell r="AK266" t="str">
            <v>THIRD AVE</v>
          </cell>
          <cell r="AL266" t="str">
            <v>E 28TH ST</v>
          </cell>
          <cell r="AM266" t="str">
            <v>SECOND AVE</v>
          </cell>
          <cell r="AN266" t="str">
            <v>E 27TH ST</v>
          </cell>
          <cell r="AO266" t="str">
            <v>MANHATTAN</v>
          </cell>
          <cell r="AP266">
            <v>6</v>
          </cell>
          <cell r="AQ266">
            <v>12</v>
          </cell>
          <cell r="AR266">
            <v>28</v>
          </cell>
          <cell r="AS266">
            <v>74</v>
          </cell>
          <cell r="AT266">
            <v>2</v>
          </cell>
          <cell r="AU266">
            <v>23773</v>
          </cell>
        </row>
        <row r="267">
          <cell r="B267" t="str">
            <v>STUYVESANT GARDENS I</v>
          </cell>
          <cell r="C267" t="str">
            <v>NY005012210</v>
          </cell>
          <cell r="D267">
            <v>221</v>
          </cell>
          <cell r="E267">
            <v>221</v>
          </cell>
          <cell r="F267">
            <v>337</v>
          </cell>
          <cell r="G267">
            <v>337</v>
          </cell>
          <cell r="H267" t="str">
            <v>NY005133</v>
          </cell>
          <cell r="I267" t="str">
            <v>FEDERAL</v>
          </cell>
          <cell r="J267" t="str">
            <v>TURNKEY</v>
          </cell>
          <cell r="K267" t="str">
            <v>NEW CONST</v>
          </cell>
          <cell r="M267">
            <v>329</v>
          </cell>
          <cell r="N267">
            <v>331</v>
          </cell>
          <cell r="O267">
            <v>1614.5</v>
          </cell>
          <cell r="P267">
            <v>4.91</v>
          </cell>
          <cell r="R267">
            <v>828</v>
          </cell>
          <cell r="S267">
            <v>828</v>
          </cell>
          <cell r="T267">
            <v>96</v>
          </cell>
          <cell r="U267">
            <v>0.29299999999999998</v>
          </cell>
          <cell r="V267">
            <v>5</v>
          </cell>
          <cell r="W267">
            <v>0</v>
          </cell>
          <cell r="X267">
            <v>25</v>
          </cell>
          <cell r="Y267">
            <v>4</v>
          </cell>
          <cell r="Z267">
            <v>202058</v>
          </cell>
          <cell r="AA267">
            <v>4.6399999999999997</v>
          </cell>
          <cell r="AB267">
            <v>202058</v>
          </cell>
          <cell r="AC267">
            <v>4.6399999999999997</v>
          </cell>
          <cell r="AD267">
            <v>92431</v>
          </cell>
          <cell r="AE267">
            <v>3341149</v>
          </cell>
          <cell r="AF267">
            <v>0.45739999999999997</v>
          </cell>
          <cell r="AG267">
            <v>178</v>
          </cell>
          <cell r="AH267">
            <v>10070462</v>
          </cell>
          <cell r="AI267">
            <v>6212</v>
          </cell>
          <cell r="AJ267">
            <v>626</v>
          </cell>
          <cell r="AK267" t="str">
            <v>QUINCY ST</v>
          </cell>
          <cell r="AL267" t="str">
            <v>MALCOLM X BLVD</v>
          </cell>
          <cell r="AM267" t="str">
            <v>MONROE ST</v>
          </cell>
          <cell r="AN267" t="str">
            <v>LEWIS AVE</v>
          </cell>
          <cell r="AO267" t="str">
            <v>BROOKLYN</v>
          </cell>
          <cell r="AP267">
            <v>3</v>
          </cell>
          <cell r="AQ267">
            <v>8</v>
          </cell>
          <cell r="AR267">
            <v>25</v>
          </cell>
          <cell r="AS267">
            <v>56</v>
          </cell>
          <cell r="AT267">
            <v>36</v>
          </cell>
          <cell r="AU267">
            <v>26542</v>
          </cell>
        </row>
        <row r="268">
          <cell r="B268" t="str">
            <v>STUYVESANT GARDENS II</v>
          </cell>
          <cell r="C268" t="str">
            <v>NY005012210</v>
          </cell>
          <cell r="D268">
            <v>333</v>
          </cell>
          <cell r="E268">
            <v>221</v>
          </cell>
          <cell r="F268">
            <v>755</v>
          </cell>
          <cell r="G268">
            <v>755</v>
          </cell>
          <cell r="H268" t="str">
            <v>NY005269</v>
          </cell>
          <cell r="I268" t="str">
            <v>FEDERAL</v>
          </cell>
          <cell r="J268" t="str">
            <v>TURNKEY</v>
          </cell>
          <cell r="K268" t="str">
            <v>NEW CONST (ELD)</v>
          </cell>
          <cell r="M268">
            <v>150</v>
          </cell>
          <cell r="N268">
            <v>150</v>
          </cell>
          <cell r="O268">
            <v>525</v>
          </cell>
          <cell r="P268">
            <v>3.5</v>
          </cell>
          <cell r="R268">
            <v>166</v>
          </cell>
          <cell r="S268">
            <v>166</v>
          </cell>
          <cell r="T268">
            <v>135</v>
          </cell>
          <cell r="U268">
            <v>0.91200000000000003</v>
          </cell>
          <cell r="V268">
            <v>1</v>
          </cell>
          <cell r="W268">
            <v>0</v>
          </cell>
          <cell r="X268">
            <v>1</v>
          </cell>
          <cell r="Y268">
            <v>7</v>
          </cell>
          <cell r="Z268">
            <v>70050</v>
          </cell>
          <cell r="AA268">
            <v>1.61</v>
          </cell>
          <cell r="AB268">
            <v>70050</v>
          </cell>
          <cell r="AC268">
            <v>1.61</v>
          </cell>
          <cell r="AD268">
            <v>16458</v>
          </cell>
          <cell r="AE268">
            <v>1044874</v>
          </cell>
          <cell r="AF268">
            <v>0.2349</v>
          </cell>
          <cell r="AG268">
            <v>103</v>
          </cell>
          <cell r="AH268">
            <v>9991893</v>
          </cell>
          <cell r="AI268">
            <v>19032</v>
          </cell>
          <cell r="AJ268">
            <v>396</v>
          </cell>
          <cell r="AK268" t="str">
            <v>QUINCY ST</v>
          </cell>
          <cell r="AL268" t="str">
            <v>MALCOLM X BLVD</v>
          </cell>
          <cell r="AM268" t="str">
            <v>MONROE ST</v>
          </cell>
          <cell r="AN268" t="str">
            <v>STUYVESANT AVE</v>
          </cell>
          <cell r="AO268" t="str">
            <v>BROOKLYN</v>
          </cell>
          <cell r="AP268">
            <v>3</v>
          </cell>
          <cell r="AQ268">
            <v>8</v>
          </cell>
          <cell r="AR268">
            <v>25</v>
          </cell>
          <cell r="AS268">
            <v>56</v>
          </cell>
          <cell r="AT268">
            <v>36</v>
          </cell>
          <cell r="AU268">
            <v>31471</v>
          </cell>
          <cell r="AW268" t="str">
            <v>EXCLUSIVELY</v>
          </cell>
          <cell r="AX268" t="str">
            <v>YES</v>
          </cell>
        </row>
        <row r="269">
          <cell r="B269" t="str">
            <v>SUMNER</v>
          </cell>
          <cell r="C269" t="str">
            <v>NY005010730</v>
          </cell>
          <cell r="D269">
            <v>73</v>
          </cell>
          <cell r="E269">
            <v>73</v>
          </cell>
          <cell r="F269">
            <v>538</v>
          </cell>
          <cell r="G269">
            <v>538</v>
          </cell>
          <cell r="H269" t="str">
            <v>NY005220I</v>
          </cell>
          <cell r="I269" t="str">
            <v>FEDERAL</v>
          </cell>
          <cell r="J269" t="str">
            <v>CONVENTIONAL</v>
          </cell>
          <cell r="K269" t="str">
            <v>NEW CONST</v>
          </cell>
          <cell r="M269">
            <v>1098</v>
          </cell>
          <cell r="N269">
            <v>1099</v>
          </cell>
          <cell r="O269">
            <v>5007</v>
          </cell>
          <cell r="P269">
            <v>4.5599999999999996</v>
          </cell>
          <cell r="R269">
            <v>2288</v>
          </cell>
          <cell r="S269">
            <v>2288</v>
          </cell>
          <cell r="T269">
            <v>470</v>
          </cell>
          <cell r="U269">
            <v>0.432</v>
          </cell>
          <cell r="V269">
            <v>13</v>
          </cell>
          <cell r="W269">
            <v>0</v>
          </cell>
          <cell r="X269">
            <v>24</v>
          </cell>
          <cell r="Y269">
            <v>43658</v>
          </cell>
          <cell r="Z269">
            <v>963265</v>
          </cell>
          <cell r="AA269">
            <v>22.11</v>
          </cell>
          <cell r="AB269">
            <v>905577</v>
          </cell>
          <cell r="AC269">
            <v>20.79</v>
          </cell>
          <cell r="AD269">
            <v>131812</v>
          </cell>
          <cell r="AE269">
            <v>8881677</v>
          </cell>
          <cell r="AF269">
            <v>0.1368</v>
          </cell>
          <cell r="AG269">
            <v>103</v>
          </cell>
          <cell r="AH269">
            <v>18007000</v>
          </cell>
          <cell r="AI269">
            <v>3608</v>
          </cell>
          <cell r="AJ269">
            <v>528</v>
          </cell>
          <cell r="AK269" t="str">
            <v>PARK AVE</v>
          </cell>
          <cell r="AL269" t="str">
            <v>LEWIS AVE</v>
          </cell>
          <cell r="AM269" t="str">
            <v>MYRTLE AVE</v>
          </cell>
          <cell r="AN269" t="str">
            <v>THROOP AVE</v>
          </cell>
          <cell r="AO269" t="str">
            <v>BROOKLYN</v>
          </cell>
          <cell r="AP269">
            <v>3</v>
          </cell>
          <cell r="AQ269">
            <v>8</v>
          </cell>
          <cell r="AR269">
            <v>18</v>
          </cell>
          <cell r="AS269">
            <v>56</v>
          </cell>
          <cell r="AT269">
            <v>36</v>
          </cell>
          <cell r="AU269">
            <v>21319</v>
          </cell>
          <cell r="AV269" t="str">
            <v>1978/07/01-ATP 3</v>
          </cell>
        </row>
        <row r="270">
          <cell r="B270" t="str">
            <v>SURFSIDE GARDENS</v>
          </cell>
          <cell r="C270" t="str">
            <v>NY005011700</v>
          </cell>
          <cell r="D270">
            <v>170</v>
          </cell>
          <cell r="E270">
            <v>170</v>
          </cell>
          <cell r="F270">
            <v>278</v>
          </cell>
          <cell r="G270">
            <v>278</v>
          </cell>
          <cell r="H270" t="str">
            <v>NY005087</v>
          </cell>
          <cell r="I270" t="str">
            <v>FEDERAL</v>
          </cell>
          <cell r="J270" t="str">
            <v>CONVENTIONAL</v>
          </cell>
          <cell r="K270" t="str">
            <v>NEW CONST</v>
          </cell>
          <cell r="M270">
            <v>594</v>
          </cell>
          <cell r="N270">
            <v>600</v>
          </cell>
          <cell r="O270">
            <v>2550</v>
          </cell>
          <cell r="P270">
            <v>4.29</v>
          </cell>
          <cell r="R270">
            <v>1141</v>
          </cell>
          <cell r="S270">
            <v>1141</v>
          </cell>
          <cell r="T270">
            <v>358</v>
          </cell>
          <cell r="U270">
            <v>0.61699999999999999</v>
          </cell>
          <cell r="V270">
            <v>5</v>
          </cell>
          <cell r="W270">
            <v>0</v>
          </cell>
          <cell r="X270">
            <v>5</v>
          </cell>
          <cell r="Y270" t="str">
            <v>14-15</v>
          </cell>
          <cell r="Z270">
            <v>323050</v>
          </cell>
          <cell r="AA270">
            <v>7.42</v>
          </cell>
          <cell r="AB270">
            <v>323050</v>
          </cell>
          <cell r="AC270">
            <v>7.42</v>
          </cell>
          <cell r="AD270">
            <v>36810</v>
          </cell>
          <cell r="AE270">
            <v>5005316</v>
          </cell>
          <cell r="AF270">
            <v>0.1139</v>
          </cell>
          <cell r="AG270">
            <v>154</v>
          </cell>
          <cell r="AH270">
            <v>13577964</v>
          </cell>
          <cell r="AI270">
            <v>5261</v>
          </cell>
          <cell r="AJ270">
            <v>450</v>
          </cell>
          <cell r="AK270" t="str">
            <v>W 31ST ST</v>
          </cell>
          <cell r="AL270" t="str">
            <v>NEPTUNE AVE</v>
          </cell>
          <cell r="AM270" t="str">
            <v>W 33RD ST</v>
          </cell>
          <cell r="AN270" t="str">
            <v>SURF AVE</v>
          </cell>
          <cell r="AO270" t="str">
            <v>BROOKLYN</v>
          </cell>
          <cell r="AP270">
            <v>13</v>
          </cell>
          <cell r="AQ270">
            <v>8</v>
          </cell>
          <cell r="AR270">
            <v>23</v>
          </cell>
          <cell r="AS270">
            <v>46</v>
          </cell>
          <cell r="AT270">
            <v>47</v>
          </cell>
          <cell r="AU270">
            <v>25384</v>
          </cell>
          <cell r="AW270" t="str">
            <v>PARTIALLY</v>
          </cell>
        </row>
        <row r="271">
          <cell r="B271" t="str">
            <v>SUTTER AVENUE-UNION STREET</v>
          </cell>
          <cell r="C271" t="str">
            <v>NY005011670</v>
          </cell>
          <cell r="D271">
            <v>369</v>
          </cell>
          <cell r="E271">
            <v>167</v>
          </cell>
          <cell r="F271">
            <v>807</v>
          </cell>
          <cell r="G271">
            <v>203</v>
          </cell>
          <cell r="H271" t="str">
            <v>NY005311</v>
          </cell>
          <cell r="I271" t="str">
            <v>FEDERAL</v>
          </cell>
          <cell r="J271" t="str">
            <v>TURNKEY</v>
          </cell>
          <cell r="K271" t="str">
            <v>REHAB</v>
          </cell>
          <cell r="M271">
            <v>100</v>
          </cell>
          <cell r="N271">
            <v>100</v>
          </cell>
          <cell r="O271">
            <v>467</v>
          </cell>
          <cell r="P271">
            <v>4.67</v>
          </cell>
          <cell r="R271">
            <v>254</v>
          </cell>
          <cell r="S271">
            <v>254</v>
          </cell>
          <cell r="T271">
            <v>19</v>
          </cell>
          <cell r="U271">
            <v>0.192</v>
          </cell>
          <cell r="V271">
            <v>3</v>
          </cell>
          <cell r="W271">
            <v>0</v>
          </cell>
          <cell r="X271">
            <v>3</v>
          </cell>
          <cell r="Y271">
            <v>43561</v>
          </cell>
          <cell r="Z271">
            <v>37500</v>
          </cell>
          <cell r="AA271">
            <v>0.86</v>
          </cell>
          <cell r="AB271">
            <v>37500</v>
          </cell>
          <cell r="AC271">
            <v>0.86</v>
          </cell>
          <cell r="AD271">
            <v>21424</v>
          </cell>
          <cell r="AE271">
            <v>1011839</v>
          </cell>
          <cell r="AF271">
            <v>0.57130000000000003</v>
          </cell>
          <cell r="AG271">
            <v>295</v>
          </cell>
          <cell r="AH271">
            <v>9370007</v>
          </cell>
          <cell r="AI271">
            <v>20064</v>
          </cell>
          <cell r="AJ271">
            <v>678</v>
          </cell>
          <cell r="AK271" t="str">
            <v>SUTTER AVE</v>
          </cell>
          <cell r="AL271" t="str">
            <v>UNION STREET</v>
          </cell>
          <cell r="AM271" t="str">
            <v>EAST NEW YORK AVE</v>
          </cell>
          <cell r="AO271" t="str">
            <v>BROOKLYN</v>
          </cell>
          <cell r="AP271">
            <v>16</v>
          </cell>
          <cell r="AQ271">
            <v>9</v>
          </cell>
          <cell r="AR271">
            <v>20</v>
          </cell>
          <cell r="AS271">
            <v>55</v>
          </cell>
          <cell r="AT271">
            <v>41</v>
          </cell>
          <cell r="AU271">
            <v>34942</v>
          </cell>
          <cell r="AX271" t="str">
            <v>YES</v>
          </cell>
        </row>
        <row r="272">
          <cell r="B272" t="str">
            <v>TAFT</v>
          </cell>
          <cell r="C272" t="str">
            <v>NY005010970</v>
          </cell>
          <cell r="D272">
            <v>97</v>
          </cell>
          <cell r="E272">
            <v>97</v>
          </cell>
          <cell r="F272">
            <v>261</v>
          </cell>
          <cell r="G272">
            <v>261</v>
          </cell>
          <cell r="H272" t="str">
            <v>NY005064</v>
          </cell>
          <cell r="I272" t="str">
            <v>FEDERAL</v>
          </cell>
          <cell r="J272" t="str">
            <v>CONVENTIONAL</v>
          </cell>
          <cell r="K272" t="str">
            <v>NEW CONST</v>
          </cell>
          <cell r="M272">
            <v>1463</v>
          </cell>
          <cell r="N272">
            <v>1470</v>
          </cell>
          <cell r="O272">
            <v>6597.5</v>
          </cell>
          <cell r="P272">
            <v>4.51</v>
          </cell>
          <cell r="R272">
            <v>3074</v>
          </cell>
          <cell r="S272">
            <v>3074</v>
          </cell>
          <cell r="T272">
            <v>588</v>
          </cell>
          <cell r="U272">
            <v>0.40699999999999997</v>
          </cell>
          <cell r="V272">
            <v>9</v>
          </cell>
          <cell r="W272">
            <v>1</v>
          </cell>
          <cell r="X272">
            <v>19</v>
          </cell>
          <cell r="Y272">
            <v>19</v>
          </cell>
          <cell r="Z272">
            <v>537645</v>
          </cell>
          <cell r="AA272">
            <v>12.34</v>
          </cell>
          <cell r="AB272">
            <v>537645</v>
          </cell>
          <cell r="AC272">
            <v>12.34</v>
          </cell>
          <cell r="AD272">
            <v>105527</v>
          </cell>
          <cell r="AE272">
            <v>13161342</v>
          </cell>
          <cell r="AF272">
            <v>0.1963</v>
          </cell>
          <cell r="AG272">
            <v>249</v>
          </cell>
          <cell r="AH272">
            <v>28867029</v>
          </cell>
          <cell r="AI272">
            <v>4367</v>
          </cell>
          <cell r="AJ272">
            <v>539</v>
          </cell>
          <cell r="AK272" t="str">
            <v>E 112TH ST</v>
          </cell>
          <cell r="AL272" t="str">
            <v>E 115TH ST</v>
          </cell>
          <cell r="AM272" t="str">
            <v>PARK AVE</v>
          </cell>
          <cell r="AN272" t="str">
            <v>FIFTH AVE</v>
          </cell>
          <cell r="AO272" t="str">
            <v>MANHATTAN</v>
          </cell>
          <cell r="AP272">
            <v>11</v>
          </cell>
          <cell r="AQ272">
            <v>13</v>
          </cell>
          <cell r="AR272">
            <v>30</v>
          </cell>
          <cell r="AS272">
            <v>68</v>
          </cell>
          <cell r="AT272" t="str">
            <v>08, 09</v>
          </cell>
          <cell r="AU272">
            <v>23011</v>
          </cell>
        </row>
        <row r="273">
          <cell r="B273" t="str">
            <v>TAPSCOTT STREET REHAB</v>
          </cell>
          <cell r="C273" t="str">
            <v>NY005011670</v>
          </cell>
          <cell r="D273">
            <v>354</v>
          </cell>
          <cell r="E273">
            <v>167</v>
          </cell>
          <cell r="F273">
            <v>775</v>
          </cell>
          <cell r="G273">
            <v>763</v>
          </cell>
          <cell r="H273" t="str">
            <v>NY005278</v>
          </cell>
          <cell r="I273" t="str">
            <v>FEDERAL</v>
          </cell>
          <cell r="J273" t="str">
            <v>TURNKEY</v>
          </cell>
          <cell r="K273" t="str">
            <v>REHAB</v>
          </cell>
          <cell r="M273">
            <v>155</v>
          </cell>
          <cell r="N273">
            <v>155</v>
          </cell>
          <cell r="O273">
            <v>687.5</v>
          </cell>
          <cell r="P273">
            <v>4.4400000000000004</v>
          </cell>
          <cell r="R273">
            <v>349</v>
          </cell>
          <cell r="S273">
            <v>349</v>
          </cell>
          <cell r="T273">
            <v>39</v>
          </cell>
          <cell r="U273">
            <v>0.255</v>
          </cell>
          <cell r="V273">
            <v>8</v>
          </cell>
          <cell r="W273">
            <v>0</v>
          </cell>
          <cell r="X273">
            <v>8</v>
          </cell>
          <cell r="Y273">
            <v>4</v>
          </cell>
          <cell r="Z273">
            <v>64755</v>
          </cell>
          <cell r="AA273">
            <v>1.49</v>
          </cell>
          <cell r="AB273">
            <v>64755</v>
          </cell>
          <cell r="AC273">
            <v>1.49</v>
          </cell>
          <cell r="AD273">
            <v>37312</v>
          </cell>
          <cell r="AE273">
            <v>1679040</v>
          </cell>
          <cell r="AF273">
            <v>0.57620000000000005</v>
          </cell>
          <cell r="AG273">
            <v>234</v>
          </cell>
          <cell r="AH273">
            <v>10106270</v>
          </cell>
          <cell r="AI273">
            <v>14721</v>
          </cell>
          <cell r="AJ273">
            <v>532</v>
          </cell>
          <cell r="AK273" t="str">
            <v>SUTTER AVE</v>
          </cell>
          <cell r="AL273" t="str">
            <v>GRAFTON ST</v>
          </cell>
          <cell r="AM273" t="str">
            <v>DUMONT AVE</v>
          </cell>
          <cell r="AN273" t="str">
            <v>UNION ST</v>
          </cell>
          <cell r="AO273" t="str">
            <v>BROOKLYN</v>
          </cell>
          <cell r="AP273">
            <v>16</v>
          </cell>
          <cell r="AQ273">
            <v>9</v>
          </cell>
          <cell r="AR273">
            <v>20</v>
          </cell>
          <cell r="AS273">
            <v>55</v>
          </cell>
          <cell r="AT273">
            <v>41</v>
          </cell>
          <cell r="AU273">
            <v>31436</v>
          </cell>
          <cell r="AX273" t="str">
            <v>YES</v>
          </cell>
        </row>
        <row r="274">
          <cell r="B274" t="str">
            <v>TAYLOR STREET-WYTHE AVENUE</v>
          </cell>
          <cell r="C274" t="str">
            <v>NY005012340</v>
          </cell>
          <cell r="D274">
            <v>234</v>
          </cell>
          <cell r="E274">
            <v>234</v>
          </cell>
          <cell r="F274">
            <v>358</v>
          </cell>
          <cell r="G274">
            <v>358</v>
          </cell>
          <cell r="H274" t="str">
            <v>NY005141</v>
          </cell>
          <cell r="I274" t="str">
            <v>FEDERAL</v>
          </cell>
          <cell r="J274" t="str">
            <v>TURNKEY</v>
          </cell>
          <cell r="K274" t="str">
            <v>NEW CONST</v>
          </cell>
          <cell r="M274">
            <v>525</v>
          </cell>
          <cell r="N274">
            <v>525</v>
          </cell>
          <cell r="O274">
            <v>2465.5</v>
          </cell>
          <cell r="P274">
            <v>4.7</v>
          </cell>
          <cell r="R274">
            <v>1226</v>
          </cell>
          <cell r="S274">
            <v>1226</v>
          </cell>
          <cell r="T274">
            <v>227</v>
          </cell>
          <cell r="U274">
            <v>0.438</v>
          </cell>
          <cell r="V274">
            <v>5</v>
          </cell>
          <cell r="W274">
            <v>1</v>
          </cell>
          <cell r="X274">
            <v>6</v>
          </cell>
          <cell r="Y274" t="str">
            <v>8-11-12-13</v>
          </cell>
          <cell r="Z274">
            <v>183100</v>
          </cell>
          <cell r="AA274">
            <v>4.2</v>
          </cell>
          <cell r="AB274">
            <v>183100</v>
          </cell>
          <cell r="AC274">
            <v>4.2</v>
          </cell>
          <cell r="AD274">
            <v>57205</v>
          </cell>
          <cell r="AE274">
            <v>5051383</v>
          </cell>
          <cell r="AF274">
            <v>0.31240000000000001</v>
          </cell>
          <cell r="AG274">
            <v>292</v>
          </cell>
          <cell r="AH274">
            <v>20178024</v>
          </cell>
          <cell r="AI274">
            <v>8118</v>
          </cell>
          <cell r="AJ274">
            <v>477</v>
          </cell>
          <cell r="AK274" t="str">
            <v>WYTHE AVE</v>
          </cell>
          <cell r="AL274" t="str">
            <v>CLYMER ST</v>
          </cell>
          <cell r="AM274" t="str">
            <v>ROSS ST</v>
          </cell>
          <cell r="AO274" t="str">
            <v>BROOKLYN</v>
          </cell>
          <cell r="AP274">
            <v>1</v>
          </cell>
          <cell r="AQ274">
            <v>7</v>
          </cell>
          <cell r="AR274">
            <v>18</v>
          </cell>
          <cell r="AS274">
            <v>50</v>
          </cell>
          <cell r="AT274">
            <v>33</v>
          </cell>
          <cell r="AU274">
            <v>27210</v>
          </cell>
        </row>
        <row r="275">
          <cell r="B275" t="str">
            <v>TELLER AVENUE-EAST 166TH STREET</v>
          </cell>
          <cell r="C275" t="str">
            <v>NY005013080</v>
          </cell>
          <cell r="D275">
            <v>223</v>
          </cell>
          <cell r="E275">
            <v>308</v>
          </cell>
          <cell r="F275">
            <v>344</v>
          </cell>
          <cell r="G275">
            <v>344</v>
          </cell>
          <cell r="H275" t="str">
            <v>NY005163</v>
          </cell>
          <cell r="I275" t="str">
            <v>FEDERAL</v>
          </cell>
          <cell r="J275" t="str">
            <v>TURNKEY</v>
          </cell>
          <cell r="K275" t="str">
            <v>NEW CONST</v>
          </cell>
          <cell r="M275">
            <v>90</v>
          </cell>
          <cell r="N275">
            <v>90</v>
          </cell>
          <cell r="O275">
            <v>352</v>
          </cell>
          <cell r="P275">
            <v>3.91</v>
          </cell>
          <cell r="R275">
            <v>185</v>
          </cell>
          <cell r="S275">
            <v>185</v>
          </cell>
          <cell r="T275">
            <v>41</v>
          </cell>
          <cell r="U275">
            <v>0.46100000000000002</v>
          </cell>
          <cell r="V275">
            <v>1</v>
          </cell>
          <cell r="W275">
            <v>0</v>
          </cell>
          <cell r="X275">
            <v>1</v>
          </cell>
          <cell r="Y275">
            <v>6</v>
          </cell>
          <cell r="Z275">
            <v>27481</v>
          </cell>
          <cell r="AA275">
            <v>0.63</v>
          </cell>
          <cell r="AB275">
            <v>27481</v>
          </cell>
          <cell r="AC275">
            <v>0.63</v>
          </cell>
          <cell r="AD275">
            <v>12354</v>
          </cell>
          <cell r="AE275">
            <v>816812</v>
          </cell>
          <cell r="AF275">
            <v>0.44950000000000001</v>
          </cell>
          <cell r="AG275">
            <v>294</v>
          </cell>
          <cell r="AH275">
            <v>2296895</v>
          </cell>
          <cell r="AI275">
            <v>6363</v>
          </cell>
          <cell r="AJ275">
            <v>463</v>
          </cell>
          <cell r="AK275" t="str">
            <v>TELLER AVE</v>
          </cell>
          <cell r="AL275" t="str">
            <v>E 167TH ST</v>
          </cell>
          <cell r="AM275" t="str">
            <v>CLAY AVE</v>
          </cell>
          <cell r="AN275" t="str">
            <v>E 166TH ST</v>
          </cell>
          <cell r="AO275" t="str">
            <v>BRONX</v>
          </cell>
          <cell r="AP275">
            <v>4</v>
          </cell>
          <cell r="AQ275">
            <v>15</v>
          </cell>
          <cell r="AR275">
            <v>32</v>
          </cell>
          <cell r="AS275">
            <v>77</v>
          </cell>
          <cell r="AT275">
            <v>16</v>
          </cell>
          <cell r="AU275">
            <v>26206</v>
          </cell>
        </row>
        <row r="276">
          <cell r="B276" t="str">
            <v>THOMAS APARTMENTS</v>
          </cell>
          <cell r="C276" t="str">
            <v>NY005011270</v>
          </cell>
          <cell r="D276">
            <v>268</v>
          </cell>
          <cell r="E276">
            <v>127</v>
          </cell>
          <cell r="F276">
            <v>387</v>
          </cell>
          <cell r="G276">
            <v>259</v>
          </cell>
          <cell r="H276" t="str">
            <v>NY005192</v>
          </cell>
          <cell r="I276" t="str">
            <v>FEDERAL</v>
          </cell>
          <cell r="J276" t="str">
            <v>TURNKEY</v>
          </cell>
          <cell r="K276" t="str">
            <v>NEW CONST (ELD)</v>
          </cell>
          <cell r="M276">
            <v>87</v>
          </cell>
          <cell r="N276">
            <v>87</v>
          </cell>
          <cell r="O276">
            <v>304.5</v>
          </cell>
          <cell r="P276">
            <v>3.5</v>
          </cell>
          <cell r="R276">
            <v>96</v>
          </cell>
          <cell r="S276">
            <v>96</v>
          </cell>
          <cell r="T276">
            <v>75</v>
          </cell>
          <cell r="U276">
            <v>0.872</v>
          </cell>
          <cell r="V276">
            <v>1</v>
          </cell>
          <cell r="W276">
            <v>0</v>
          </cell>
          <cell r="X276">
            <v>1</v>
          </cell>
          <cell r="Y276">
            <v>11</v>
          </cell>
          <cell r="Z276">
            <v>9410</v>
          </cell>
          <cell r="AA276">
            <v>0.22</v>
          </cell>
          <cell r="AB276">
            <v>9410</v>
          </cell>
          <cell r="AC276">
            <v>0.22</v>
          </cell>
          <cell r="AD276">
            <v>6641</v>
          </cell>
          <cell r="AE276">
            <v>652000</v>
          </cell>
          <cell r="AF276">
            <v>0.70569999999999999</v>
          </cell>
          <cell r="AG276">
            <v>436</v>
          </cell>
          <cell r="AH276">
            <v>11188636</v>
          </cell>
          <cell r="AI276">
            <v>36744</v>
          </cell>
          <cell r="AJ276">
            <v>375</v>
          </cell>
          <cell r="AK276" t="str">
            <v>W 90TH ST</v>
          </cell>
          <cell r="AL276" t="str">
            <v>AMSTERDAM AVE</v>
          </cell>
          <cell r="AM276" t="str">
            <v>W 91ST ST</v>
          </cell>
          <cell r="AN276" t="str">
            <v>COLUMBUS AVE</v>
          </cell>
          <cell r="AO276" t="str">
            <v>MANHATTAN</v>
          </cell>
          <cell r="AP276">
            <v>7</v>
          </cell>
          <cell r="AQ276">
            <v>10</v>
          </cell>
          <cell r="AR276">
            <v>30</v>
          </cell>
          <cell r="AS276">
            <v>69</v>
          </cell>
          <cell r="AT276">
            <v>6</v>
          </cell>
          <cell r="AU276">
            <v>34577</v>
          </cell>
          <cell r="AW276" t="str">
            <v>EXCLUSIVELY</v>
          </cell>
          <cell r="AX276" t="str">
            <v>YES</v>
          </cell>
        </row>
        <row r="277">
          <cell r="B277" t="str">
            <v>THROGGS NECK</v>
          </cell>
          <cell r="C277" t="str">
            <v>NY005010630</v>
          </cell>
          <cell r="D277">
            <v>63</v>
          </cell>
          <cell r="E277">
            <v>63</v>
          </cell>
          <cell r="F277">
            <v>218</v>
          </cell>
          <cell r="G277">
            <v>218</v>
          </cell>
          <cell r="H277" t="str">
            <v>NY005015</v>
          </cell>
          <cell r="I277" t="str">
            <v>FEDERAL</v>
          </cell>
          <cell r="J277" t="str">
            <v>CONVENTIONAL</v>
          </cell>
          <cell r="K277" t="str">
            <v>NEW CONST</v>
          </cell>
          <cell r="M277">
            <v>1182</v>
          </cell>
          <cell r="N277">
            <v>1185</v>
          </cell>
          <cell r="O277">
            <v>5423</v>
          </cell>
          <cell r="P277">
            <v>4.59</v>
          </cell>
          <cell r="R277">
            <v>2648</v>
          </cell>
          <cell r="S277">
            <v>2648</v>
          </cell>
          <cell r="T277">
            <v>407</v>
          </cell>
          <cell r="U277">
            <v>0.34899999999999998</v>
          </cell>
          <cell r="V277">
            <v>29</v>
          </cell>
          <cell r="W277">
            <v>2</v>
          </cell>
          <cell r="X277">
            <v>66</v>
          </cell>
          <cell r="Y277">
            <v>43531</v>
          </cell>
          <cell r="Z277">
            <v>1430081</v>
          </cell>
          <cell r="AA277">
            <v>32.83</v>
          </cell>
          <cell r="AB277">
            <v>1430081</v>
          </cell>
          <cell r="AC277">
            <v>32.83</v>
          </cell>
          <cell r="AD277">
            <v>228989</v>
          </cell>
          <cell r="AE277">
            <v>11440850</v>
          </cell>
          <cell r="AF277">
            <v>0.16009999999999999</v>
          </cell>
          <cell r="AG277">
            <v>81</v>
          </cell>
          <cell r="AH277">
            <v>15541569</v>
          </cell>
          <cell r="AI277">
            <v>2859</v>
          </cell>
          <cell r="AJ277">
            <v>540</v>
          </cell>
          <cell r="AK277" t="str">
            <v>RANDALL AVE</v>
          </cell>
          <cell r="AL277" t="str">
            <v>CALHOUN AVE</v>
          </cell>
          <cell r="AM277" t="str">
            <v>SAMPSON AVE</v>
          </cell>
          <cell r="AN277" t="str">
            <v>BALCOM AVE</v>
          </cell>
          <cell r="AO277" t="str">
            <v>BRONX</v>
          </cell>
          <cell r="AP277">
            <v>10</v>
          </cell>
          <cell r="AQ277">
            <v>14</v>
          </cell>
          <cell r="AR277">
            <v>34</v>
          </cell>
          <cell r="AS277">
            <v>82</v>
          </cell>
          <cell r="AT277">
            <v>13</v>
          </cell>
          <cell r="AU277">
            <v>19690</v>
          </cell>
        </row>
        <row r="278">
          <cell r="B278" t="str">
            <v>THROGGS NECK ADDITION</v>
          </cell>
          <cell r="C278" t="str">
            <v>NY005010630</v>
          </cell>
          <cell r="D278">
            <v>193</v>
          </cell>
          <cell r="E278">
            <v>63</v>
          </cell>
          <cell r="F278">
            <v>303</v>
          </cell>
          <cell r="G278">
            <v>218</v>
          </cell>
          <cell r="H278" t="str">
            <v>NY005098</v>
          </cell>
          <cell r="I278" t="str">
            <v>FEDERAL</v>
          </cell>
          <cell r="J278" t="str">
            <v>CONVENTIONAL</v>
          </cell>
          <cell r="K278" t="str">
            <v>NEW CONST</v>
          </cell>
          <cell r="M278">
            <v>287</v>
          </cell>
          <cell r="N278">
            <v>287</v>
          </cell>
          <cell r="O278">
            <v>1330.5</v>
          </cell>
          <cell r="P278">
            <v>4.6399999999999997</v>
          </cell>
          <cell r="R278">
            <v>692</v>
          </cell>
          <cell r="S278">
            <v>692</v>
          </cell>
          <cell r="T278">
            <v>112</v>
          </cell>
          <cell r="U278">
            <v>0.4</v>
          </cell>
          <cell r="V278">
            <v>4</v>
          </cell>
          <cell r="W278">
            <v>0</v>
          </cell>
          <cell r="X278">
            <v>4</v>
          </cell>
          <cell r="Y278">
            <v>43688</v>
          </cell>
          <cell r="Z278">
            <v>384899</v>
          </cell>
          <cell r="AA278">
            <v>8.84</v>
          </cell>
          <cell r="AB278">
            <v>384899</v>
          </cell>
          <cell r="AC278">
            <v>8.84</v>
          </cell>
          <cell r="AD278">
            <v>39315</v>
          </cell>
          <cell r="AE278">
            <v>2755918</v>
          </cell>
          <cell r="AF278">
            <v>0.1021</v>
          </cell>
          <cell r="AG278">
            <v>78</v>
          </cell>
          <cell r="AH278">
            <v>7405898</v>
          </cell>
          <cell r="AI278">
            <v>5523</v>
          </cell>
          <cell r="AJ278">
            <v>542</v>
          </cell>
          <cell r="AK278" t="str">
            <v>DEWEY AVE</v>
          </cell>
          <cell r="AL278" t="str">
            <v>BALCOLM AVE</v>
          </cell>
          <cell r="AM278" t="str">
            <v>RANDALL AVE</v>
          </cell>
          <cell r="AN278" t="str">
            <v>THROGGS NECK HOUSES</v>
          </cell>
          <cell r="AO278" t="str">
            <v>BRONX</v>
          </cell>
          <cell r="AP278">
            <v>10</v>
          </cell>
          <cell r="AQ278">
            <v>14</v>
          </cell>
          <cell r="AR278">
            <v>34</v>
          </cell>
          <cell r="AS278">
            <v>82</v>
          </cell>
          <cell r="AT278">
            <v>13</v>
          </cell>
          <cell r="AU278">
            <v>26206</v>
          </cell>
        </row>
        <row r="279">
          <cell r="B279" t="str">
            <v>TILDEN</v>
          </cell>
          <cell r="C279" t="str">
            <v>NY005000720</v>
          </cell>
          <cell r="D279">
            <v>96</v>
          </cell>
          <cell r="E279">
            <v>96</v>
          </cell>
          <cell r="F279">
            <v>233</v>
          </cell>
          <cell r="G279">
            <v>233</v>
          </cell>
          <cell r="H279" t="str">
            <v>NY005034</v>
          </cell>
          <cell r="I279" t="str">
            <v>FEDERAL</v>
          </cell>
          <cell r="J279" t="str">
            <v>CONVENTIONAL</v>
          </cell>
          <cell r="K279" t="str">
            <v>NEW CONST</v>
          </cell>
          <cell r="M279">
            <v>998</v>
          </cell>
          <cell r="N279">
            <v>998</v>
          </cell>
          <cell r="O279">
            <v>4750</v>
          </cell>
          <cell r="P279">
            <v>4.76</v>
          </cell>
          <cell r="R279">
            <v>2556</v>
          </cell>
          <cell r="S279">
            <v>2556</v>
          </cell>
          <cell r="T279">
            <v>326</v>
          </cell>
          <cell r="U279">
            <v>0.33200000000000002</v>
          </cell>
          <cell r="V279">
            <v>8</v>
          </cell>
          <cell r="W279">
            <v>1</v>
          </cell>
          <cell r="X279">
            <v>9</v>
          </cell>
          <cell r="Y279">
            <v>16</v>
          </cell>
          <cell r="Z279">
            <v>465764</v>
          </cell>
          <cell r="AA279">
            <v>10.69</v>
          </cell>
          <cell r="AB279">
            <v>465764</v>
          </cell>
          <cell r="AC279">
            <v>10.69</v>
          </cell>
          <cell r="AD279">
            <v>66416</v>
          </cell>
          <cell r="AE279">
            <v>8888637</v>
          </cell>
          <cell r="AF279">
            <v>0.1426</v>
          </cell>
          <cell r="AG279">
            <v>239</v>
          </cell>
          <cell r="AH279">
            <v>14827430</v>
          </cell>
          <cell r="AI279">
            <v>3122</v>
          </cell>
          <cell r="AJ279">
            <v>492</v>
          </cell>
          <cell r="AK279" t="str">
            <v>DUMONT AVE</v>
          </cell>
          <cell r="AL279" t="str">
            <v>MOTHER GASTON BLVD</v>
          </cell>
          <cell r="AM279" t="str">
            <v>LIVONIA AVE</v>
          </cell>
          <cell r="AN279" t="str">
            <v>ROCKAWAY AVE</v>
          </cell>
          <cell r="AO279" t="str">
            <v>BROOKLYN</v>
          </cell>
          <cell r="AP279">
            <v>16</v>
          </cell>
          <cell r="AQ279">
            <v>9</v>
          </cell>
          <cell r="AR279">
            <v>20</v>
          </cell>
          <cell r="AS279">
            <v>55</v>
          </cell>
          <cell r="AT279">
            <v>41</v>
          </cell>
          <cell r="AU279">
            <v>22462</v>
          </cell>
        </row>
        <row r="280">
          <cell r="B280" t="str">
            <v>TODT HILL</v>
          </cell>
          <cell r="C280" t="str">
            <v>NY005000520</v>
          </cell>
          <cell r="D280">
            <v>42</v>
          </cell>
          <cell r="E280">
            <v>42</v>
          </cell>
          <cell r="F280">
            <v>583</v>
          </cell>
          <cell r="G280">
            <v>583</v>
          </cell>
          <cell r="H280" t="str">
            <v>NY005268A</v>
          </cell>
          <cell r="I280" t="str">
            <v>FEDERAL</v>
          </cell>
          <cell r="J280" t="str">
            <v>CONVENTIONAL</v>
          </cell>
          <cell r="K280" t="str">
            <v>NEW CONST</v>
          </cell>
          <cell r="M280">
            <v>502</v>
          </cell>
          <cell r="N280">
            <v>502</v>
          </cell>
          <cell r="O280">
            <v>2174</v>
          </cell>
          <cell r="P280">
            <v>4.33</v>
          </cell>
          <cell r="R280">
            <v>1005</v>
          </cell>
          <cell r="S280">
            <v>1005</v>
          </cell>
          <cell r="T280">
            <v>190</v>
          </cell>
          <cell r="U280">
            <v>0.38400000000000001</v>
          </cell>
          <cell r="V280">
            <v>7</v>
          </cell>
          <cell r="W280">
            <v>0</v>
          </cell>
          <cell r="X280">
            <v>14</v>
          </cell>
          <cell r="Y280">
            <v>6</v>
          </cell>
          <cell r="Z280">
            <v>581056</v>
          </cell>
          <cell r="AA280">
            <v>13.34</v>
          </cell>
          <cell r="AB280">
            <v>532084</v>
          </cell>
          <cell r="AC280">
            <v>12.21</v>
          </cell>
          <cell r="AD280">
            <v>79116</v>
          </cell>
          <cell r="AE280">
            <v>4454900</v>
          </cell>
          <cell r="AF280">
            <v>0.13619999999999999</v>
          </cell>
          <cell r="AG280">
            <v>75</v>
          </cell>
          <cell r="AH280">
            <v>6509155</v>
          </cell>
          <cell r="AI280">
            <v>2994</v>
          </cell>
          <cell r="AJ280">
            <v>579</v>
          </cell>
          <cell r="AK280" t="str">
            <v>MANOR RD</v>
          </cell>
          <cell r="AL280" t="str">
            <v>SCHMIDTS LA</v>
          </cell>
          <cell r="AM280" t="str">
            <v>LAGUARDIA AVE</v>
          </cell>
          <cell r="AN280" t="str">
            <v>WESTWOOD AVE</v>
          </cell>
          <cell r="AO280" t="str">
            <v>STATEN ISLAND</v>
          </cell>
          <cell r="AP280">
            <v>2</v>
          </cell>
          <cell r="AQ280">
            <v>11</v>
          </cell>
          <cell r="AR280">
            <v>24</v>
          </cell>
          <cell r="AS280">
            <v>63</v>
          </cell>
          <cell r="AT280">
            <v>49</v>
          </cell>
          <cell r="AU280">
            <v>18415</v>
          </cell>
          <cell r="AV280" t="str">
            <v>1980/07/01-ATP 6</v>
          </cell>
        </row>
        <row r="281">
          <cell r="B281" t="str">
            <v>TOMPKINS</v>
          </cell>
          <cell r="C281" t="str">
            <v>NY005011310</v>
          </cell>
          <cell r="D281">
            <v>131</v>
          </cell>
          <cell r="E281">
            <v>131</v>
          </cell>
          <cell r="F281">
            <v>246</v>
          </cell>
          <cell r="G281">
            <v>246</v>
          </cell>
          <cell r="H281" t="str">
            <v>NY005046</v>
          </cell>
          <cell r="I281" t="str">
            <v>FEDERAL</v>
          </cell>
          <cell r="J281" t="str">
            <v>CONVENTIONAL</v>
          </cell>
          <cell r="K281" t="str">
            <v>NEW CONST</v>
          </cell>
          <cell r="M281">
            <v>1045</v>
          </cell>
          <cell r="N281">
            <v>1046</v>
          </cell>
          <cell r="O281">
            <v>5218.5</v>
          </cell>
          <cell r="P281">
            <v>4.99</v>
          </cell>
          <cell r="R281">
            <v>2818</v>
          </cell>
          <cell r="S281">
            <v>2818</v>
          </cell>
          <cell r="T281">
            <v>352</v>
          </cell>
          <cell r="U281">
            <v>0.34</v>
          </cell>
          <cell r="V281">
            <v>8</v>
          </cell>
          <cell r="W281">
            <v>1</v>
          </cell>
          <cell r="X281">
            <v>13</v>
          </cell>
          <cell r="Y281">
            <v>43693</v>
          </cell>
          <cell r="Z281">
            <v>521950</v>
          </cell>
          <cell r="AA281">
            <v>11.98</v>
          </cell>
          <cell r="AB281">
            <v>521950</v>
          </cell>
          <cell r="AC281">
            <v>11.98</v>
          </cell>
          <cell r="AD281">
            <v>94386</v>
          </cell>
          <cell r="AE281">
            <v>9894217</v>
          </cell>
          <cell r="AF281">
            <v>0.18079999999999999</v>
          </cell>
          <cell r="AG281">
            <v>235</v>
          </cell>
          <cell r="AH281">
            <v>18445969</v>
          </cell>
          <cell r="AI281">
            <v>3532</v>
          </cell>
          <cell r="AJ281">
            <v>572</v>
          </cell>
          <cell r="AK281" t="str">
            <v>PARK AVE</v>
          </cell>
          <cell r="AL281" t="str">
            <v>THROOP AVE</v>
          </cell>
          <cell r="AM281" t="str">
            <v>MYRTLE AVE</v>
          </cell>
          <cell r="AN281" t="str">
            <v>TOMPKINS AVE</v>
          </cell>
          <cell r="AO281" t="str">
            <v>BROOKLYN</v>
          </cell>
          <cell r="AP281">
            <v>3</v>
          </cell>
          <cell r="AQ281">
            <v>8</v>
          </cell>
          <cell r="AR281">
            <v>18</v>
          </cell>
          <cell r="AS281">
            <v>56</v>
          </cell>
          <cell r="AT281">
            <v>36</v>
          </cell>
          <cell r="AU281">
            <v>23589</v>
          </cell>
        </row>
        <row r="282">
          <cell r="B282" t="str">
            <v>TWIN PARKS EAST (SITE 9)</v>
          </cell>
          <cell r="C282" t="str">
            <v>NY005012270</v>
          </cell>
          <cell r="D282">
            <v>287</v>
          </cell>
          <cell r="E282">
            <v>180</v>
          </cell>
          <cell r="F282">
            <v>577</v>
          </cell>
          <cell r="G282">
            <v>577</v>
          </cell>
          <cell r="H282" t="str">
            <v>NY005227</v>
          </cell>
          <cell r="I282" t="str">
            <v>FEDERAL</v>
          </cell>
          <cell r="J282" t="str">
            <v>CONVENTIONAL</v>
          </cell>
          <cell r="K282" t="str">
            <v>NEW CONST (ELD)</v>
          </cell>
          <cell r="M282">
            <v>219</v>
          </cell>
          <cell r="N282">
            <v>219</v>
          </cell>
          <cell r="O282">
            <v>689.5</v>
          </cell>
          <cell r="P282">
            <v>3.15</v>
          </cell>
          <cell r="R282">
            <v>231</v>
          </cell>
          <cell r="S282">
            <v>231</v>
          </cell>
          <cell r="T282">
            <v>189</v>
          </cell>
          <cell r="U282">
            <v>0.875</v>
          </cell>
          <cell r="V282">
            <v>1</v>
          </cell>
          <cell r="W282">
            <v>0</v>
          </cell>
          <cell r="X282">
            <v>1</v>
          </cell>
          <cell r="Y282">
            <v>14</v>
          </cell>
          <cell r="Z282">
            <v>71490</v>
          </cell>
          <cell r="AA282">
            <v>1.64</v>
          </cell>
          <cell r="AB282">
            <v>71490</v>
          </cell>
          <cell r="AC282">
            <v>1.64</v>
          </cell>
          <cell r="AD282">
            <v>11388</v>
          </cell>
          <cell r="AE282">
            <v>1505284</v>
          </cell>
          <cell r="AF282">
            <v>0.1593</v>
          </cell>
          <cell r="AG282">
            <v>141</v>
          </cell>
          <cell r="AH282">
            <v>11406932</v>
          </cell>
          <cell r="AI282">
            <v>16520</v>
          </cell>
          <cell r="AJ282">
            <v>296</v>
          </cell>
          <cell r="AK282" t="str">
            <v>CLINTON AVE</v>
          </cell>
          <cell r="AL282" t="str">
            <v>E 180TH ST</v>
          </cell>
          <cell r="AM282" t="str">
            <v>PROSPECT AVE</v>
          </cell>
          <cell r="AN282" t="str">
            <v>OAKLAND PL</v>
          </cell>
          <cell r="AO282" t="str">
            <v>BRONX</v>
          </cell>
          <cell r="AP282">
            <v>6</v>
          </cell>
          <cell r="AQ282">
            <v>15</v>
          </cell>
          <cell r="AR282">
            <v>33</v>
          </cell>
          <cell r="AS282">
            <v>79</v>
          </cell>
          <cell r="AT282">
            <v>15</v>
          </cell>
          <cell r="AU282">
            <v>30071</v>
          </cell>
          <cell r="AW282" t="str">
            <v>EXCLUSIVELY</v>
          </cell>
          <cell r="AX282" t="str">
            <v>YES</v>
          </cell>
        </row>
        <row r="283">
          <cell r="B283" t="str">
            <v>TWO BRIDGES URA (SITE 7)</v>
          </cell>
          <cell r="C283" t="str">
            <v>NY005010760</v>
          </cell>
          <cell r="D283">
            <v>266</v>
          </cell>
          <cell r="E283">
            <v>76</v>
          </cell>
          <cell r="F283">
            <v>389</v>
          </cell>
          <cell r="G283">
            <v>221</v>
          </cell>
          <cell r="H283" t="str">
            <v>NY005194</v>
          </cell>
          <cell r="I283" t="str">
            <v>FEDERAL</v>
          </cell>
          <cell r="J283" t="str">
            <v>TURNKEY</v>
          </cell>
          <cell r="K283" t="str">
            <v>NEW CONST</v>
          </cell>
          <cell r="M283">
            <v>250</v>
          </cell>
          <cell r="N283">
            <v>250</v>
          </cell>
          <cell r="O283">
            <v>1251</v>
          </cell>
          <cell r="P283">
            <v>5</v>
          </cell>
          <cell r="R283">
            <v>622</v>
          </cell>
          <cell r="S283">
            <v>622</v>
          </cell>
          <cell r="T283">
            <v>107</v>
          </cell>
          <cell r="U283">
            <v>0.42799999999999999</v>
          </cell>
          <cell r="V283">
            <v>1</v>
          </cell>
          <cell r="W283">
            <v>0</v>
          </cell>
          <cell r="X283">
            <v>1</v>
          </cell>
          <cell r="Y283">
            <v>26</v>
          </cell>
          <cell r="Z283">
            <v>31735</v>
          </cell>
          <cell r="AA283">
            <v>0.73</v>
          </cell>
          <cell r="AB283">
            <v>31735</v>
          </cell>
          <cell r="AC283">
            <v>0.73</v>
          </cell>
          <cell r="AD283">
            <v>13314</v>
          </cell>
          <cell r="AE283">
            <v>2613000</v>
          </cell>
          <cell r="AF283">
            <v>0.41949999999999998</v>
          </cell>
          <cell r="AG283">
            <v>852</v>
          </cell>
          <cell r="AH283">
            <v>10508730</v>
          </cell>
          <cell r="AI283">
            <v>8414</v>
          </cell>
          <cell r="AJ283">
            <v>650</v>
          </cell>
          <cell r="AK283" t="str">
            <v>CLINTON ST</v>
          </cell>
          <cell r="AL283" t="str">
            <v>SOUTH ST</v>
          </cell>
          <cell r="AM283" t="str">
            <v>CHERRY ST</v>
          </cell>
          <cell r="AN283" t="str">
            <v>MONTGOMERY ST</v>
          </cell>
          <cell r="AO283" t="str">
            <v>MANHATTAN</v>
          </cell>
          <cell r="AP283">
            <v>3</v>
          </cell>
          <cell r="AQ283">
            <v>7</v>
          </cell>
          <cell r="AR283">
            <v>26</v>
          </cell>
          <cell r="AS283">
            <v>65</v>
          </cell>
          <cell r="AT283">
            <v>1</v>
          </cell>
          <cell r="AU283">
            <v>27514</v>
          </cell>
        </row>
        <row r="284">
          <cell r="B284" t="str">
            <v>UNION AVENUE-EAST 163RD STREET</v>
          </cell>
          <cell r="C284" t="str">
            <v>NY005013420</v>
          </cell>
          <cell r="D284">
            <v>342</v>
          </cell>
          <cell r="E284">
            <v>342</v>
          </cell>
          <cell r="F284">
            <v>753</v>
          </cell>
          <cell r="G284">
            <v>753</v>
          </cell>
          <cell r="H284" t="str">
            <v>NY005214</v>
          </cell>
          <cell r="I284" t="str">
            <v>FEDERAL</v>
          </cell>
          <cell r="J284" t="str">
            <v>TURNKEY</v>
          </cell>
          <cell r="K284" t="str">
            <v>NEW CONST (ELD)</v>
          </cell>
          <cell r="M284">
            <v>199</v>
          </cell>
          <cell r="N284">
            <v>200</v>
          </cell>
          <cell r="O284">
            <v>696.5</v>
          </cell>
          <cell r="P284">
            <v>3.5</v>
          </cell>
          <cell r="R284">
            <v>229</v>
          </cell>
          <cell r="S284">
            <v>229</v>
          </cell>
          <cell r="T284">
            <v>172</v>
          </cell>
          <cell r="U284">
            <v>0.88200000000000001</v>
          </cell>
          <cell r="V284">
            <v>1</v>
          </cell>
          <cell r="W284">
            <v>0</v>
          </cell>
          <cell r="X284">
            <v>1</v>
          </cell>
          <cell r="Y284">
            <v>9</v>
          </cell>
          <cell r="Z284">
            <v>115299</v>
          </cell>
          <cell r="AA284">
            <v>2.65</v>
          </cell>
          <cell r="AB284">
            <v>115299</v>
          </cell>
          <cell r="AC284">
            <v>2.65</v>
          </cell>
          <cell r="AD284">
            <v>18632</v>
          </cell>
          <cell r="AE284">
            <v>1502857</v>
          </cell>
          <cell r="AF284">
            <v>0.16159999999999999</v>
          </cell>
          <cell r="AG284">
            <v>86</v>
          </cell>
          <cell r="AH284">
            <v>12675000</v>
          </cell>
          <cell r="AI284">
            <v>18107</v>
          </cell>
          <cell r="AJ284">
            <v>325</v>
          </cell>
          <cell r="AK284" t="str">
            <v>E 165TH ST</v>
          </cell>
          <cell r="AL284" t="str">
            <v>PROSPECT AVE</v>
          </cell>
          <cell r="AM284" t="str">
            <v>E 163RD ST</v>
          </cell>
          <cell r="AN284" t="str">
            <v>UNION AVE</v>
          </cell>
          <cell r="AO284" t="str">
            <v>BRONX</v>
          </cell>
          <cell r="AP284">
            <v>3</v>
          </cell>
          <cell r="AQ284">
            <v>15</v>
          </cell>
          <cell r="AR284">
            <v>32</v>
          </cell>
          <cell r="AS284">
            <v>79</v>
          </cell>
          <cell r="AT284">
            <v>17</v>
          </cell>
          <cell r="AU284">
            <v>31117</v>
          </cell>
          <cell r="AW284" t="str">
            <v>EXCLUSIVELY</v>
          </cell>
          <cell r="AX284" t="str">
            <v>YES</v>
          </cell>
        </row>
        <row r="285">
          <cell r="B285" t="str">
            <v>UNION AVENUE-EAST 166TH STREET</v>
          </cell>
          <cell r="C285" t="str">
            <v>NY005013420</v>
          </cell>
          <cell r="D285">
            <v>356</v>
          </cell>
          <cell r="E285">
            <v>342</v>
          </cell>
          <cell r="F285">
            <v>768</v>
          </cell>
          <cell r="G285">
            <v>753</v>
          </cell>
          <cell r="H285" t="str">
            <v>NY005291</v>
          </cell>
          <cell r="I285" t="str">
            <v>FEDERAL</v>
          </cell>
          <cell r="J285" t="str">
            <v>TURNKEY</v>
          </cell>
          <cell r="K285" t="str">
            <v>NEW CONST</v>
          </cell>
          <cell r="M285">
            <v>120</v>
          </cell>
          <cell r="N285">
            <v>120</v>
          </cell>
          <cell r="O285">
            <v>539</v>
          </cell>
          <cell r="P285">
            <v>4.49</v>
          </cell>
          <cell r="R285">
            <v>280</v>
          </cell>
          <cell r="S285">
            <v>280</v>
          </cell>
          <cell r="T285">
            <v>38</v>
          </cell>
          <cell r="U285">
            <v>0.32200000000000001</v>
          </cell>
          <cell r="V285">
            <v>6</v>
          </cell>
          <cell r="W285">
            <v>0</v>
          </cell>
          <cell r="X285">
            <v>20</v>
          </cell>
          <cell r="Y285">
            <v>3</v>
          </cell>
          <cell r="Z285">
            <v>98707</v>
          </cell>
          <cell r="AA285">
            <v>2.27</v>
          </cell>
          <cell r="AB285">
            <v>98707</v>
          </cell>
          <cell r="AC285">
            <v>2.27</v>
          </cell>
          <cell r="AD285">
            <v>38943</v>
          </cell>
          <cell r="AE285">
            <v>1022257</v>
          </cell>
          <cell r="AF285">
            <v>0.39450000000000002</v>
          </cell>
          <cell r="AG285">
            <v>123</v>
          </cell>
          <cell r="AH285">
            <v>9239549</v>
          </cell>
          <cell r="AI285">
            <v>17142</v>
          </cell>
          <cell r="AJ285">
            <v>556</v>
          </cell>
          <cell r="AK285" t="str">
            <v>E 166TH ST</v>
          </cell>
          <cell r="AL285" t="str">
            <v>PROSPECT AVE</v>
          </cell>
          <cell r="AM285" t="str">
            <v>HOME ST</v>
          </cell>
          <cell r="AN285" t="str">
            <v>UNION AVE</v>
          </cell>
          <cell r="AO285" t="str">
            <v>BRONX</v>
          </cell>
          <cell r="AP285">
            <v>3</v>
          </cell>
          <cell r="AQ285">
            <v>15</v>
          </cell>
          <cell r="AR285">
            <v>32</v>
          </cell>
          <cell r="AS285">
            <v>79</v>
          </cell>
          <cell r="AT285">
            <v>17</v>
          </cell>
          <cell r="AU285">
            <v>32387</v>
          </cell>
          <cell r="AX285" t="str">
            <v>YES</v>
          </cell>
        </row>
        <row r="286">
          <cell r="B286" t="str">
            <v>UNITY PLAZA (SITES 17,24,25A)</v>
          </cell>
          <cell r="C286" t="str">
            <v>NY005012610</v>
          </cell>
          <cell r="D286">
            <v>240</v>
          </cell>
          <cell r="E286">
            <v>261</v>
          </cell>
          <cell r="F286">
            <v>348</v>
          </cell>
          <cell r="G286">
            <v>375</v>
          </cell>
          <cell r="H286" t="str">
            <v>NY005169</v>
          </cell>
          <cell r="I286" t="str">
            <v>FEDERAL</v>
          </cell>
          <cell r="J286" t="str">
            <v>TURNKEY</v>
          </cell>
          <cell r="K286" t="str">
            <v>NEW CONST</v>
          </cell>
          <cell r="M286">
            <v>167</v>
          </cell>
          <cell r="N286">
            <v>167</v>
          </cell>
          <cell r="O286">
            <v>768.5</v>
          </cell>
          <cell r="P286">
            <v>4.5999999999999996</v>
          </cell>
          <cell r="R286">
            <v>471</v>
          </cell>
          <cell r="S286">
            <v>471</v>
          </cell>
          <cell r="T286">
            <v>41</v>
          </cell>
          <cell r="U286">
            <v>0.247</v>
          </cell>
          <cell r="V286">
            <v>3</v>
          </cell>
          <cell r="W286">
            <v>0</v>
          </cell>
          <cell r="X286">
            <v>3</v>
          </cell>
          <cell r="Y286">
            <v>6</v>
          </cell>
          <cell r="Z286">
            <v>80525</v>
          </cell>
          <cell r="AA286">
            <v>1.85</v>
          </cell>
          <cell r="AB286">
            <v>80525</v>
          </cell>
          <cell r="AC286">
            <v>1.85</v>
          </cell>
          <cell r="AD286">
            <v>27159</v>
          </cell>
          <cell r="AE286">
            <v>2001480</v>
          </cell>
          <cell r="AF286">
            <v>0.33729999999999999</v>
          </cell>
          <cell r="AG286">
            <v>255</v>
          </cell>
          <cell r="AH286">
            <v>5191821</v>
          </cell>
          <cell r="AI286">
            <v>6699</v>
          </cell>
          <cell r="AJ286">
            <v>583</v>
          </cell>
          <cell r="AK286" t="str">
            <v>SUTTER AVE</v>
          </cell>
          <cell r="AL286" t="str">
            <v>BLAKE AVE</v>
          </cell>
          <cell r="AM286" t="str">
            <v>SHEFFIELD AVE</v>
          </cell>
          <cell r="AN286" t="str">
            <v>ALABAMA AVE</v>
          </cell>
          <cell r="AO286" t="str">
            <v>BROOKLYN</v>
          </cell>
          <cell r="AP286">
            <v>5</v>
          </cell>
          <cell r="AQ286">
            <v>8</v>
          </cell>
          <cell r="AR286">
            <v>19</v>
          </cell>
          <cell r="AS286">
            <v>60</v>
          </cell>
          <cell r="AT286">
            <v>42</v>
          </cell>
          <cell r="AU286">
            <v>26998</v>
          </cell>
        </row>
        <row r="287">
          <cell r="B287" t="str">
            <v>UNITY PLAZA (SITES 4-27)</v>
          </cell>
          <cell r="C287" t="str">
            <v>NY005012610</v>
          </cell>
          <cell r="D287">
            <v>261</v>
          </cell>
          <cell r="E287">
            <v>261</v>
          </cell>
          <cell r="F287">
            <v>318</v>
          </cell>
          <cell r="G287">
            <v>375</v>
          </cell>
          <cell r="H287" t="str">
            <v>NY005117</v>
          </cell>
          <cell r="I287" t="str">
            <v>FEDERAL</v>
          </cell>
          <cell r="J287" t="str">
            <v>CONVENTIONAL</v>
          </cell>
          <cell r="K287" t="str">
            <v>NEW CONST</v>
          </cell>
          <cell r="M287">
            <v>460</v>
          </cell>
          <cell r="N287">
            <v>462</v>
          </cell>
          <cell r="O287">
            <v>2141</v>
          </cell>
          <cell r="P287">
            <v>4.6500000000000004</v>
          </cell>
          <cell r="R287">
            <v>1133</v>
          </cell>
          <cell r="S287">
            <v>1133</v>
          </cell>
          <cell r="T287">
            <v>130</v>
          </cell>
          <cell r="U287">
            <v>0.28799999999999998</v>
          </cell>
          <cell r="V287">
            <v>5</v>
          </cell>
          <cell r="W287">
            <v>0</v>
          </cell>
          <cell r="X287">
            <v>13</v>
          </cell>
          <cell r="Y287">
            <v>6</v>
          </cell>
          <cell r="Z287">
            <v>249250</v>
          </cell>
          <cell r="AA287">
            <v>5.72</v>
          </cell>
          <cell r="AB287">
            <v>249250</v>
          </cell>
          <cell r="AC287">
            <v>5.72</v>
          </cell>
          <cell r="AD287">
            <v>89543</v>
          </cell>
          <cell r="AE287">
            <v>5304133</v>
          </cell>
          <cell r="AF287">
            <v>0.35920000000000002</v>
          </cell>
          <cell r="AG287">
            <v>198</v>
          </cell>
          <cell r="AH287">
            <v>16798483</v>
          </cell>
          <cell r="AI287">
            <v>7813</v>
          </cell>
          <cell r="AJ287">
            <v>557</v>
          </cell>
          <cell r="AK287" t="str">
            <v>BLAKE ST</v>
          </cell>
          <cell r="AL287" t="str">
            <v>SHEFFIELD AVE</v>
          </cell>
          <cell r="AM287" t="str">
            <v>DUMONT AVE</v>
          </cell>
          <cell r="AN287" t="str">
            <v>HINSDALE ST</v>
          </cell>
          <cell r="AO287" t="str">
            <v>BROOKLYN</v>
          </cell>
          <cell r="AP287">
            <v>5</v>
          </cell>
          <cell r="AQ287">
            <v>8</v>
          </cell>
          <cell r="AR287">
            <v>19</v>
          </cell>
          <cell r="AS287">
            <v>60</v>
          </cell>
          <cell r="AT287">
            <v>42</v>
          </cell>
          <cell r="AU287">
            <v>26937</v>
          </cell>
        </row>
        <row r="288">
          <cell r="B288" t="str">
            <v>UNIVERSITY AVENUE REHAB</v>
          </cell>
          <cell r="C288" t="str">
            <v>NY005013410</v>
          </cell>
          <cell r="D288">
            <v>341</v>
          </cell>
          <cell r="E288">
            <v>341</v>
          </cell>
          <cell r="F288">
            <v>762</v>
          </cell>
          <cell r="G288">
            <v>762</v>
          </cell>
          <cell r="H288" t="str">
            <v>NY005283</v>
          </cell>
          <cell r="I288" t="str">
            <v>FEDERAL</v>
          </cell>
          <cell r="J288" t="str">
            <v>TURNKEY</v>
          </cell>
          <cell r="K288" t="str">
            <v>REHAB</v>
          </cell>
          <cell r="M288">
            <v>230</v>
          </cell>
          <cell r="N288">
            <v>230</v>
          </cell>
          <cell r="O288">
            <v>1034</v>
          </cell>
          <cell r="P288">
            <v>4.5</v>
          </cell>
          <cell r="R288">
            <v>519</v>
          </cell>
          <cell r="S288">
            <v>519</v>
          </cell>
          <cell r="T288">
            <v>93</v>
          </cell>
          <cell r="U288">
            <v>0.40400000000000003</v>
          </cell>
          <cell r="V288">
            <v>4</v>
          </cell>
          <cell r="W288">
            <v>0</v>
          </cell>
          <cell r="X288">
            <v>5</v>
          </cell>
          <cell r="Y288">
            <v>6</v>
          </cell>
          <cell r="Z288">
            <v>77898</v>
          </cell>
          <cell r="AA288">
            <v>1.79</v>
          </cell>
          <cell r="AB288">
            <v>77898</v>
          </cell>
          <cell r="AC288">
            <v>1.79</v>
          </cell>
          <cell r="AD288">
            <v>43696</v>
          </cell>
          <cell r="AE288">
            <v>2798894</v>
          </cell>
          <cell r="AF288">
            <v>0.56089999999999995</v>
          </cell>
          <cell r="AG288">
            <v>290</v>
          </cell>
          <cell r="AH288">
            <v>15900000</v>
          </cell>
          <cell r="AI288">
            <v>15377</v>
          </cell>
          <cell r="AJ288">
            <v>529</v>
          </cell>
          <cell r="AK288" t="str">
            <v>W BURNSIDE AVE</v>
          </cell>
          <cell r="AL288" t="str">
            <v>UNIVERSITY AVE</v>
          </cell>
          <cell r="AM288" t="str">
            <v>W TREMONT AVE</v>
          </cell>
          <cell r="AN288" t="str">
            <v>ANDREWS AVE</v>
          </cell>
          <cell r="AO288" t="str">
            <v>BRONX</v>
          </cell>
          <cell r="AP288">
            <v>5</v>
          </cell>
          <cell r="AQ288">
            <v>15</v>
          </cell>
          <cell r="AR288">
            <v>29</v>
          </cell>
          <cell r="AS288">
            <v>86</v>
          </cell>
          <cell r="AT288">
            <v>14</v>
          </cell>
          <cell r="AU288">
            <v>31078</v>
          </cell>
          <cell r="AX288" t="str">
            <v>YES</v>
          </cell>
          <cell r="AY288" t="str">
            <v>YES</v>
          </cell>
        </row>
        <row r="289">
          <cell r="B289" t="str">
            <v>UPACA (SITE 5)</v>
          </cell>
          <cell r="C289" t="str">
            <v>NY005012410</v>
          </cell>
          <cell r="D289">
            <v>343</v>
          </cell>
          <cell r="E289">
            <v>241</v>
          </cell>
          <cell r="F289">
            <v>757</v>
          </cell>
          <cell r="G289">
            <v>760</v>
          </cell>
          <cell r="H289" t="str">
            <v>NY005254</v>
          </cell>
          <cell r="I289" t="str">
            <v>FEDERAL</v>
          </cell>
          <cell r="J289" t="str">
            <v>TURNKEY</v>
          </cell>
          <cell r="K289" t="str">
            <v>NEW CONST (ELD)</v>
          </cell>
          <cell r="M289">
            <v>179</v>
          </cell>
          <cell r="N289">
            <v>200</v>
          </cell>
          <cell r="O289">
            <v>626.5</v>
          </cell>
          <cell r="P289">
            <v>3.5</v>
          </cell>
          <cell r="R289">
            <v>204</v>
          </cell>
          <cell r="S289">
            <v>204</v>
          </cell>
          <cell r="T289">
            <v>147</v>
          </cell>
          <cell r="U289">
            <v>0.84</v>
          </cell>
          <cell r="V289">
            <v>1</v>
          </cell>
          <cell r="W289">
            <v>0</v>
          </cell>
          <cell r="X289">
            <v>1</v>
          </cell>
          <cell r="Y289">
            <v>11</v>
          </cell>
          <cell r="Z289">
            <v>63577</v>
          </cell>
          <cell r="AA289">
            <v>1.46</v>
          </cell>
          <cell r="AB289">
            <v>63577</v>
          </cell>
          <cell r="AC289">
            <v>1.46</v>
          </cell>
          <cell r="AD289">
            <v>14325</v>
          </cell>
          <cell r="AE289">
            <v>1434170</v>
          </cell>
          <cell r="AF289">
            <v>0.2253</v>
          </cell>
          <cell r="AG289">
            <v>140</v>
          </cell>
          <cell r="AH289">
            <v>13369245</v>
          </cell>
          <cell r="AI289">
            <v>19099</v>
          </cell>
          <cell r="AJ289">
            <v>312</v>
          </cell>
          <cell r="AK289" t="str">
            <v>E 121ST ST</v>
          </cell>
          <cell r="AL289" t="str">
            <v>LEXINGTON AVE</v>
          </cell>
          <cell r="AM289" t="str">
            <v>E 120TH ST</v>
          </cell>
          <cell r="AN289" t="str">
            <v>PARK AVE</v>
          </cell>
          <cell r="AO289" t="str">
            <v>MANHATTAN</v>
          </cell>
          <cell r="AP289">
            <v>11</v>
          </cell>
          <cell r="AQ289">
            <v>13</v>
          </cell>
          <cell r="AR289">
            <v>30</v>
          </cell>
          <cell r="AS289">
            <v>68</v>
          </cell>
          <cell r="AT289">
            <v>9</v>
          </cell>
          <cell r="AU289">
            <v>31596</v>
          </cell>
          <cell r="AW289" t="str">
            <v>EXCLUSIVELY</v>
          </cell>
          <cell r="AX289" t="str">
            <v>YES</v>
          </cell>
        </row>
        <row r="290">
          <cell r="B290" t="str">
            <v>UPACA (SITE 6)</v>
          </cell>
          <cell r="C290" t="str">
            <v>NY005012410</v>
          </cell>
          <cell r="D290">
            <v>355</v>
          </cell>
          <cell r="E290">
            <v>241</v>
          </cell>
          <cell r="F290">
            <v>760</v>
          </cell>
          <cell r="G290">
            <v>760</v>
          </cell>
          <cell r="H290" t="str">
            <v>NY005281</v>
          </cell>
          <cell r="I290" t="str">
            <v>FEDERAL</v>
          </cell>
          <cell r="J290" t="str">
            <v>TURNKEY</v>
          </cell>
          <cell r="K290" t="str">
            <v>NEW CONST (ELD)</v>
          </cell>
          <cell r="M290">
            <v>150</v>
          </cell>
          <cell r="N290">
            <v>150</v>
          </cell>
          <cell r="O290">
            <v>525</v>
          </cell>
          <cell r="P290">
            <v>3.5</v>
          </cell>
          <cell r="R290">
            <v>173</v>
          </cell>
          <cell r="S290">
            <v>173</v>
          </cell>
          <cell r="T290">
            <v>132</v>
          </cell>
          <cell r="U290">
            <v>0.90400000000000003</v>
          </cell>
          <cell r="V290">
            <v>1</v>
          </cell>
          <cell r="W290">
            <v>0</v>
          </cell>
          <cell r="X290">
            <v>1</v>
          </cell>
          <cell r="Y290">
            <v>12</v>
          </cell>
          <cell r="Z290">
            <v>45362</v>
          </cell>
          <cell r="AA290">
            <v>1.04</v>
          </cell>
          <cell r="AB290">
            <v>45362</v>
          </cell>
          <cell r="AC290">
            <v>1.04</v>
          </cell>
          <cell r="AD290">
            <v>10330</v>
          </cell>
          <cell r="AE290">
            <v>1041895</v>
          </cell>
          <cell r="AF290">
            <v>0.22770000000000001</v>
          </cell>
          <cell r="AG290">
            <v>166</v>
          </cell>
          <cell r="AH290">
            <v>10240710</v>
          </cell>
          <cell r="AI290">
            <v>19506</v>
          </cell>
          <cell r="AJ290">
            <v>313</v>
          </cell>
          <cell r="AK290" t="str">
            <v>E 119TH ST</v>
          </cell>
          <cell r="AL290" t="str">
            <v>PARK AVE</v>
          </cell>
          <cell r="AM290" t="str">
            <v>E 122ND ST</v>
          </cell>
          <cell r="AN290" t="str">
            <v>LEXINGTON AVE</v>
          </cell>
          <cell r="AO290" t="str">
            <v>MANHATTAN</v>
          </cell>
          <cell r="AP290">
            <v>11</v>
          </cell>
          <cell r="AQ290">
            <v>13</v>
          </cell>
          <cell r="AR290">
            <v>30</v>
          </cell>
          <cell r="AS290">
            <v>68</v>
          </cell>
          <cell r="AT290">
            <v>9</v>
          </cell>
          <cell r="AU290">
            <v>32111</v>
          </cell>
          <cell r="AW290" t="str">
            <v>EXCLUSIVELY</v>
          </cell>
          <cell r="AX290" t="str">
            <v>YES</v>
          </cell>
        </row>
        <row r="291">
          <cell r="B291" t="str">
            <v>VAN DYKE I</v>
          </cell>
          <cell r="C291" t="str">
            <v>NY005000610</v>
          </cell>
          <cell r="D291">
            <v>61</v>
          </cell>
          <cell r="E291">
            <v>61</v>
          </cell>
          <cell r="F291">
            <v>216</v>
          </cell>
          <cell r="G291">
            <v>216</v>
          </cell>
          <cell r="H291" t="str">
            <v>NY005013</v>
          </cell>
          <cell r="I291" t="str">
            <v>FEDERAL</v>
          </cell>
          <cell r="J291" t="str">
            <v>CONVENTIONAL</v>
          </cell>
          <cell r="K291" t="str">
            <v>NEW CONST</v>
          </cell>
          <cell r="M291">
            <v>1603</v>
          </cell>
          <cell r="N291">
            <v>1603</v>
          </cell>
          <cell r="O291">
            <v>7402.5</v>
          </cell>
          <cell r="P291">
            <v>4.62</v>
          </cell>
          <cell r="R291">
            <v>3855</v>
          </cell>
          <cell r="S291">
            <v>3855</v>
          </cell>
          <cell r="T291">
            <v>469</v>
          </cell>
          <cell r="U291">
            <v>0.29699999999999999</v>
          </cell>
          <cell r="V291">
            <v>22</v>
          </cell>
          <cell r="W291">
            <v>1</v>
          </cell>
          <cell r="X291">
            <v>32</v>
          </cell>
          <cell r="Y291">
            <v>43538</v>
          </cell>
          <cell r="Z291">
            <v>906484</v>
          </cell>
          <cell r="AA291">
            <v>20.81</v>
          </cell>
          <cell r="AB291">
            <v>844628</v>
          </cell>
          <cell r="AC291">
            <v>19.39</v>
          </cell>
          <cell r="AD291">
            <v>161168</v>
          </cell>
          <cell r="AE291">
            <v>13652083</v>
          </cell>
          <cell r="AF291">
            <v>0.1656</v>
          </cell>
          <cell r="AG291">
            <v>185</v>
          </cell>
          <cell r="AH291">
            <v>21351730</v>
          </cell>
          <cell r="AI291">
            <v>2884</v>
          </cell>
          <cell r="AJ291">
            <v>546</v>
          </cell>
          <cell r="AK291" t="str">
            <v>SUTTER AVE</v>
          </cell>
          <cell r="AL291" t="str">
            <v>POWELL ST</v>
          </cell>
          <cell r="AM291" t="str">
            <v>LIVONIA AVE</v>
          </cell>
          <cell r="AN291" t="str">
            <v>MOTHER GASTON BLVD</v>
          </cell>
          <cell r="AO291" t="str">
            <v>BROOKLYN</v>
          </cell>
          <cell r="AP291">
            <v>16</v>
          </cell>
          <cell r="AQ291">
            <v>9</v>
          </cell>
          <cell r="AR291" t="str">
            <v>19, 20</v>
          </cell>
          <cell r="AS291">
            <v>55</v>
          </cell>
          <cell r="AT291">
            <v>41</v>
          </cell>
          <cell r="AU291">
            <v>20236</v>
          </cell>
        </row>
        <row r="292">
          <cell r="B292" t="str">
            <v>VAN DYKE II</v>
          </cell>
          <cell r="C292" t="str">
            <v>NY005011680</v>
          </cell>
          <cell r="D292">
            <v>146</v>
          </cell>
          <cell r="E292">
            <v>182</v>
          </cell>
          <cell r="F292">
            <v>257</v>
          </cell>
          <cell r="G292">
            <v>257</v>
          </cell>
          <cell r="H292" t="str">
            <v>NY005055</v>
          </cell>
          <cell r="I292" t="str">
            <v>FEDERAL</v>
          </cell>
          <cell r="J292" t="str">
            <v>CONVENTIONAL</v>
          </cell>
          <cell r="K292" t="str">
            <v>NEW CONST (ELD)</v>
          </cell>
          <cell r="M292">
            <v>111</v>
          </cell>
          <cell r="N292">
            <v>112</v>
          </cell>
          <cell r="O292">
            <v>413.5</v>
          </cell>
          <cell r="P292">
            <v>3.73</v>
          </cell>
          <cell r="R292">
            <v>128</v>
          </cell>
          <cell r="S292">
            <v>128</v>
          </cell>
          <cell r="T292">
            <v>104</v>
          </cell>
          <cell r="U292">
            <v>0.94499999999999995</v>
          </cell>
          <cell r="V292">
            <v>1</v>
          </cell>
          <cell r="W292">
            <v>0</v>
          </cell>
          <cell r="X292">
            <v>1</v>
          </cell>
          <cell r="Y292">
            <v>14</v>
          </cell>
          <cell r="Z292">
            <v>40574</v>
          </cell>
          <cell r="AA292">
            <v>0.93</v>
          </cell>
          <cell r="AB292">
            <v>40574</v>
          </cell>
          <cell r="AC292">
            <v>0.93</v>
          </cell>
          <cell r="AD292">
            <v>9017</v>
          </cell>
          <cell r="AE292">
            <v>845622</v>
          </cell>
          <cell r="AF292">
            <v>0.22220000000000001</v>
          </cell>
          <cell r="AG292">
            <v>138</v>
          </cell>
          <cell r="AH292">
            <v>2318317</v>
          </cell>
          <cell r="AI292">
            <v>5546</v>
          </cell>
          <cell r="AJ292">
            <v>334</v>
          </cell>
          <cell r="AK292" t="str">
            <v>DUMONT AVE</v>
          </cell>
          <cell r="AL292" t="str">
            <v>POWELL ST</v>
          </cell>
          <cell r="AO292" t="str">
            <v>BROOKLYN</v>
          </cell>
          <cell r="AP292">
            <v>16</v>
          </cell>
          <cell r="AQ292">
            <v>9</v>
          </cell>
          <cell r="AR292">
            <v>19</v>
          </cell>
          <cell r="AS292">
            <v>55</v>
          </cell>
          <cell r="AT292">
            <v>41</v>
          </cell>
          <cell r="AU292">
            <v>23497</v>
          </cell>
          <cell r="AW292" t="str">
            <v>EXCLUSIVELY</v>
          </cell>
        </row>
        <row r="293">
          <cell r="B293" t="str">
            <v>VANDALIA AVENUE</v>
          </cell>
          <cell r="C293" t="str">
            <v>NY005011940</v>
          </cell>
          <cell r="D293">
            <v>315</v>
          </cell>
          <cell r="E293">
            <v>194</v>
          </cell>
          <cell r="F293">
            <v>273</v>
          </cell>
          <cell r="G293">
            <v>273</v>
          </cell>
          <cell r="H293" t="str">
            <v>NY005243</v>
          </cell>
          <cell r="I293" t="str">
            <v>FEDERAL</v>
          </cell>
          <cell r="J293" t="str">
            <v>TURNKEY</v>
          </cell>
          <cell r="K293" t="str">
            <v>NEW CONST (ELD)</v>
          </cell>
          <cell r="M293">
            <v>288</v>
          </cell>
          <cell r="N293">
            <v>293</v>
          </cell>
          <cell r="O293">
            <v>1036</v>
          </cell>
          <cell r="P293">
            <v>3.6</v>
          </cell>
          <cell r="R293">
            <v>333</v>
          </cell>
          <cell r="S293">
            <v>333</v>
          </cell>
          <cell r="T293">
            <v>262</v>
          </cell>
          <cell r="U293">
            <v>0.91</v>
          </cell>
          <cell r="V293">
            <v>2</v>
          </cell>
          <cell r="W293">
            <v>1</v>
          </cell>
          <cell r="X293">
            <v>3</v>
          </cell>
          <cell r="Y293">
            <v>10</v>
          </cell>
          <cell r="Z293">
            <v>256217</v>
          </cell>
          <cell r="AA293">
            <v>5.88</v>
          </cell>
          <cell r="AB293">
            <v>256217</v>
          </cell>
          <cell r="AC293">
            <v>5.88</v>
          </cell>
          <cell r="AD293">
            <v>33868</v>
          </cell>
          <cell r="AE293">
            <v>2315113</v>
          </cell>
          <cell r="AF293">
            <v>0.13220000000000001</v>
          </cell>
          <cell r="AG293">
            <v>57</v>
          </cell>
          <cell r="AH293">
            <v>20511981</v>
          </cell>
          <cell r="AI293">
            <v>19480</v>
          </cell>
          <cell r="AJ293">
            <v>376</v>
          </cell>
          <cell r="AK293" t="str">
            <v>LOUISIANA AVE</v>
          </cell>
          <cell r="AL293" t="str">
            <v>VANDALIA AVE</v>
          </cell>
          <cell r="AM293" t="str">
            <v>GEORGIA AVE</v>
          </cell>
          <cell r="AN293" t="str">
            <v>FLATLANDS AVE</v>
          </cell>
          <cell r="AO293" t="str">
            <v>BROOKLYN</v>
          </cell>
          <cell r="AP293">
            <v>5</v>
          </cell>
          <cell r="AQ293">
            <v>8</v>
          </cell>
          <cell r="AR293">
            <v>19</v>
          </cell>
          <cell r="AS293">
            <v>60</v>
          </cell>
          <cell r="AT293">
            <v>42</v>
          </cell>
          <cell r="AU293">
            <v>30467</v>
          </cell>
          <cell r="AW293" t="str">
            <v>EXCLUSIVELY</v>
          </cell>
          <cell r="AX293" t="str">
            <v>YES</v>
          </cell>
        </row>
        <row r="294">
          <cell r="B294" t="str">
            <v>VLADECK</v>
          </cell>
          <cell r="C294" t="str">
            <v>NY005010060</v>
          </cell>
          <cell r="D294">
            <v>6</v>
          </cell>
          <cell r="E294">
            <v>6</v>
          </cell>
          <cell r="F294">
            <v>204</v>
          </cell>
          <cell r="G294">
            <v>204</v>
          </cell>
          <cell r="H294" t="str">
            <v>NY005003</v>
          </cell>
          <cell r="I294" t="str">
            <v>FEDERAL</v>
          </cell>
          <cell r="J294" t="str">
            <v>CONVENTIONAL</v>
          </cell>
          <cell r="K294" t="str">
            <v>NEW CONST</v>
          </cell>
          <cell r="M294">
            <v>1527</v>
          </cell>
          <cell r="N294">
            <v>1531</v>
          </cell>
          <cell r="O294">
            <v>6248.5</v>
          </cell>
          <cell r="P294">
            <v>4.09</v>
          </cell>
          <cell r="R294">
            <v>2894</v>
          </cell>
          <cell r="S294">
            <v>2894</v>
          </cell>
          <cell r="T294">
            <v>711</v>
          </cell>
          <cell r="U294">
            <v>0.47099999999999997</v>
          </cell>
          <cell r="V294">
            <v>20</v>
          </cell>
          <cell r="W294">
            <v>0</v>
          </cell>
          <cell r="X294">
            <v>46</v>
          </cell>
          <cell r="Y294">
            <v>6</v>
          </cell>
          <cell r="Z294">
            <v>566414</v>
          </cell>
          <cell r="AA294">
            <v>13</v>
          </cell>
          <cell r="AB294">
            <v>519124</v>
          </cell>
          <cell r="AC294">
            <v>11.92</v>
          </cell>
          <cell r="AD294">
            <v>171144</v>
          </cell>
          <cell r="AE294">
            <v>10617265</v>
          </cell>
          <cell r="AF294">
            <v>0.30220000000000002</v>
          </cell>
          <cell r="AG294">
            <v>223</v>
          </cell>
          <cell r="AH294">
            <v>7994564</v>
          </cell>
          <cell r="AI294">
            <v>1276</v>
          </cell>
          <cell r="AJ294">
            <v>514</v>
          </cell>
          <cell r="AK294" t="str">
            <v>HENRY ST</v>
          </cell>
          <cell r="AL294" t="str">
            <v>WATER ST</v>
          </cell>
          <cell r="AM294" t="str">
            <v>GOUVERNEUR ST</v>
          </cell>
          <cell r="AN294" t="str">
            <v>JACKSON ST</v>
          </cell>
          <cell r="AO294" t="str">
            <v>MANHATTAN</v>
          </cell>
          <cell r="AP294">
            <v>3</v>
          </cell>
          <cell r="AQ294">
            <v>7</v>
          </cell>
          <cell r="AR294">
            <v>26</v>
          </cell>
          <cell r="AS294">
            <v>65</v>
          </cell>
          <cell r="AT294">
            <v>2</v>
          </cell>
          <cell r="AU294">
            <v>14940</v>
          </cell>
        </row>
        <row r="295">
          <cell r="B295" t="str">
            <v>VLADECK II</v>
          </cell>
          <cell r="C295" t="str">
            <v>NY005010060</v>
          </cell>
          <cell r="D295">
            <v>7</v>
          </cell>
          <cell r="E295">
            <v>6</v>
          </cell>
          <cell r="F295">
            <v>371</v>
          </cell>
          <cell r="G295">
            <v>204</v>
          </cell>
          <cell r="H295" t="str">
            <v>NY005181B</v>
          </cell>
          <cell r="I295" t="str">
            <v>FEDERAL</v>
          </cell>
          <cell r="J295" t="str">
            <v>CONVENTIONAL</v>
          </cell>
          <cell r="K295" t="str">
            <v>NEW CONST</v>
          </cell>
          <cell r="M295">
            <v>240</v>
          </cell>
          <cell r="N295">
            <v>240</v>
          </cell>
          <cell r="O295">
            <v>1080</v>
          </cell>
          <cell r="P295">
            <v>4.5</v>
          </cell>
          <cell r="R295">
            <v>545</v>
          </cell>
          <cell r="S295">
            <v>545</v>
          </cell>
          <cell r="T295">
            <v>93</v>
          </cell>
          <cell r="U295">
            <v>0.39200000000000002</v>
          </cell>
          <cell r="V295">
            <v>4</v>
          </cell>
          <cell r="W295">
            <v>0</v>
          </cell>
          <cell r="X295">
            <v>8</v>
          </cell>
          <cell r="Y295">
            <v>6</v>
          </cell>
          <cell r="Z295">
            <v>96933</v>
          </cell>
          <cell r="AA295">
            <v>2.23</v>
          </cell>
          <cell r="AB295">
            <v>96933</v>
          </cell>
          <cell r="AC295">
            <v>2.23</v>
          </cell>
          <cell r="AD295">
            <v>28827</v>
          </cell>
          <cell r="AE295">
            <v>1766160</v>
          </cell>
          <cell r="AF295">
            <v>0.2974</v>
          </cell>
          <cell r="AG295">
            <v>244</v>
          </cell>
          <cell r="AH295">
            <v>1269490</v>
          </cell>
          <cell r="AI295">
            <v>1175</v>
          </cell>
          <cell r="AJ295">
            <v>545</v>
          </cell>
          <cell r="AK295" t="str">
            <v>MADISON ST</v>
          </cell>
          <cell r="AL295" t="str">
            <v>CHERRY ST</v>
          </cell>
          <cell r="AM295" t="str">
            <v>JACKSON ST</v>
          </cell>
          <cell r="AO295" t="str">
            <v>MANHATTAN</v>
          </cell>
          <cell r="AP295">
            <v>3</v>
          </cell>
          <cell r="AQ295">
            <v>7</v>
          </cell>
          <cell r="AR295">
            <v>26</v>
          </cell>
          <cell r="AS295">
            <v>65</v>
          </cell>
          <cell r="AT295">
            <v>2</v>
          </cell>
          <cell r="AU295">
            <v>14909</v>
          </cell>
          <cell r="AV295" t="str">
            <v>1972/06/29-FED TRAN</v>
          </cell>
        </row>
        <row r="296">
          <cell r="B296" t="str">
            <v>WAGNER</v>
          </cell>
          <cell r="C296" t="str">
            <v>NY005010740</v>
          </cell>
          <cell r="D296">
            <v>74</v>
          </cell>
          <cell r="E296">
            <v>74</v>
          </cell>
          <cell r="F296">
            <v>224</v>
          </cell>
          <cell r="G296">
            <v>224</v>
          </cell>
          <cell r="H296" t="str">
            <v>NY005024</v>
          </cell>
          <cell r="I296" t="str">
            <v>FEDERAL</v>
          </cell>
          <cell r="J296" t="str">
            <v>CONVENTIONAL</v>
          </cell>
          <cell r="K296" t="str">
            <v>NEW CONST</v>
          </cell>
          <cell r="M296">
            <v>2151</v>
          </cell>
          <cell r="N296">
            <v>2162</v>
          </cell>
          <cell r="O296">
            <v>10068.5</v>
          </cell>
          <cell r="P296">
            <v>4.68</v>
          </cell>
          <cell r="R296">
            <v>4814</v>
          </cell>
          <cell r="S296">
            <v>4814</v>
          </cell>
          <cell r="T296">
            <v>875</v>
          </cell>
          <cell r="U296">
            <v>0.40899999999999997</v>
          </cell>
          <cell r="V296">
            <v>22</v>
          </cell>
          <cell r="W296">
            <v>1</v>
          </cell>
          <cell r="X296">
            <v>22</v>
          </cell>
          <cell r="Y296">
            <v>43662</v>
          </cell>
          <cell r="Z296">
            <v>1172233</v>
          </cell>
          <cell r="AA296">
            <v>26.91</v>
          </cell>
          <cell r="AB296">
            <v>1083783</v>
          </cell>
          <cell r="AC296">
            <v>24.88</v>
          </cell>
          <cell r="AD296">
            <v>150639</v>
          </cell>
          <cell r="AE296">
            <v>16837094</v>
          </cell>
          <cell r="AF296">
            <v>0.1285</v>
          </cell>
          <cell r="AG296">
            <v>179</v>
          </cell>
          <cell r="AH296">
            <v>32794423</v>
          </cell>
          <cell r="AI296">
            <v>3238</v>
          </cell>
          <cell r="AJ296">
            <v>536</v>
          </cell>
          <cell r="AK296" t="str">
            <v>E 120TH ST</v>
          </cell>
          <cell r="AL296" t="str">
            <v>SECOND AVE</v>
          </cell>
          <cell r="AM296" t="str">
            <v>E 124TH ST</v>
          </cell>
          <cell r="AN296" t="str">
            <v>FDR DRIVE</v>
          </cell>
          <cell r="AO296" t="str">
            <v>MANHATTAN</v>
          </cell>
          <cell r="AP296">
            <v>11</v>
          </cell>
          <cell r="AQ296">
            <v>13</v>
          </cell>
          <cell r="AR296">
            <v>30</v>
          </cell>
          <cell r="AS296">
            <v>68</v>
          </cell>
          <cell r="AT296">
            <v>8</v>
          </cell>
          <cell r="AU296">
            <v>21348</v>
          </cell>
        </row>
        <row r="297">
          <cell r="B297" t="str">
            <v>WALD</v>
          </cell>
          <cell r="C297" t="str">
            <v>NY005000230</v>
          </cell>
          <cell r="D297">
            <v>23</v>
          </cell>
          <cell r="E297">
            <v>23</v>
          </cell>
          <cell r="F297">
            <v>511</v>
          </cell>
          <cell r="G297">
            <v>511</v>
          </cell>
          <cell r="H297" t="str">
            <v>NY005213C</v>
          </cell>
          <cell r="I297" t="str">
            <v>FEDERAL</v>
          </cell>
          <cell r="J297" t="str">
            <v>CONVENTIONAL</v>
          </cell>
          <cell r="K297" t="str">
            <v>NEW CONST</v>
          </cell>
          <cell r="M297">
            <v>1861</v>
          </cell>
          <cell r="N297">
            <v>1861</v>
          </cell>
          <cell r="O297">
            <v>8767.5</v>
          </cell>
          <cell r="P297">
            <v>4.71</v>
          </cell>
          <cell r="R297">
            <v>3985</v>
          </cell>
          <cell r="S297">
            <v>3985</v>
          </cell>
          <cell r="T297">
            <v>785</v>
          </cell>
          <cell r="U297">
            <v>0.42499999999999999</v>
          </cell>
          <cell r="V297">
            <v>16</v>
          </cell>
          <cell r="W297">
            <v>2</v>
          </cell>
          <cell r="X297">
            <v>19</v>
          </cell>
          <cell r="Y297">
            <v>43783</v>
          </cell>
          <cell r="Z297">
            <v>717071</v>
          </cell>
          <cell r="AA297">
            <v>16.46</v>
          </cell>
          <cell r="AB297">
            <v>694013</v>
          </cell>
          <cell r="AC297">
            <v>15.93</v>
          </cell>
          <cell r="AD297">
            <v>133117</v>
          </cell>
          <cell r="AE297">
            <v>14691881</v>
          </cell>
          <cell r="AF297">
            <v>0.18559999999999999</v>
          </cell>
          <cell r="AG297">
            <v>242</v>
          </cell>
          <cell r="AH297">
            <v>22094000</v>
          </cell>
          <cell r="AI297">
            <v>2561</v>
          </cell>
          <cell r="AJ297">
            <v>564</v>
          </cell>
          <cell r="AK297" t="str">
            <v>FDR DRIVE</v>
          </cell>
          <cell r="AL297" t="str">
            <v>AVENUE D</v>
          </cell>
          <cell r="AM297" t="str">
            <v>E 6TH ST</v>
          </cell>
          <cell r="AN297" t="str">
            <v>E HOUSTON ST</v>
          </cell>
          <cell r="AO297" t="str">
            <v>MANHATTAN</v>
          </cell>
          <cell r="AP297">
            <v>3</v>
          </cell>
          <cell r="AQ297">
            <v>7</v>
          </cell>
          <cell r="AR297">
            <v>26</v>
          </cell>
          <cell r="AS297">
            <v>74</v>
          </cell>
          <cell r="AT297">
            <v>2</v>
          </cell>
          <cell r="AU297">
            <v>18185</v>
          </cell>
          <cell r="AV297" t="str">
            <v>1977/07/01-ATP 1</v>
          </cell>
        </row>
        <row r="298">
          <cell r="B298" t="str">
            <v>WASHINGTON</v>
          </cell>
          <cell r="C298" t="str">
            <v>NY005010620</v>
          </cell>
          <cell r="D298">
            <v>62</v>
          </cell>
          <cell r="E298">
            <v>62</v>
          </cell>
          <cell r="F298">
            <v>217</v>
          </cell>
          <cell r="G298">
            <v>217</v>
          </cell>
          <cell r="H298" t="str">
            <v>NY005014</v>
          </cell>
          <cell r="I298" t="str">
            <v>FEDERAL</v>
          </cell>
          <cell r="J298" t="str">
            <v>CONVENTIONAL</v>
          </cell>
          <cell r="K298" t="str">
            <v>NEW CONST</v>
          </cell>
          <cell r="M298">
            <v>1515</v>
          </cell>
          <cell r="N298">
            <v>1515</v>
          </cell>
          <cell r="O298">
            <v>7053.5</v>
          </cell>
          <cell r="P298">
            <v>4.66</v>
          </cell>
          <cell r="R298">
            <v>3416</v>
          </cell>
          <cell r="S298">
            <v>3416</v>
          </cell>
          <cell r="T298">
            <v>590</v>
          </cell>
          <cell r="U298">
            <v>0.39400000000000002</v>
          </cell>
          <cell r="V298">
            <v>14</v>
          </cell>
          <cell r="W298">
            <v>1</v>
          </cell>
          <cell r="X298">
            <v>18</v>
          </cell>
          <cell r="Y298" t="str">
            <v>2, 12-14</v>
          </cell>
          <cell r="Z298">
            <v>906988</v>
          </cell>
          <cell r="AA298">
            <v>20.82</v>
          </cell>
          <cell r="AB298">
            <v>822228</v>
          </cell>
          <cell r="AC298">
            <v>18.88</v>
          </cell>
          <cell r="AD298">
            <v>124916</v>
          </cell>
          <cell r="AE298">
            <v>12618161</v>
          </cell>
          <cell r="AF298">
            <v>0.13769999999999999</v>
          </cell>
          <cell r="AG298">
            <v>164</v>
          </cell>
          <cell r="AH298">
            <v>23677092</v>
          </cell>
          <cell r="AI298">
            <v>3357</v>
          </cell>
          <cell r="AJ298">
            <v>563</v>
          </cell>
          <cell r="AK298" t="str">
            <v>E 104TH ST</v>
          </cell>
          <cell r="AL298" t="str">
            <v>SECOND AVE</v>
          </cell>
          <cell r="AM298" t="str">
            <v>E 97TH ST</v>
          </cell>
          <cell r="AN298" t="str">
            <v>THIRD AVE</v>
          </cell>
          <cell r="AO298" t="str">
            <v>MANHATTAN</v>
          </cell>
          <cell r="AP298">
            <v>11</v>
          </cell>
          <cell r="AQ298">
            <v>13</v>
          </cell>
          <cell r="AR298">
            <v>29</v>
          </cell>
          <cell r="AS298">
            <v>68</v>
          </cell>
          <cell r="AT298">
            <v>8</v>
          </cell>
          <cell r="AU298">
            <v>21083</v>
          </cell>
        </row>
        <row r="299">
          <cell r="B299" t="str">
            <v>WASHINGTON HEIGHTS REHAB (GROUPS 1&amp;2)</v>
          </cell>
          <cell r="C299" t="str">
            <v>NY005013090</v>
          </cell>
          <cell r="D299">
            <v>293</v>
          </cell>
          <cell r="E299">
            <v>309</v>
          </cell>
          <cell r="F299">
            <v>563</v>
          </cell>
          <cell r="G299">
            <v>341</v>
          </cell>
          <cell r="H299" t="str">
            <v>NY005221</v>
          </cell>
          <cell r="I299" t="str">
            <v>FEDERAL</v>
          </cell>
          <cell r="J299" t="str">
            <v>CONVENTIONAL</v>
          </cell>
          <cell r="K299" t="str">
            <v>REHAB</v>
          </cell>
          <cell r="M299">
            <v>215</v>
          </cell>
          <cell r="N299">
            <v>216</v>
          </cell>
          <cell r="O299">
            <v>915.5</v>
          </cell>
          <cell r="P299">
            <v>4.26</v>
          </cell>
          <cell r="R299">
            <v>406</v>
          </cell>
          <cell r="S299">
            <v>406</v>
          </cell>
          <cell r="T299">
            <v>103</v>
          </cell>
          <cell r="U299">
            <v>0.48799999999999999</v>
          </cell>
          <cell r="V299">
            <v>5</v>
          </cell>
          <cell r="W299">
            <v>0</v>
          </cell>
          <cell r="X299">
            <v>6</v>
          </cell>
          <cell r="Y299">
            <v>43591</v>
          </cell>
          <cell r="Z299">
            <v>57544</v>
          </cell>
          <cell r="AA299">
            <v>1.32</v>
          </cell>
          <cell r="AB299">
            <v>57544</v>
          </cell>
          <cell r="AC299">
            <v>1.32</v>
          </cell>
          <cell r="AD299">
            <v>40754</v>
          </cell>
          <cell r="AE299">
            <v>2421442</v>
          </cell>
          <cell r="AF299">
            <v>0.70820000000000005</v>
          </cell>
          <cell r="AG299">
            <v>308</v>
          </cell>
          <cell r="AH299">
            <v>22610848</v>
          </cell>
          <cell r="AI299">
            <v>24631</v>
          </cell>
          <cell r="AJ299">
            <v>484</v>
          </cell>
          <cell r="AK299" t="str">
            <v>W 176TH ST</v>
          </cell>
          <cell r="AL299" t="str">
            <v>AMSTERDAM AVE</v>
          </cell>
          <cell r="AM299" t="str">
            <v>W 177TH ST</v>
          </cell>
          <cell r="AN299" t="str">
            <v>AUDUBON AVE</v>
          </cell>
          <cell r="AO299" t="str">
            <v>MANHATTAN</v>
          </cell>
          <cell r="AP299">
            <v>12</v>
          </cell>
          <cell r="AQ299">
            <v>13</v>
          </cell>
          <cell r="AR299">
            <v>31</v>
          </cell>
          <cell r="AS299">
            <v>72</v>
          </cell>
          <cell r="AT299">
            <v>10</v>
          </cell>
          <cell r="AU299">
            <v>32264</v>
          </cell>
          <cell r="AX299" t="str">
            <v>YES</v>
          </cell>
        </row>
        <row r="300">
          <cell r="B300" t="str">
            <v>WASHINGTON HEIGHTS REHAB PHASE III</v>
          </cell>
          <cell r="C300" t="str">
            <v>NY005010030&amp;NY005013090</v>
          </cell>
          <cell r="D300" t="str">
            <v>329, 523</v>
          </cell>
          <cell r="E300" t="str">
            <v>003, 309</v>
          </cell>
          <cell r="F300" t="str">
            <v>382 - HARLEM RIVER, 756 - FORT WASHINGTON</v>
          </cell>
          <cell r="G300" t="str">
            <v>754 - HARLEM RIVER, 341 - FORT WASHINGTON</v>
          </cell>
          <cell r="H300" t="str">
            <v>NY005284A - HARLEM RIVER, NY005284B - FORT WASHINGTON</v>
          </cell>
          <cell r="I300" t="str">
            <v>FEDERAL</v>
          </cell>
          <cell r="J300" t="str">
            <v>TURNKEY</v>
          </cell>
          <cell r="K300" t="str">
            <v>REHAB</v>
          </cell>
          <cell r="M300">
            <v>102</v>
          </cell>
          <cell r="N300">
            <v>102</v>
          </cell>
          <cell r="O300">
            <v>454</v>
          </cell>
          <cell r="P300">
            <v>4.45</v>
          </cell>
          <cell r="S300">
            <v>204</v>
          </cell>
          <cell r="T300">
            <v>36</v>
          </cell>
          <cell r="U300">
            <v>0.36</v>
          </cell>
          <cell r="V300">
            <v>8</v>
          </cell>
          <cell r="W300">
            <v>0</v>
          </cell>
          <cell r="X300">
            <v>8</v>
          </cell>
          <cell r="Y300">
            <v>5</v>
          </cell>
          <cell r="Z300">
            <v>29032</v>
          </cell>
          <cell r="AA300">
            <v>0.67</v>
          </cell>
          <cell r="AB300">
            <v>29032</v>
          </cell>
          <cell r="AC300">
            <v>0.67</v>
          </cell>
          <cell r="AD300">
            <v>21549</v>
          </cell>
          <cell r="AE300">
            <v>1292850</v>
          </cell>
          <cell r="AF300">
            <v>0.74219999999999997</v>
          </cell>
          <cell r="AG300">
            <v>304</v>
          </cell>
          <cell r="AH300">
            <v>7175585</v>
          </cell>
          <cell r="AI300">
            <v>15823</v>
          </cell>
          <cell r="AJ300">
            <v>532</v>
          </cell>
          <cell r="AK300" t="str">
            <v>W 156TH ST</v>
          </cell>
          <cell r="AL300" t="str">
            <v>BROADWAY</v>
          </cell>
          <cell r="AM300" t="str">
            <v>AMSTERDAM AVE</v>
          </cell>
          <cell r="AN300" t="str">
            <v>W 164TH,165TH STS</v>
          </cell>
          <cell r="AO300" t="str">
            <v>MANHATTAN</v>
          </cell>
          <cell r="AP300">
            <v>12</v>
          </cell>
          <cell r="AQ300">
            <v>13</v>
          </cell>
          <cell r="AR300">
            <v>31</v>
          </cell>
          <cell r="AS300" t="str">
            <v>71, 72</v>
          </cell>
          <cell r="AT300" t="str">
            <v>07, 10</v>
          </cell>
          <cell r="AU300">
            <v>32111</v>
          </cell>
          <cell r="AX300" t="str">
            <v>YES</v>
          </cell>
        </row>
        <row r="301">
          <cell r="B301" t="str">
            <v>WASHINGTON HEIGHTS REHAB PHASE III (FORT WASHINGTON)</v>
          </cell>
          <cell r="C301" t="str">
            <v>NY005013090</v>
          </cell>
          <cell r="D301">
            <v>523</v>
          </cell>
          <cell r="E301">
            <v>309</v>
          </cell>
          <cell r="F301">
            <v>756</v>
          </cell>
          <cell r="G301">
            <v>341</v>
          </cell>
          <cell r="H301" t="str">
            <v>NY005284B</v>
          </cell>
          <cell r="I301" t="str">
            <v>FEDERAL</v>
          </cell>
          <cell r="J301" t="str">
            <v>TURNKEY</v>
          </cell>
          <cell r="K301" t="str">
            <v>REHAB</v>
          </cell>
          <cell r="M301">
            <v>88</v>
          </cell>
          <cell r="N301">
            <v>88</v>
          </cell>
          <cell r="O301">
            <v>391</v>
          </cell>
          <cell r="P301">
            <v>4.4400000000000004</v>
          </cell>
          <cell r="Q301">
            <v>0</v>
          </cell>
          <cell r="R301">
            <v>174</v>
          </cell>
          <cell r="S301">
            <v>174</v>
          </cell>
          <cell r="T301">
            <v>31</v>
          </cell>
          <cell r="U301">
            <v>0.36</v>
          </cell>
          <cell r="V301">
            <v>7</v>
          </cell>
          <cell r="W301">
            <v>0</v>
          </cell>
          <cell r="X301">
            <v>7</v>
          </cell>
          <cell r="Y301">
            <v>5</v>
          </cell>
          <cell r="Z301">
            <v>25086</v>
          </cell>
          <cell r="AA301">
            <v>0.57999999999999996</v>
          </cell>
          <cell r="AB301">
            <v>25086</v>
          </cell>
          <cell r="AC301">
            <v>0.57999999999999996</v>
          </cell>
          <cell r="AD301">
            <v>18156</v>
          </cell>
          <cell r="AE301">
            <v>1113273</v>
          </cell>
          <cell r="AF301">
            <v>0.7238</v>
          </cell>
          <cell r="AG301">
            <v>300</v>
          </cell>
          <cell r="AH301">
            <v>6178887</v>
          </cell>
          <cell r="AI301">
            <v>15823</v>
          </cell>
          <cell r="AJ301">
            <v>536</v>
          </cell>
          <cell r="AK301" t="str">
            <v>W 163RD ST</v>
          </cell>
          <cell r="AL301" t="str">
            <v>W 164TH ST</v>
          </cell>
          <cell r="AM301" t="str">
            <v>W 165TH ST</v>
          </cell>
          <cell r="AN301" t="str">
            <v>AMSTERDAM AVE</v>
          </cell>
          <cell r="AO301" t="str">
            <v>MANHATTAN</v>
          </cell>
          <cell r="AP301">
            <v>12</v>
          </cell>
          <cell r="AQ301">
            <v>13</v>
          </cell>
          <cell r="AR301">
            <v>31</v>
          </cell>
          <cell r="AS301" t="str">
            <v>71, 72</v>
          </cell>
          <cell r="AT301" t="str">
            <v>07, 10</v>
          </cell>
          <cell r="AU301">
            <v>32111</v>
          </cell>
        </row>
        <row r="302">
          <cell r="B302" t="str">
            <v>WASHINGTON HEIGHTS REHAB PHASE III (HARLEM RIVER)</v>
          </cell>
          <cell r="C302" t="str">
            <v>NY005010030</v>
          </cell>
          <cell r="D302">
            <v>329</v>
          </cell>
          <cell r="E302">
            <v>3</v>
          </cell>
          <cell r="F302">
            <v>382</v>
          </cell>
          <cell r="G302">
            <v>754</v>
          </cell>
          <cell r="H302" t="str">
            <v>NY005284A</v>
          </cell>
          <cell r="I302" t="str">
            <v>FEDERAL</v>
          </cell>
          <cell r="J302" t="str">
            <v>TURNKEY</v>
          </cell>
          <cell r="K302" t="str">
            <v>REHAB</v>
          </cell>
          <cell r="M302">
            <v>14</v>
          </cell>
          <cell r="N302">
            <v>14</v>
          </cell>
          <cell r="O302">
            <v>63</v>
          </cell>
          <cell r="P302">
            <v>4.5</v>
          </cell>
          <cell r="Q302">
            <v>0</v>
          </cell>
          <cell r="R302">
            <v>30</v>
          </cell>
          <cell r="S302">
            <v>30</v>
          </cell>
          <cell r="T302">
            <v>5</v>
          </cell>
          <cell r="U302">
            <v>0.35699999999999998</v>
          </cell>
          <cell r="V302">
            <v>1</v>
          </cell>
          <cell r="W302">
            <v>0</v>
          </cell>
          <cell r="X302">
            <v>1</v>
          </cell>
          <cell r="Y302">
            <v>5</v>
          </cell>
          <cell r="Z302">
            <v>3946</v>
          </cell>
          <cell r="AA302">
            <v>0.09</v>
          </cell>
          <cell r="AB302">
            <v>3946</v>
          </cell>
          <cell r="AC302">
            <v>0.09</v>
          </cell>
          <cell r="AD302">
            <v>3393</v>
          </cell>
          <cell r="AE302">
            <v>179577</v>
          </cell>
          <cell r="AF302">
            <v>0.8599</v>
          </cell>
          <cell r="AG302">
            <v>333</v>
          </cell>
          <cell r="AH302">
            <v>996698</v>
          </cell>
          <cell r="AI302">
            <v>15821</v>
          </cell>
          <cell r="AJ302">
            <v>513</v>
          </cell>
          <cell r="AK302" t="str">
            <v>W 156TH ST</v>
          </cell>
          <cell r="AL302" t="str">
            <v>BROADWAY</v>
          </cell>
          <cell r="AM302" t="str">
            <v>AMSTERDAM AVE</v>
          </cell>
          <cell r="AO302" t="str">
            <v>MANHATTAN</v>
          </cell>
          <cell r="AP302">
            <v>12</v>
          </cell>
          <cell r="AQ302">
            <v>13</v>
          </cell>
          <cell r="AR302">
            <v>31</v>
          </cell>
          <cell r="AS302">
            <v>71</v>
          </cell>
          <cell r="AT302">
            <v>7</v>
          </cell>
          <cell r="AU302">
            <v>32111</v>
          </cell>
        </row>
        <row r="303">
          <cell r="B303" t="str">
            <v>WASHINGTON HEIGHTS REHAB PHASE IV (C)</v>
          </cell>
          <cell r="C303" t="str">
            <v>NY005013090</v>
          </cell>
          <cell r="D303">
            <v>330</v>
          </cell>
          <cell r="E303">
            <v>309</v>
          </cell>
          <cell r="F303">
            <v>788</v>
          </cell>
          <cell r="G303">
            <v>341</v>
          </cell>
          <cell r="H303" t="str">
            <v>NY005228</v>
          </cell>
          <cell r="I303" t="str">
            <v>FEDERAL</v>
          </cell>
          <cell r="J303" t="str">
            <v>CONVENTIONAL</v>
          </cell>
          <cell r="K303" t="str">
            <v>REHAB</v>
          </cell>
          <cell r="M303">
            <v>32</v>
          </cell>
          <cell r="N303">
            <v>32</v>
          </cell>
          <cell r="O303">
            <v>129</v>
          </cell>
          <cell r="P303">
            <v>4.03</v>
          </cell>
          <cell r="R303">
            <v>67</v>
          </cell>
          <cell r="S303">
            <v>67</v>
          </cell>
          <cell r="T303">
            <v>16</v>
          </cell>
          <cell r="U303">
            <v>0.51600000000000001</v>
          </cell>
          <cell r="V303">
            <v>2</v>
          </cell>
          <cell r="W303">
            <v>0</v>
          </cell>
          <cell r="X303">
            <v>2</v>
          </cell>
          <cell r="Y303">
            <v>5</v>
          </cell>
          <cell r="Z303">
            <v>8593</v>
          </cell>
          <cell r="AA303">
            <v>0.2</v>
          </cell>
          <cell r="AB303">
            <v>8593</v>
          </cell>
          <cell r="AC303">
            <v>0.2</v>
          </cell>
          <cell r="AD303">
            <v>6012</v>
          </cell>
          <cell r="AE303">
            <v>323625</v>
          </cell>
          <cell r="AF303">
            <v>0.6996</v>
          </cell>
          <cell r="AG303">
            <v>335</v>
          </cell>
          <cell r="AH303">
            <v>3052119</v>
          </cell>
          <cell r="AI303">
            <v>23660</v>
          </cell>
          <cell r="AJ303">
            <v>478</v>
          </cell>
          <cell r="AK303" t="str">
            <v>W 176TH ST</v>
          </cell>
          <cell r="AL303" t="str">
            <v>AMSTERDAM AVE</v>
          </cell>
          <cell r="AM303" t="str">
            <v>W 177TH ST</v>
          </cell>
          <cell r="AN303" t="str">
            <v>AUDUBON AVE</v>
          </cell>
          <cell r="AO303" t="str">
            <v>MANHATTAN</v>
          </cell>
          <cell r="AP303">
            <v>12</v>
          </cell>
          <cell r="AQ303">
            <v>13</v>
          </cell>
          <cell r="AR303">
            <v>31</v>
          </cell>
          <cell r="AS303">
            <v>72</v>
          </cell>
          <cell r="AT303">
            <v>10</v>
          </cell>
          <cell r="AU303">
            <v>33147</v>
          </cell>
          <cell r="AX303" t="str">
            <v>YES</v>
          </cell>
        </row>
        <row r="304">
          <cell r="B304" t="str">
            <v>WASHINGTON HEIGHTS REHAB PHASE IV (D)</v>
          </cell>
          <cell r="C304" t="str">
            <v>NY005013090</v>
          </cell>
          <cell r="D304">
            <v>331</v>
          </cell>
          <cell r="E304">
            <v>309</v>
          </cell>
          <cell r="F304">
            <v>789</v>
          </cell>
          <cell r="G304">
            <v>341</v>
          </cell>
          <cell r="H304" t="str">
            <v>NY005229</v>
          </cell>
          <cell r="I304" t="str">
            <v>FEDERAL</v>
          </cell>
          <cell r="J304" t="str">
            <v>CONVENTIONAL</v>
          </cell>
          <cell r="K304" t="str">
            <v>REHAB</v>
          </cell>
          <cell r="M304">
            <v>32</v>
          </cell>
          <cell r="N304">
            <v>32</v>
          </cell>
          <cell r="O304">
            <v>132</v>
          </cell>
          <cell r="P304">
            <v>4.13</v>
          </cell>
          <cell r="R304">
            <v>60</v>
          </cell>
          <cell r="S304">
            <v>60</v>
          </cell>
          <cell r="T304">
            <v>15</v>
          </cell>
          <cell r="U304">
            <v>0.46899999999999997</v>
          </cell>
          <cell r="V304">
            <v>2</v>
          </cell>
          <cell r="W304">
            <v>0</v>
          </cell>
          <cell r="X304">
            <v>2</v>
          </cell>
          <cell r="Y304">
            <v>5</v>
          </cell>
          <cell r="Z304">
            <v>8743</v>
          </cell>
          <cell r="AA304">
            <v>0.2</v>
          </cell>
          <cell r="AB304">
            <v>8743</v>
          </cell>
          <cell r="AC304">
            <v>0.2</v>
          </cell>
          <cell r="AD304">
            <v>6127</v>
          </cell>
          <cell r="AE304">
            <v>329815</v>
          </cell>
          <cell r="AF304">
            <v>0.70079999999999998</v>
          </cell>
          <cell r="AG304">
            <v>300</v>
          </cell>
          <cell r="AH304">
            <v>3007393</v>
          </cell>
          <cell r="AI304">
            <v>22783</v>
          </cell>
          <cell r="AJ304">
            <v>508</v>
          </cell>
          <cell r="AK304" t="str">
            <v>W 176TH ST</v>
          </cell>
          <cell r="AL304" t="str">
            <v>AMSTERDAM AVE</v>
          </cell>
          <cell r="AN304" t="str">
            <v>AUDUBON AVE</v>
          </cell>
          <cell r="AO304" t="str">
            <v>MANHATTAN</v>
          </cell>
          <cell r="AP304">
            <v>12</v>
          </cell>
          <cell r="AQ304">
            <v>13</v>
          </cell>
          <cell r="AR304">
            <v>31</v>
          </cell>
          <cell r="AS304">
            <v>72</v>
          </cell>
          <cell r="AT304">
            <v>10</v>
          </cell>
          <cell r="AU304">
            <v>33055</v>
          </cell>
          <cell r="AX304" t="str">
            <v>YES</v>
          </cell>
        </row>
        <row r="305">
          <cell r="B305" t="str">
            <v>WEBSTER</v>
          </cell>
          <cell r="C305" t="str">
            <v>NY005011410</v>
          </cell>
          <cell r="D305">
            <v>141</v>
          </cell>
          <cell r="E305">
            <v>141</v>
          </cell>
          <cell r="F305">
            <v>231</v>
          </cell>
          <cell r="G305">
            <v>231</v>
          </cell>
          <cell r="H305" t="str">
            <v>NY005028</v>
          </cell>
          <cell r="I305" t="str">
            <v>FEDERAL</v>
          </cell>
          <cell r="J305" t="str">
            <v>CONVENTIONAL</v>
          </cell>
          <cell r="K305" t="str">
            <v>NEW CONST</v>
          </cell>
          <cell r="M305">
            <v>606</v>
          </cell>
          <cell r="N305">
            <v>606</v>
          </cell>
          <cell r="O305">
            <v>2831</v>
          </cell>
          <cell r="P305">
            <v>4.67</v>
          </cell>
          <cell r="R305">
            <v>1562</v>
          </cell>
          <cell r="S305">
            <v>1562</v>
          </cell>
          <cell r="T305">
            <v>223</v>
          </cell>
          <cell r="U305">
            <v>0.372</v>
          </cell>
          <cell r="V305">
            <v>5</v>
          </cell>
          <cell r="W305">
            <v>1</v>
          </cell>
          <cell r="X305">
            <v>6</v>
          </cell>
          <cell r="Y305">
            <v>21</v>
          </cell>
          <cell r="Z305">
            <v>197199</v>
          </cell>
          <cell r="AA305">
            <v>4.53</v>
          </cell>
          <cell r="AB305">
            <v>197199</v>
          </cell>
          <cell r="AC305">
            <v>4.53</v>
          </cell>
          <cell r="AD305">
            <v>31247</v>
          </cell>
          <cell r="AE305">
            <v>5322369</v>
          </cell>
          <cell r="AF305">
            <v>0.1585</v>
          </cell>
          <cell r="AG305">
            <v>345</v>
          </cell>
          <cell r="AH305">
            <v>12227114</v>
          </cell>
          <cell r="AI305">
            <v>4319</v>
          </cell>
          <cell r="AJ305">
            <v>503</v>
          </cell>
          <cell r="AK305" t="str">
            <v>E 169TH ST</v>
          </cell>
          <cell r="AL305" t="str">
            <v>PARK AVE</v>
          </cell>
          <cell r="AM305" t="str">
            <v>E 168TH ST</v>
          </cell>
          <cell r="AN305" t="str">
            <v>WEBSTER AVE</v>
          </cell>
          <cell r="AO305" t="str">
            <v>BRONX</v>
          </cell>
          <cell r="AP305">
            <v>3</v>
          </cell>
          <cell r="AQ305">
            <v>15</v>
          </cell>
          <cell r="AR305">
            <v>32</v>
          </cell>
          <cell r="AS305">
            <v>79</v>
          </cell>
          <cell r="AT305">
            <v>16</v>
          </cell>
          <cell r="AU305">
            <v>24015</v>
          </cell>
        </row>
        <row r="306">
          <cell r="B306" t="str">
            <v>WEEKSVILLE GARDENS</v>
          </cell>
          <cell r="C306" t="str">
            <v>NY005010310</v>
          </cell>
          <cell r="D306">
            <v>229</v>
          </cell>
          <cell r="E306">
            <v>31</v>
          </cell>
          <cell r="F306">
            <v>357</v>
          </cell>
          <cell r="G306">
            <v>357</v>
          </cell>
          <cell r="H306" t="str">
            <v>NY005132</v>
          </cell>
          <cell r="I306" t="str">
            <v>FEDERAL</v>
          </cell>
          <cell r="J306" t="str">
            <v>TURNKEY</v>
          </cell>
          <cell r="K306" t="str">
            <v>NEW CONST</v>
          </cell>
          <cell r="M306">
            <v>256</v>
          </cell>
          <cell r="N306">
            <v>257</v>
          </cell>
          <cell r="O306">
            <v>1285</v>
          </cell>
          <cell r="P306">
            <v>5.0199999999999996</v>
          </cell>
          <cell r="R306">
            <v>718</v>
          </cell>
          <cell r="S306">
            <v>718</v>
          </cell>
          <cell r="T306">
            <v>77</v>
          </cell>
          <cell r="U306">
            <v>0.308</v>
          </cell>
          <cell r="V306">
            <v>2</v>
          </cell>
          <cell r="W306">
            <v>0</v>
          </cell>
          <cell r="X306">
            <v>14</v>
          </cell>
          <cell r="Y306">
            <v>43560</v>
          </cell>
          <cell r="Z306">
            <v>141365</v>
          </cell>
          <cell r="AA306">
            <v>3.25</v>
          </cell>
          <cell r="AB306">
            <v>141365</v>
          </cell>
          <cell r="AC306">
            <v>3.25</v>
          </cell>
          <cell r="AD306">
            <v>63228</v>
          </cell>
          <cell r="AE306">
            <v>2929695</v>
          </cell>
          <cell r="AF306">
            <v>0.44729999999999998</v>
          </cell>
          <cell r="AG306">
            <v>221</v>
          </cell>
          <cell r="AH306">
            <v>7871249</v>
          </cell>
          <cell r="AI306">
            <v>6073</v>
          </cell>
          <cell r="AJ306">
            <v>568</v>
          </cell>
          <cell r="AK306" t="str">
            <v>PACIFIC ST</v>
          </cell>
          <cell r="AL306" t="str">
            <v>SCHENECTADY AVE</v>
          </cell>
          <cell r="AM306" t="str">
            <v>DEAN ST</v>
          </cell>
          <cell r="AN306" t="str">
            <v>TROY AVE</v>
          </cell>
          <cell r="AO306" t="str">
            <v>BROOKLYN</v>
          </cell>
          <cell r="AP306">
            <v>8</v>
          </cell>
          <cell r="AQ306">
            <v>8</v>
          </cell>
          <cell r="AR306">
            <v>25</v>
          </cell>
          <cell r="AS306">
            <v>56</v>
          </cell>
          <cell r="AT306">
            <v>36</v>
          </cell>
          <cell r="AU306">
            <v>27149</v>
          </cell>
        </row>
        <row r="307">
          <cell r="B307" t="str">
            <v>WEST BRIGHTON I</v>
          </cell>
          <cell r="C307" t="str">
            <v>NY005010130</v>
          </cell>
          <cell r="D307">
            <v>116</v>
          </cell>
          <cell r="E307">
            <v>116</v>
          </cell>
          <cell r="F307">
            <v>242</v>
          </cell>
          <cell r="G307">
            <v>209</v>
          </cell>
          <cell r="H307" t="str">
            <v>NY005040</v>
          </cell>
          <cell r="I307" t="str">
            <v>FEDERAL</v>
          </cell>
          <cell r="J307" t="str">
            <v>CONVENTIONAL</v>
          </cell>
          <cell r="K307" t="str">
            <v>NEW CONST</v>
          </cell>
          <cell r="M307">
            <v>487</v>
          </cell>
          <cell r="N307">
            <v>490</v>
          </cell>
          <cell r="O307">
            <v>2338.5</v>
          </cell>
          <cell r="P307">
            <v>4.8</v>
          </cell>
          <cell r="R307">
            <v>1377</v>
          </cell>
          <cell r="S307">
            <v>1377</v>
          </cell>
          <cell r="T307">
            <v>135</v>
          </cell>
          <cell r="U307">
            <v>0.27800000000000002</v>
          </cell>
          <cell r="V307">
            <v>8</v>
          </cell>
          <cell r="W307">
            <v>1</v>
          </cell>
          <cell r="X307">
            <v>9</v>
          </cell>
          <cell r="Y307">
            <v>8</v>
          </cell>
          <cell r="Z307">
            <v>367961</v>
          </cell>
          <cell r="AA307">
            <v>8.4499999999999993</v>
          </cell>
          <cell r="AB307">
            <v>367961</v>
          </cell>
          <cell r="AC307">
            <v>8.4499999999999993</v>
          </cell>
          <cell r="AD307">
            <v>65839</v>
          </cell>
          <cell r="AE307">
            <v>4850947</v>
          </cell>
          <cell r="AF307">
            <v>0.1789</v>
          </cell>
          <cell r="AG307">
            <v>163</v>
          </cell>
          <cell r="AH307">
            <v>9893117</v>
          </cell>
          <cell r="AI307">
            <v>4204</v>
          </cell>
          <cell r="AJ307">
            <v>543</v>
          </cell>
          <cell r="AK307" t="str">
            <v>CASTLETON AVE</v>
          </cell>
          <cell r="AL307" t="str">
            <v>HENDERSON AVE</v>
          </cell>
          <cell r="AM307" t="str">
            <v>ALASKA ST</v>
          </cell>
          <cell r="AN307" t="str">
            <v>BROADWAY</v>
          </cell>
          <cell r="AO307" t="str">
            <v>STATEN ISLAND</v>
          </cell>
          <cell r="AP307">
            <v>1</v>
          </cell>
          <cell r="AQ307">
            <v>11</v>
          </cell>
          <cell r="AR307">
            <v>23</v>
          </cell>
          <cell r="AS307">
            <v>61</v>
          </cell>
          <cell r="AT307">
            <v>49</v>
          </cell>
          <cell r="AU307">
            <v>23011</v>
          </cell>
        </row>
        <row r="308">
          <cell r="B308" t="str">
            <v>WEST BRIGHTON II</v>
          </cell>
          <cell r="C308" t="str">
            <v>NY005010130</v>
          </cell>
          <cell r="D308">
            <v>175</v>
          </cell>
          <cell r="E308">
            <v>116</v>
          </cell>
          <cell r="F308">
            <v>242</v>
          </cell>
          <cell r="G308">
            <v>209</v>
          </cell>
          <cell r="H308" t="str">
            <v>NY005040</v>
          </cell>
          <cell r="I308" t="str">
            <v>FEDERAL</v>
          </cell>
          <cell r="J308" t="str">
            <v>CONVENTIONAL</v>
          </cell>
          <cell r="K308" t="str">
            <v>NEW CONST (ELD)</v>
          </cell>
          <cell r="M308">
            <v>120</v>
          </cell>
          <cell r="N308">
            <v>144</v>
          </cell>
          <cell r="O308">
            <v>382</v>
          </cell>
          <cell r="P308">
            <v>3.18</v>
          </cell>
          <cell r="R308">
            <v>99</v>
          </cell>
          <cell r="S308">
            <v>99</v>
          </cell>
          <cell r="T308">
            <v>74</v>
          </cell>
          <cell r="U308">
            <v>0.89200000000000002</v>
          </cell>
          <cell r="V308">
            <v>8</v>
          </cell>
          <cell r="W308">
            <v>0</v>
          </cell>
          <cell r="X308">
            <v>8</v>
          </cell>
          <cell r="Y308">
            <v>1</v>
          </cell>
          <cell r="Z308">
            <v>181770</v>
          </cell>
          <cell r="AA308">
            <v>4.17</v>
          </cell>
          <cell r="AB308">
            <v>181770</v>
          </cell>
          <cell r="AC308">
            <v>4.17</v>
          </cell>
          <cell r="AD308">
            <v>67228</v>
          </cell>
          <cell r="AE308">
            <v>758927</v>
          </cell>
          <cell r="AF308">
            <v>0.36990000000000001</v>
          </cell>
          <cell r="AG308">
            <v>24</v>
          </cell>
          <cell r="AH308">
            <v>2825000</v>
          </cell>
          <cell r="AI308">
            <v>6036</v>
          </cell>
          <cell r="AJ308">
            <v>339</v>
          </cell>
          <cell r="AK308" t="str">
            <v>CASTLETON AVE</v>
          </cell>
          <cell r="AL308" t="str">
            <v>ALASKA ST</v>
          </cell>
          <cell r="AM308" t="str">
            <v>BROADWAY</v>
          </cell>
          <cell r="AO308" t="str">
            <v>STATEN ISLAND</v>
          </cell>
          <cell r="AP308">
            <v>1</v>
          </cell>
          <cell r="AQ308">
            <v>11</v>
          </cell>
          <cell r="AR308">
            <v>23</v>
          </cell>
          <cell r="AS308">
            <v>61</v>
          </cell>
          <cell r="AT308">
            <v>49</v>
          </cell>
          <cell r="AU308">
            <v>24107</v>
          </cell>
          <cell r="AW308" t="str">
            <v>EXCLUSIVELY</v>
          </cell>
        </row>
        <row r="309">
          <cell r="B309" t="str">
            <v>WEST FARMS ROAD REHAB</v>
          </cell>
          <cell r="C309" t="str">
            <v>NY005015300</v>
          </cell>
          <cell r="D309">
            <v>360</v>
          </cell>
          <cell r="E309">
            <v>530</v>
          </cell>
          <cell r="F309">
            <v>780</v>
          </cell>
          <cell r="G309">
            <v>780</v>
          </cell>
          <cell r="H309" t="str">
            <v>NY005286</v>
          </cell>
          <cell r="I309" t="str">
            <v>FEDERAL</v>
          </cell>
          <cell r="J309" t="str">
            <v>TURNKEY</v>
          </cell>
          <cell r="K309" t="str">
            <v>REHAB</v>
          </cell>
          <cell r="M309">
            <v>208</v>
          </cell>
          <cell r="N309">
            <v>208</v>
          </cell>
          <cell r="O309">
            <v>883</v>
          </cell>
          <cell r="P309">
            <v>4.25</v>
          </cell>
          <cell r="R309">
            <v>437</v>
          </cell>
          <cell r="S309">
            <v>437</v>
          </cell>
          <cell r="T309">
            <v>68</v>
          </cell>
          <cell r="U309">
            <v>0.33</v>
          </cell>
          <cell r="V309">
            <v>4</v>
          </cell>
          <cell r="W309">
            <v>0</v>
          </cell>
          <cell r="X309">
            <v>7</v>
          </cell>
          <cell r="Y309">
            <v>6</v>
          </cell>
          <cell r="Z309">
            <v>51965</v>
          </cell>
          <cell r="AA309">
            <v>1.19</v>
          </cell>
          <cell r="AB309">
            <v>51965</v>
          </cell>
          <cell r="AC309">
            <v>1.19</v>
          </cell>
          <cell r="AD309">
            <v>34935</v>
          </cell>
          <cell r="AE309">
            <v>2104200</v>
          </cell>
          <cell r="AF309">
            <v>0.67230000000000001</v>
          </cell>
          <cell r="AG309">
            <v>367</v>
          </cell>
          <cell r="AH309">
            <v>14480678</v>
          </cell>
          <cell r="AI309">
            <v>16399</v>
          </cell>
          <cell r="AJ309">
            <v>570</v>
          </cell>
          <cell r="AK309" t="str">
            <v>FREEMAN ST</v>
          </cell>
          <cell r="AL309" t="str">
            <v>JENNINGS ST</v>
          </cell>
          <cell r="AM309" t="str">
            <v>WEST FARMS RD</v>
          </cell>
          <cell r="AN309" t="str">
            <v>LONGFELLOW AVE</v>
          </cell>
          <cell r="AO309" t="str">
            <v>BRONX</v>
          </cell>
          <cell r="AP309" t="str">
            <v>2, 3</v>
          </cell>
          <cell r="AQ309">
            <v>15</v>
          </cell>
          <cell r="AR309">
            <v>32</v>
          </cell>
          <cell r="AS309">
            <v>85</v>
          </cell>
          <cell r="AT309">
            <v>17</v>
          </cell>
          <cell r="AU309">
            <v>31637</v>
          </cell>
          <cell r="AX309" t="str">
            <v>YES</v>
          </cell>
          <cell r="AY309" t="str">
            <v>YES</v>
          </cell>
        </row>
        <row r="310">
          <cell r="B310" t="str">
            <v>WEST FARMS SQUARE CONVENTIONAL</v>
          </cell>
          <cell r="C310" t="str">
            <v>NY005015310</v>
          </cell>
          <cell r="D310">
            <v>526</v>
          </cell>
          <cell r="E310">
            <v>530</v>
          </cell>
          <cell r="F310">
            <v>481</v>
          </cell>
          <cell r="G310">
            <v>482</v>
          </cell>
          <cell r="H310" t="str">
            <v>NY005318</v>
          </cell>
          <cell r="I310" t="str">
            <v>FEDERAL</v>
          </cell>
          <cell r="J310" t="str">
            <v>CONVENTIONAL</v>
          </cell>
          <cell r="K310" t="str">
            <v>REHAB</v>
          </cell>
          <cell r="M310">
            <v>20</v>
          </cell>
          <cell r="N310">
            <v>20</v>
          </cell>
          <cell r="O310">
            <v>85</v>
          </cell>
          <cell r="P310">
            <v>4.25</v>
          </cell>
          <cell r="R310">
            <v>50</v>
          </cell>
          <cell r="S310">
            <v>50</v>
          </cell>
          <cell r="T310">
            <v>2</v>
          </cell>
          <cell r="U310">
            <v>0.1</v>
          </cell>
          <cell r="V310">
            <v>1</v>
          </cell>
          <cell r="W310">
            <v>0</v>
          </cell>
          <cell r="X310">
            <v>1</v>
          </cell>
          <cell r="Y310">
            <v>5</v>
          </cell>
          <cell r="Z310">
            <v>5000</v>
          </cell>
          <cell r="AA310">
            <v>0.11</v>
          </cell>
          <cell r="AB310">
            <v>5000</v>
          </cell>
          <cell r="AC310">
            <v>0.11</v>
          </cell>
          <cell r="AD310">
            <v>3363</v>
          </cell>
          <cell r="AE310">
            <v>202892</v>
          </cell>
          <cell r="AF310">
            <v>0.67259999999999998</v>
          </cell>
          <cell r="AG310">
            <v>455</v>
          </cell>
          <cell r="AH310">
            <v>1558811</v>
          </cell>
          <cell r="AI310">
            <v>18339</v>
          </cell>
          <cell r="AJ310">
            <v>576</v>
          </cell>
          <cell r="AK310" t="str">
            <v>E 167TH ST</v>
          </cell>
          <cell r="AL310" t="str">
            <v>LONGFELLOW AVE</v>
          </cell>
          <cell r="AM310" t="str">
            <v>WEST FARMS RD</v>
          </cell>
          <cell r="AO310" t="str">
            <v>BRONX</v>
          </cell>
          <cell r="AP310">
            <v>3</v>
          </cell>
          <cell r="AQ310">
            <v>15</v>
          </cell>
          <cell r="AR310">
            <v>32</v>
          </cell>
          <cell r="AS310">
            <v>85</v>
          </cell>
          <cell r="AT310">
            <v>17</v>
          </cell>
          <cell r="AU310">
            <v>34515</v>
          </cell>
          <cell r="AX310" t="str">
            <v>YES</v>
          </cell>
          <cell r="AY310" t="str">
            <v>YES</v>
          </cell>
        </row>
        <row r="311">
          <cell r="B311" t="str">
            <v>WEST TREMONT AVENUE-SEDGWICK AVENUE AREA</v>
          </cell>
          <cell r="C311" t="str">
            <v>NY005010450</v>
          </cell>
          <cell r="D311">
            <v>246</v>
          </cell>
          <cell r="E311">
            <v>45</v>
          </cell>
          <cell r="F311">
            <v>365</v>
          </cell>
          <cell r="G311">
            <v>368</v>
          </cell>
          <cell r="H311" t="str">
            <v>NY005180</v>
          </cell>
          <cell r="I311" t="str">
            <v>FEDERAL</v>
          </cell>
          <cell r="J311" t="str">
            <v>TURNKEY</v>
          </cell>
          <cell r="K311" t="str">
            <v>NEW CONST (ELD)</v>
          </cell>
          <cell r="M311">
            <v>148</v>
          </cell>
          <cell r="N311">
            <v>148</v>
          </cell>
          <cell r="O311">
            <v>485</v>
          </cell>
          <cell r="P311">
            <v>3.28</v>
          </cell>
          <cell r="R311">
            <v>159</v>
          </cell>
          <cell r="S311">
            <v>159</v>
          </cell>
          <cell r="T311">
            <v>130</v>
          </cell>
          <cell r="U311">
            <v>0.89700000000000002</v>
          </cell>
          <cell r="V311">
            <v>1</v>
          </cell>
          <cell r="W311">
            <v>0</v>
          </cell>
          <cell r="X311">
            <v>1</v>
          </cell>
          <cell r="Y311">
            <v>12</v>
          </cell>
          <cell r="Z311">
            <v>36563</v>
          </cell>
          <cell r="AA311">
            <v>0.84</v>
          </cell>
          <cell r="AB311">
            <v>36563</v>
          </cell>
          <cell r="AC311">
            <v>0.84</v>
          </cell>
          <cell r="AD311">
            <v>9609</v>
          </cell>
          <cell r="AE311">
            <v>982251</v>
          </cell>
          <cell r="AF311">
            <v>0.26279999999999998</v>
          </cell>
          <cell r="AG311">
            <v>189</v>
          </cell>
          <cell r="AH311">
            <v>4380000</v>
          </cell>
          <cell r="AI311">
            <v>8734</v>
          </cell>
          <cell r="AJ311">
            <v>272</v>
          </cell>
          <cell r="AK311" t="str">
            <v>W TREMONT AVE</v>
          </cell>
          <cell r="AL311" t="str">
            <v>MONTGOMERY AVE</v>
          </cell>
          <cell r="AM311" t="str">
            <v>PALISADE PL</v>
          </cell>
          <cell r="AN311" t="str">
            <v>SEDGWICK AVE</v>
          </cell>
          <cell r="AO311" t="str">
            <v>BRONX</v>
          </cell>
          <cell r="AP311">
            <v>5</v>
          </cell>
          <cell r="AQ311">
            <v>15</v>
          </cell>
          <cell r="AR311">
            <v>29</v>
          </cell>
          <cell r="AS311">
            <v>77</v>
          </cell>
          <cell r="AT311">
            <v>14</v>
          </cell>
          <cell r="AU311">
            <v>26876</v>
          </cell>
          <cell r="AW311" t="str">
            <v>EXCLUSIVELY</v>
          </cell>
        </row>
        <row r="312">
          <cell r="B312" t="str">
            <v>WHITE</v>
          </cell>
          <cell r="C312" t="str">
            <v>NY005010090</v>
          </cell>
          <cell r="D312">
            <v>124</v>
          </cell>
          <cell r="E312">
            <v>112</v>
          </cell>
          <cell r="F312">
            <v>572</v>
          </cell>
          <cell r="G312">
            <v>539</v>
          </cell>
          <cell r="H312" t="str">
            <v>NY005244E</v>
          </cell>
          <cell r="I312" t="str">
            <v>FEDERAL</v>
          </cell>
          <cell r="J312" t="str">
            <v>CONVENTIONAL</v>
          </cell>
          <cell r="K312" t="str">
            <v>NEW CONST (ELD)</v>
          </cell>
          <cell r="M312">
            <v>246</v>
          </cell>
          <cell r="N312">
            <v>248</v>
          </cell>
          <cell r="O312">
            <v>733</v>
          </cell>
          <cell r="P312">
            <v>2.98</v>
          </cell>
          <cell r="R312">
            <v>270</v>
          </cell>
          <cell r="S312">
            <v>270</v>
          </cell>
          <cell r="T312">
            <v>220</v>
          </cell>
          <cell r="U312">
            <v>0.89800000000000002</v>
          </cell>
          <cell r="V312">
            <v>1</v>
          </cell>
          <cell r="W312">
            <v>0</v>
          </cell>
          <cell r="X312">
            <v>1</v>
          </cell>
          <cell r="Y312">
            <v>20</v>
          </cell>
          <cell r="Z312">
            <v>35321</v>
          </cell>
          <cell r="AA312">
            <v>0.81</v>
          </cell>
          <cell r="AB312">
            <v>35321</v>
          </cell>
          <cell r="AC312">
            <v>0.81</v>
          </cell>
          <cell r="AD312">
            <v>23400</v>
          </cell>
          <cell r="AE312">
            <v>1778327</v>
          </cell>
          <cell r="AF312">
            <v>0.66249999999999998</v>
          </cell>
          <cell r="AG312">
            <v>333</v>
          </cell>
          <cell r="AH312">
            <v>4305000</v>
          </cell>
          <cell r="AI312">
            <v>5794</v>
          </cell>
          <cell r="AJ312">
            <v>304</v>
          </cell>
          <cell r="AK312" t="str">
            <v>E 104TH ST</v>
          </cell>
          <cell r="AL312" t="str">
            <v>SECOND AVE</v>
          </cell>
          <cell r="AO312" t="str">
            <v>MANHATTAN</v>
          </cell>
          <cell r="AP312">
            <v>11</v>
          </cell>
          <cell r="AQ312">
            <v>13</v>
          </cell>
          <cell r="AR312">
            <v>29</v>
          </cell>
          <cell r="AS312">
            <v>68</v>
          </cell>
          <cell r="AT312">
            <v>8</v>
          </cell>
          <cell r="AU312">
            <v>23650</v>
          </cell>
          <cell r="AV312" t="str">
            <v>1979/08/01-ATP 4</v>
          </cell>
          <cell r="AW312" t="str">
            <v>EXCLUSIVELY</v>
          </cell>
        </row>
        <row r="313">
          <cell r="B313" t="str">
            <v>WHITMAN</v>
          </cell>
          <cell r="C313" t="str">
            <v>NY005005140</v>
          </cell>
          <cell r="D313">
            <v>514</v>
          </cell>
          <cell r="E313">
            <v>514</v>
          </cell>
          <cell r="F313">
            <v>509</v>
          </cell>
          <cell r="G313">
            <v>509</v>
          </cell>
          <cell r="H313" t="str">
            <v>NY005213A</v>
          </cell>
          <cell r="I313" t="str">
            <v>FEDERAL</v>
          </cell>
          <cell r="J313" t="str">
            <v>CONVENTIONAL</v>
          </cell>
          <cell r="K313" t="str">
            <v>NEW CONST</v>
          </cell>
          <cell r="M313">
            <v>1651</v>
          </cell>
          <cell r="N313">
            <v>1659</v>
          </cell>
          <cell r="O313">
            <v>7833.5</v>
          </cell>
          <cell r="P313">
            <v>4.74</v>
          </cell>
          <cell r="R313">
            <v>3866</v>
          </cell>
          <cell r="S313">
            <v>3866</v>
          </cell>
          <cell r="T313">
            <v>554</v>
          </cell>
          <cell r="U313">
            <v>0.34200000000000003</v>
          </cell>
          <cell r="V313">
            <v>15</v>
          </cell>
          <cell r="W313">
            <v>3</v>
          </cell>
          <cell r="X313">
            <v>48</v>
          </cell>
          <cell r="Y313">
            <v>43629</v>
          </cell>
          <cell r="Z313">
            <v>803058</v>
          </cell>
          <cell r="AA313">
            <v>18.440000000000001</v>
          </cell>
          <cell r="AB313">
            <v>744421</v>
          </cell>
          <cell r="AC313">
            <v>17.09</v>
          </cell>
          <cell r="AD313">
            <v>156524</v>
          </cell>
          <cell r="AE313">
            <v>9769048</v>
          </cell>
          <cell r="AF313">
            <v>0.19489999999999999</v>
          </cell>
          <cell r="AG313">
            <v>210</v>
          </cell>
          <cell r="AH313">
            <v>10341328</v>
          </cell>
          <cell r="AI313">
            <v>1655</v>
          </cell>
          <cell r="AJ313">
            <v>556</v>
          </cell>
          <cell r="AK313" t="str">
            <v>PARK AVE</v>
          </cell>
          <cell r="AL313" t="str">
            <v>CARLTON AVE</v>
          </cell>
          <cell r="AM313" t="str">
            <v>MYRTLE AVE</v>
          </cell>
          <cell r="AN313" t="str">
            <v>SAINT EDWARDS ST</v>
          </cell>
          <cell r="AO313" t="str">
            <v>BROOKLYN</v>
          </cell>
          <cell r="AP313">
            <v>2</v>
          </cell>
          <cell r="AQ313">
            <v>8</v>
          </cell>
          <cell r="AR313">
            <v>25</v>
          </cell>
          <cell r="AS313">
            <v>57</v>
          </cell>
          <cell r="AT313">
            <v>35</v>
          </cell>
          <cell r="AU313">
            <v>16126</v>
          </cell>
          <cell r="AV313" t="str">
            <v>1977/07/01-ATP 1</v>
          </cell>
        </row>
        <row r="314">
          <cell r="B314" t="str">
            <v>WILLIAMS PLAZA</v>
          </cell>
          <cell r="C314" t="str">
            <v>NY005021280</v>
          </cell>
          <cell r="D314">
            <v>128</v>
          </cell>
          <cell r="E314">
            <v>128</v>
          </cell>
          <cell r="F314">
            <v>443</v>
          </cell>
          <cell r="G314">
            <v>443</v>
          </cell>
          <cell r="H314" t="str">
            <v>NY005385</v>
          </cell>
          <cell r="I314" t="str">
            <v>MIXED FINANCE/LLC2</v>
          </cell>
          <cell r="J314" t="str">
            <v>CONVENTIONAL</v>
          </cell>
          <cell r="K314" t="str">
            <v>NEW CONST</v>
          </cell>
          <cell r="L314">
            <v>109</v>
          </cell>
          <cell r="M314">
            <v>577</v>
          </cell>
          <cell r="N314">
            <v>577</v>
          </cell>
          <cell r="O314">
            <v>2652.5</v>
          </cell>
          <cell r="P314">
            <v>4.5999999999999996</v>
          </cell>
          <cell r="Q314">
            <v>259</v>
          </cell>
          <cell r="R314">
            <v>1031</v>
          </cell>
          <cell r="S314">
            <v>1290</v>
          </cell>
          <cell r="T314">
            <v>287</v>
          </cell>
          <cell r="U314">
            <v>0.503</v>
          </cell>
          <cell r="V314">
            <v>5</v>
          </cell>
          <cell r="W314">
            <v>0</v>
          </cell>
          <cell r="X314">
            <v>5</v>
          </cell>
          <cell r="Y314" t="str">
            <v>14-21</v>
          </cell>
          <cell r="Z314">
            <v>242859</v>
          </cell>
          <cell r="AA314">
            <v>5.58</v>
          </cell>
          <cell r="AB314">
            <v>242859</v>
          </cell>
          <cell r="AC314">
            <v>5.58</v>
          </cell>
          <cell r="AD314">
            <v>39895</v>
          </cell>
          <cell r="AE314">
            <v>5239694</v>
          </cell>
          <cell r="AF314">
            <v>0.1643</v>
          </cell>
          <cell r="AG314">
            <v>231</v>
          </cell>
          <cell r="AH314">
            <v>11631000</v>
          </cell>
          <cell r="AI314">
            <v>4390</v>
          </cell>
          <cell r="AJ314">
            <v>469</v>
          </cell>
          <cell r="AK314" t="str">
            <v>ROEBLING ST</v>
          </cell>
          <cell r="AL314" t="str">
            <v>BROADWAY</v>
          </cell>
          <cell r="AM314" t="str">
            <v>DIVISION AVE</v>
          </cell>
          <cell r="AN314" t="str">
            <v>MARCY AVE</v>
          </cell>
          <cell r="AO314" t="str">
            <v>BROOKLYN</v>
          </cell>
          <cell r="AP314">
            <v>1</v>
          </cell>
          <cell r="AQ314">
            <v>7</v>
          </cell>
          <cell r="AR314">
            <v>18</v>
          </cell>
          <cell r="AS314">
            <v>50</v>
          </cell>
          <cell r="AT314">
            <v>33</v>
          </cell>
          <cell r="AU314">
            <v>23497</v>
          </cell>
        </row>
        <row r="315">
          <cell r="B315" t="str">
            <v>WILLIAMSBURG</v>
          </cell>
          <cell r="C315" t="str">
            <v>NY005000020</v>
          </cell>
          <cell r="D315">
            <v>2</v>
          </cell>
          <cell r="E315">
            <v>2</v>
          </cell>
          <cell r="F315">
            <v>200</v>
          </cell>
          <cell r="G315">
            <v>200</v>
          </cell>
          <cell r="H315" t="str">
            <v>NY005041</v>
          </cell>
          <cell r="I315" t="str">
            <v>FEDERAL</v>
          </cell>
          <cell r="J315" t="str">
            <v>CONVENTIONAL</v>
          </cell>
          <cell r="K315" t="str">
            <v>NEW CONST</v>
          </cell>
          <cell r="M315">
            <v>1627</v>
          </cell>
          <cell r="N315">
            <v>1630</v>
          </cell>
          <cell r="O315">
            <v>6528.5</v>
          </cell>
          <cell r="P315">
            <v>4.01</v>
          </cell>
          <cell r="R315">
            <v>3025</v>
          </cell>
          <cell r="S315">
            <v>3025</v>
          </cell>
          <cell r="T315">
            <v>770</v>
          </cell>
          <cell r="U315">
            <v>0.48299999999999998</v>
          </cell>
          <cell r="V315">
            <v>20</v>
          </cell>
          <cell r="W315">
            <v>1</v>
          </cell>
          <cell r="X315">
            <v>137</v>
          </cell>
          <cell r="Y315">
            <v>4</v>
          </cell>
          <cell r="Z315">
            <v>1016895</v>
          </cell>
          <cell r="AA315">
            <v>23.34</v>
          </cell>
          <cell r="AB315">
            <v>927103</v>
          </cell>
          <cell r="AC315">
            <v>21.28</v>
          </cell>
          <cell r="AD315">
            <v>326716</v>
          </cell>
          <cell r="AE315">
            <v>14056383</v>
          </cell>
          <cell r="AF315">
            <v>0.32129999999999997</v>
          </cell>
          <cell r="AG315">
            <v>130</v>
          </cell>
          <cell r="AH315">
            <v>13063992</v>
          </cell>
          <cell r="AI315">
            <v>2266</v>
          </cell>
          <cell r="AJ315">
            <v>512</v>
          </cell>
          <cell r="AK315" t="str">
            <v>LEONARD ST</v>
          </cell>
          <cell r="AL315" t="str">
            <v>BUSHWICK AVE</v>
          </cell>
          <cell r="AM315" t="str">
            <v>MAUJER ST</v>
          </cell>
          <cell r="AN315" t="str">
            <v>SCHOLES ST</v>
          </cell>
          <cell r="AO315" t="str">
            <v>BROOKLYN</v>
          </cell>
          <cell r="AP315">
            <v>1</v>
          </cell>
          <cell r="AQ315">
            <v>7</v>
          </cell>
          <cell r="AR315">
            <v>18</v>
          </cell>
          <cell r="AS315">
            <v>53</v>
          </cell>
          <cell r="AT315">
            <v>34</v>
          </cell>
          <cell r="AU315">
            <v>13980</v>
          </cell>
        </row>
        <row r="316">
          <cell r="B316" t="str">
            <v>WILSON</v>
          </cell>
          <cell r="C316" t="str">
            <v>NY005010090</v>
          </cell>
          <cell r="D316">
            <v>112</v>
          </cell>
          <cell r="E316">
            <v>112</v>
          </cell>
          <cell r="F316">
            <v>539</v>
          </cell>
          <cell r="G316">
            <v>539</v>
          </cell>
          <cell r="H316" t="str">
            <v>NY005220J</v>
          </cell>
          <cell r="I316" t="str">
            <v>FEDERAL</v>
          </cell>
          <cell r="J316" t="str">
            <v>CONVENTIONAL</v>
          </cell>
          <cell r="K316" t="str">
            <v>NEW CONST</v>
          </cell>
          <cell r="M316">
            <v>398</v>
          </cell>
          <cell r="N316">
            <v>398</v>
          </cell>
          <cell r="O316">
            <v>2225</v>
          </cell>
          <cell r="P316">
            <v>5.59</v>
          </cell>
          <cell r="R316">
            <v>1250</v>
          </cell>
          <cell r="S316">
            <v>1250</v>
          </cell>
          <cell r="T316">
            <v>104</v>
          </cell>
          <cell r="U316">
            <v>0.26700000000000002</v>
          </cell>
          <cell r="V316">
            <v>3</v>
          </cell>
          <cell r="W316">
            <v>0</v>
          </cell>
          <cell r="X316">
            <v>3</v>
          </cell>
          <cell r="Y316">
            <v>20</v>
          </cell>
          <cell r="Z316">
            <v>133188</v>
          </cell>
          <cell r="AA316">
            <v>3.06</v>
          </cell>
          <cell r="AB316">
            <v>133188</v>
          </cell>
          <cell r="AC316">
            <v>3.06</v>
          </cell>
          <cell r="AD316">
            <v>22499</v>
          </cell>
          <cell r="AE316">
            <v>3961200</v>
          </cell>
          <cell r="AF316">
            <v>0.16889999999999999</v>
          </cell>
          <cell r="AG316">
            <v>408</v>
          </cell>
          <cell r="AH316">
            <v>7162000</v>
          </cell>
          <cell r="AI316">
            <v>3219</v>
          </cell>
          <cell r="AJ316">
            <v>645</v>
          </cell>
          <cell r="AK316" t="str">
            <v>FDR DRIVE</v>
          </cell>
          <cell r="AL316" t="str">
            <v>E 105TH ST</v>
          </cell>
          <cell r="AM316" t="str">
            <v>FIRST AVE</v>
          </cell>
          <cell r="AN316" t="str">
            <v>E 106TH ST</v>
          </cell>
          <cell r="AO316" t="str">
            <v>MANHATTAN</v>
          </cell>
          <cell r="AP316">
            <v>11</v>
          </cell>
          <cell r="AQ316">
            <v>13</v>
          </cell>
          <cell r="AR316">
            <v>30</v>
          </cell>
          <cell r="AS316">
            <v>68</v>
          </cell>
          <cell r="AT316">
            <v>8</v>
          </cell>
          <cell r="AU316">
            <v>22462</v>
          </cell>
          <cell r="AV316" t="str">
            <v>1978/07/01-ATP 3</v>
          </cell>
        </row>
        <row r="317">
          <cell r="B317" t="str">
            <v>WISE TOWERS</v>
          </cell>
          <cell r="C317" t="str">
            <v>NY005021270</v>
          </cell>
          <cell r="D317">
            <v>127</v>
          </cell>
          <cell r="E317">
            <v>127</v>
          </cell>
          <cell r="F317">
            <v>445</v>
          </cell>
          <cell r="G317">
            <v>445</v>
          </cell>
          <cell r="H317" t="str">
            <v>NY005386</v>
          </cell>
          <cell r="I317" t="str">
            <v>MIXED FINANCE/LLC2</v>
          </cell>
          <cell r="J317" t="str">
            <v>CONVENTIONAL</v>
          </cell>
          <cell r="K317" t="str">
            <v>NEW CONST</v>
          </cell>
          <cell r="L317">
            <v>104</v>
          </cell>
          <cell r="M317">
            <v>397</v>
          </cell>
          <cell r="N317">
            <v>399</v>
          </cell>
          <cell r="O317">
            <v>1739.5</v>
          </cell>
          <cell r="P317">
            <v>4.38</v>
          </cell>
          <cell r="Q317">
            <v>227</v>
          </cell>
          <cell r="R317">
            <v>523</v>
          </cell>
          <cell r="S317">
            <v>750</v>
          </cell>
          <cell r="T317">
            <v>168</v>
          </cell>
          <cell r="U317">
            <v>0.438</v>
          </cell>
          <cell r="V317">
            <v>2</v>
          </cell>
          <cell r="W317">
            <v>1</v>
          </cell>
          <cell r="X317">
            <v>5</v>
          </cell>
          <cell r="Y317">
            <v>19</v>
          </cell>
          <cell r="Z317">
            <v>100247</v>
          </cell>
          <cell r="AA317">
            <v>2.2999999999999998</v>
          </cell>
          <cell r="AB317">
            <v>100247</v>
          </cell>
          <cell r="AC317">
            <v>2.2999999999999998</v>
          </cell>
          <cell r="AD317">
            <v>34702</v>
          </cell>
          <cell r="AE317">
            <v>3685586</v>
          </cell>
          <cell r="AF317">
            <v>0.34620000000000001</v>
          </cell>
          <cell r="AG317">
            <v>326</v>
          </cell>
          <cell r="AH317">
            <v>7774000</v>
          </cell>
          <cell r="AI317">
            <v>4441</v>
          </cell>
          <cell r="AJ317">
            <v>555</v>
          </cell>
          <cell r="AK317" t="str">
            <v>W 90TH ST</v>
          </cell>
          <cell r="AL317" t="str">
            <v>W 91ST ST</v>
          </cell>
          <cell r="AM317" t="str">
            <v>COLUMBUS AVE</v>
          </cell>
          <cell r="AN317" t="str">
            <v>AMSTERDAM AVE</v>
          </cell>
          <cell r="AO317" t="str">
            <v>MANHATTAN</v>
          </cell>
          <cell r="AP317">
            <v>7</v>
          </cell>
          <cell r="AQ317">
            <v>10</v>
          </cell>
          <cell r="AR317">
            <v>30</v>
          </cell>
          <cell r="AS317">
            <v>69</v>
          </cell>
          <cell r="AT317">
            <v>6</v>
          </cell>
          <cell r="AU317">
            <v>23773</v>
          </cell>
        </row>
        <row r="318">
          <cell r="B318" t="str">
            <v>WOODSIDE</v>
          </cell>
          <cell r="C318" t="str">
            <v>NY005000330</v>
          </cell>
          <cell r="D318">
            <v>33</v>
          </cell>
          <cell r="E318">
            <v>33</v>
          </cell>
          <cell r="F318">
            <v>316</v>
          </cell>
          <cell r="G318">
            <v>316</v>
          </cell>
          <cell r="H318" t="str">
            <v>NY005114D</v>
          </cell>
          <cell r="I318" t="str">
            <v>FEDERAL</v>
          </cell>
          <cell r="J318" t="str">
            <v>CONVENTIONAL</v>
          </cell>
          <cell r="K318" t="str">
            <v>NEW CONST</v>
          </cell>
          <cell r="M318">
            <v>1355</v>
          </cell>
          <cell r="N318">
            <v>1357</v>
          </cell>
          <cell r="O318">
            <v>6321.5</v>
          </cell>
          <cell r="P318">
            <v>4.67</v>
          </cell>
          <cell r="R318">
            <v>2858</v>
          </cell>
          <cell r="S318">
            <v>2858</v>
          </cell>
          <cell r="T318">
            <v>537</v>
          </cell>
          <cell r="U318">
            <v>0.40200000000000002</v>
          </cell>
          <cell r="V318">
            <v>20</v>
          </cell>
          <cell r="W318">
            <v>0</v>
          </cell>
          <cell r="X318">
            <v>55</v>
          </cell>
          <cell r="Y318">
            <v>6</v>
          </cell>
          <cell r="Z318">
            <v>971398</v>
          </cell>
          <cell r="AA318">
            <v>22.3</v>
          </cell>
          <cell r="AB318">
            <v>971398</v>
          </cell>
          <cell r="AC318">
            <v>22.3</v>
          </cell>
          <cell r="AD318">
            <v>186009</v>
          </cell>
          <cell r="AE318">
            <v>10715226</v>
          </cell>
          <cell r="AF318">
            <v>0.1915</v>
          </cell>
          <cell r="AG318">
            <v>128</v>
          </cell>
          <cell r="AH318">
            <v>13777000</v>
          </cell>
          <cell r="AI318">
            <v>2251</v>
          </cell>
          <cell r="AJ318">
            <v>594</v>
          </cell>
          <cell r="AK318" t="str">
            <v>49TH ST</v>
          </cell>
          <cell r="AL318" t="str">
            <v>51ST ST</v>
          </cell>
          <cell r="AM318" t="str">
            <v>31ST AVE</v>
          </cell>
          <cell r="AN318" t="str">
            <v>NEWTOWN RD</v>
          </cell>
          <cell r="AO318" t="str">
            <v>QUEENS</v>
          </cell>
          <cell r="AP318">
            <v>1</v>
          </cell>
          <cell r="AQ318">
            <v>14</v>
          </cell>
          <cell r="AR318">
            <v>13</v>
          </cell>
          <cell r="AS318">
            <v>30</v>
          </cell>
          <cell r="AT318">
            <v>26</v>
          </cell>
          <cell r="AU318">
            <v>18262</v>
          </cell>
          <cell r="AV318" t="str">
            <v>1968/08/29-FED TRAN</v>
          </cell>
        </row>
        <row r="319">
          <cell r="B319" t="str">
            <v>WOODSON</v>
          </cell>
          <cell r="C319" t="str">
            <v>NY005011680</v>
          </cell>
          <cell r="D319">
            <v>182</v>
          </cell>
          <cell r="E319">
            <v>182</v>
          </cell>
          <cell r="F319">
            <v>285</v>
          </cell>
          <cell r="G319">
            <v>257</v>
          </cell>
          <cell r="H319" t="str">
            <v>NY005084</v>
          </cell>
          <cell r="I319" t="str">
            <v>FEDERAL</v>
          </cell>
          <cell r="J319" t="str">
            <v>CONVENTIONAL</v>
          </cell>
          <cell r="K319" t="str">
            <v>NEW CONST (ELD)</v>
          </cell>
          <cell r="M319">
            <v>407</v>
          </cell>
          <cell r="N319">
            <v>407</v>
          </cell>
          <cell r="O319">
            <v>1419.5</v>
          </cell>
          <cell r="P319">
            <v>3.49</v>
          </cell>
          <cell r="R319">
            <v>449</v>
          </cell>
          <cell r="S319">
            <v>449</v>
          </cell>
          <cell r="T319">
            <v>359</v>
          </cell>
          <cell r="U319">
            <v>0.88600000000000001</v>
          </cell>
          <cell r="V319">
            <v>2</v>
          </cell>
          <cell r="W319">
            <v>0</v>
          </cell>
          <cell r="X319">
            <v>2</v>
          </cell>
          <cell r="Y319">
            <v>43763</v>
          </cell>
          <cell r="Z319">
            <v>140000</v>
          </cell>
          <cell r="AA319">
            <v>3.21</v>
          </cell>
          <cell r="AB319">
            <v>100000</v>
          </cell>
          <cell r="AC319">
            <v>2.2999999999999998</v>
          </cell>
          <cell r="AD319">
            <v>24456</v>
          </cell>
          <cell r="AE319">
            <v>2792393</v>
          </cell>
          <cell r="AF319">
            <v>0.17469999999999999</v>
          </cell>
          <cell r="AG319">
            <v>140</v>
          </cell>
          <cell r="AH319">
            <v>8225987</v>
          </cell>
          <cell r="AI319">
            <v>5785</v>
          </cell>
          <cell r="AJ319">
            <v>342</v>
          </cell>
          <cell r="AK319" t="str">
            <v>BLAKE AVE</v>
          </cell>
          <cell r="AL319" t="str">
            <v>LIVONIA AVE</v>
          </cell>
          <cell r="AM319" t="str">
            <v>POWELL ST</v>
          </cell>
          <cell r="AN319" t="str">
            <v>JUNIUS ST</v>
          </cell>
          <cell r="AO319" t="str">
            <v>BROOKLYN</v>
          </cell>
          <cell r="AP319">
            <v>16</v>
          </cell>
          <cell r="AQ319">
            <v>8</v>
          </cell>
          <cell r="AR319">
            <v>19</v>
          </cell>
          <cell r="AS319">
            <v>55</v>
          </cell>
          <cell r="AT319">
            <v>42</v>
          </cell>
          <cell r="AU319">
            <v>25811</v>
          </cell>
          <cell r="AW319" t="str">
            <v>EXCLUSIVELY</v>
          </cell>
        </row>
        <row r="320">
          <cell r="B320" t="str">
            <v>WSUR (BROWNSTONES)</v>
          </cell>
          <cell r="C320" t="str">
            <v>NY005011270</v>
          </cell>
          <cell r="D320">
            <v>178</v>
          </cell>
          <cell r="E320">
            <v>127</v>
          </cell>
          <cell r="F320">
            <v>279</v>
          </cell>
          <cell r="G320">
            <v>259</v>
          </cell>
          <cell r="H320" t="str">
            <v>NY005052K</v>
          </cell>
          <cell r="I320" t="str">
            <v>FEDERAL</v>
          </cell>
          <cell r="J320" t="str">
            <v>CONVENTIONAL</v>
          </cell>
          <cell r="K320" t="str">
            <v>REHAB</v>
          </cell>
          <cell r="M320">
            <v>236</v>
          </cell>
          <cell r="N320">
            <v>236</v>
          </cell>
          <cell r="O320">
            <v>784</v>
          </cell>
          <cell r="P320">
            <v>3.32</v>
          </cell>
          <cell r="R320">
            <v>329</v>
          </cell>
          <cell r="S320">
            <v>329</v>
          </cell>
          <cell r="T320">
            <v>103</v>
          </cell>
          <cell r="U320">
            <v>0.45</v>
          </cell>
          <cell r="V320">
            <v>36</v>
          </cell>
          <cell r="W320">
            <v>0</v>
          </cell>
          <cell r="X320">
            <v>36</v>
          </cell>
          <cell r="Y320">
            <v>38780</v>
          </cell>
          <cell r="Z320">
            <v>67637</v>
          </cell>
          <cell r="AA320">
            <v>1.55</v>
          </cell>
          <cell r="AB320">
            <v>67637</v>
          </cell>
          <cell r="AC320">
            <v>1.55</v>
          </cell>
          <cell r="AD320">
            <v>41422</v>
          </cell>
          <cell r="AE320">
            <v>2308080</v>
          </cell>
          <cell r="AF320">
            <v>0.61240000000000006</v>
          </cell>
          <cell r="AG320">
            <v>212</v>
          </cell>
          <cell r="AH320">
            <v>4190975</v>
          </cell>
          <cell r="AI320">
            <v>4936</v>
          </cell>
          <cell r="AJ320">
            <v>501</v>
          </cell>
          <cell r="AK320" t="str">
            <v>W 89TH &amp; 90TH STS</v>
          </cell>
          <cell r="AL320" t="str">
            <v>91ST &amp; 93RD STS</v>
          </cell>
          <cell r="AM320" t="str">
            <v>COLUMBUS AVE</v>
          </cell>
          <cell r="AN320" t="str">
            <v>CENTRAL PARK WEST</v>
          </cell>
          <cell r="AO320" t="str">
            <v>MANHATTAN</v>
          </cell>
          <cell r="AP320">
            <v>7</v>
          </cell>
          <cell r="AQ320">
            <v>10</v>
          </cell>
          <cell r="AR320">
            <v>30</v>
          </cell>
          <cell r="AS320">
            <v>69</v>
          </cell>
          <cell r="AT320">
            <v>6</v>
          </cell>
          <cell r="AU320">
            <v>25019</v>
          </cell>
        </row>
        <row r="321">
          <cell r="B321" t="str">
            <v>WSUR (SITE A) 120 WEST 94TH STREET</v>
          </cell>
          <cell r="C321" t="str">
            <v>NY005011270</v>
          </cell>
          <cell r="D321">
            <v>151</v>
          </cell>
          <cell r="E321">
            <v>127</v>
          </cell>
          <cell r="F321">
            <v>259</v>
          </cell>
          <cell r="G321">
            <v>259</v>
          </cell>
          <cell r="H321" t="str">
            <v>NY005056</v>
          </cell>
          <cell r="I321" t="str">
            <v>FEDERAL</v>
          </cell>
          <cell r="J321" t="str">
            <v>CONVENTIONAL</v>
          </cell>
          <cell r="K321" t="str">
            <v>NEW CONST</v>
          </cell>
          <cell r="M321">
            <v>69</v>
          </cell>
          <cell r="N321">
            <v>70</v>
          </cell>
          <cell r="O321">
            <v>300.5</v>
          </cell>
          <cell r="P321">
            <v>4.3600000000000003</v>
          </cell>
          <cell r="R321">
            <v>145</v>
          </cell>
          <cell r="S321">
            <v>145</v>
          </cell>
          <cell r="T321">
            <v>19</v>
          </cell>
          <cell r="U321">
            <v>0.27500000000000002</v>
          </cell>
          <cell r="V321">
            <v>1</v>
          </cell>
          <cell r="W321">
            <v>0</v>
          </cell>
          <cell r="X321">
            <v>1</v>
          </cell>
          <cell r="Y321">
            <v>9</v>
          </cell>
          <cell r="Z321">
            <v>22763</v>
          </cell>
          <cell r="AA321">
            <v>0.52</v>
          </cell>
          <cell r="AB321">
            <v>22763</v>
          </cell>
          <cell r="AC321">
            <v>0.52</v>
          </cell>
          <cell r="AD321">
            <v>6811</v>
          </cell>
          <cell r="AE321">
            <v>613400</v>
          </cell>
          <cell r="AF321">
            <v>0.29920000000000002</v>
          </cell>
          <cell r="AG321">
            <v>279</v>
          </cell>
          <cell r="AJ321">
            <v>671</v>
          </cell>
          <cell r="AK321" t="str">
            <v>120 W 94TH ST</v>
          </cell>
          <cell r="AL321" t="str">
            <v>AMSTERDAM AVE</v>
          </cell>
          <cell r="AO321" t="str">
            <v>MANHATTAN</v>
          </cell>
          <cell r="AP321">
            <v>7</v>
          </cell>
          <cell r="AQ321">
            <v>10</v>
          </cell>
          <cell r="AR321">
            <v>30</v>
          </cell>
          <cell r="AS321">
            <v>69</v>
          </cell>
          <cell r="AT321">
            <v>6</v>
          </cell>
          <cell r="AU321">
            <v>24015</v>
          </cell>
        </row>
        <row r="322">
          <cell r="B322" t="str">
            <v>WSUR (SITE B) 74 WEST 92ND STREET</v>
          </cell>
          <cell r="C322" t="str">
            <v>NY005011270</v>
          </cell>
          <cell r="D322">
            <v>173</v>
          </cell>
          <cell r="E322">
            <v>127</v>
          </cell>
          <cell r="F322">
            <v>259</v>
          </cell>
          <cell r="G322">
            <v>259</v>
          </cell>
          <cell r="H322" t="str">
            <v>NY005056</v>
          </cell>
          <cell r="I322" t="str">
            <v>FEDERAL</v>
          </cell>
          <cell r="J322" t="str">
            <v>CONVENTIONAL</v>
          </cell>
          <cell r="K322" t="str">
            <v>NEW CONST</v>
          </cell>
          <cell r="M322">
            <v>168</v>
          </cell>
          <cell r="N322">
            <v>168</v>
          </cell>
          <cell r="O322">
            <v>735</v>
          </cell>
          <cell r="P322">
            <v>4.38</v>
          </cell>
          <cell r="R322">
            <v>318</v>
          </cell>
          <cell r="S322">
            <v>318</v>
          </cell>
          <cell r="T322">
            <v>77</v>
          </cell>
          <cell r="U322">
            <v>0.47499999999999998</v>
          </cell>
          <cell r="V322">
            <v>1</v>
          </cell>
          <cell r="W322">
            <v>0</v>
          </cell>
          <cell r="X322">
            <v>1</v>
          </cell>
          <cell r="Y322">
            <v>22</v>
          </cell>
          <cell r="Z322">
            <v>25176</v>
          </cell>
          <cell r="AA322">
            <v>0.57999999999999996</v>
          </cell>
          <cell r="AB322">
            <v>25176</v>
          </cell>
          <cell r="AC322">
            <v>0.57999999999999996</v>
          </cell>
          <cell r="AD322">
            <v>13176</v>
          </cell>
          <cell r="AE322">
            <v>1575535</v>
          </cell>
          <cell r="AF322">
            <v>0.52339999999999998</v>
          </cell>
          <cell r="AG322">
            <v>548</v>
          </cell>
          <cell r="AH322">
            <v>7228361</v>
          </cell>
          <cell r="AI322">
            <v>4167</v>
          </cell>
          <cell r="AJ322">
            <v>512</v>
          </cell>
          <cell r="AK322" t="str">
            <v>74 W 92ND ST</v>
          </cell>
          <cell r="AL322" t="str">
            <v>COLUMBUS AVE</v>
          </cell>
          <cell r="AO322" t="str">
            <v>MANHATTAN</v>
          </cell>
          <cell r="AP322">
            <v>7</v>
          </cell>
          <cell r="AQ322">
            <v>10</v>
          </cell>
          <cell r="AR322">
            <v>30</v>
          </cell>
          <cell r="AS322">
            <v>69</v>
          </cell>
          <cell r="AT322">
            <v>6</v>
          </cell>
          <cell r="AU322">
            <v>24015</v>
          </cell>
        </row>
        <row r="323">
          <cell r="B323" t="str">
            <v>WSUR (SITE C) 589 AMSTERDAM AVENUE</v>
          </cell>
          <cell r="C323" t="str">
            <v>NY005011270</v>
          </cell>
          <cell r="D323">
            <v>174</v>
          </cell>
          <cell r="E323">
            <v>127</v>
          </cell>
          <cell r="F323">
            <v>259</v>
          </cell>
          <cell r="G323">
            <v>259</v>
          </cell>
          <cell r="H323" t="str">
            <v>NY005056</v>
          </cell>
          <cell r="I323" t="str">
            <v>FEDERAL</v>
          </cell>
          <cell r="J323" t="str">
            <v>CONVENTIONAL</v>
          </cell>
          <cell r="K323" t="str">
            <v>NEW CONST</v>
          </cell>
          <cell r="M323">
            <v>158</v>
          </cell>
          <cell r="N323">
            <v>158</v>
          </cell>
          <cell r="O323">
            <v>690</v>
          </cell>
          <cell r="P323">
            <v>4.37</v>
          </cell>
          <cell r="R323">
            <v>348</v>
          </cell>
          <cell r="S323">
            <v>348</v>
          </cell>
          <cell r="T323">
            <v>61</v>
          </cell>
          <cell r="U323">
            <v>0.39600000000000002</v>
          </cell>
          <cell r="V323">
            <v>1</v>
          </cell>
          <cell r="W323">
            <v>0</v>
          </cell>
          <cell r="X323">
            <v>1</v>
          </cell>
          <cell r="Y323">
            <v>18</v>
          </cell>
          <cell r="Z323">
            <v>25131</v>
          </cell>
          <cell r="AA323">
            <v>0.57999999999999996</v>
          </cell>
          <cell r="AB323">
            <v>25131</v>
          </cell>
          <cell r="AC323">
            <v>0.57999999999999996</v>
          </cell>
          <cell r="AD323">
            <v>7891</v>
          </cell>
          <cell r="AE323">
            <v>1363220</v>
          </cell>
          <cell r="AF323">
            <v>0.314</v>
          </cell>
          <cell r="AG323">
            <v>600</v>
          </cell>
          <cell r="AJ323">
            <v>558</v>
          </cell>
          <cell r="AK323" t="str">
            <v>589 AMSTERDAM AVE</v>
          </cell>
          <cell r="AL323" t="str">
            <v>W 88TH ST</v>
          </cell>
          <cell r="AM323" t="str">
            <v>W 89TH ST</v>
          </cell>
          <cell r="AO323" t="str">
            <v>MANHATTAN</v>
          </cell>
          <cell r="AP323">
            <v>7</v>
          </cell>
          <cell r="AQ323">
            <v>10</v>
          </cell>
          <cell r="AR323">
            <v>29</v>
          </cell>
          <cell r="AS323">
            <v>69</v>
          </cell>
          <cell r="AT323">
            <v>6</v>
          </cell>
          <cell r="AU323">
            <v>24015</v>
          </cell>
        </row>
        <row r="324">
          <cell r="B324" t="str">
            <v>WYCKOFF GARDENS</v>
          </cell>
          <cell r="C324" t="str">
            <v>NY005011630</v>
          </cell>
          <cell r="D324">
            <v>163</v>
          </cell>
          <cell r="E324">
            <v>163</v>
          </cell>
          <cell r="F324">
            <v>272</v>
          </cell>
          <cell r="G324">
            <v>272</v>
          </cell>
          <cell r="H324" t="str">
            <v>NY005074</v>
          </cell>
          <cell r="I324" t="str">
            <v>FEDERAL</v>
          </cell>
          <cell r="J324" t="str">
            <v>CONVENTIONAL</v>
          </cell>
          <cell r="K324" t="str">
            <v>NEW CONST</v>
          </cell>
          <cell r="M324">
            <v>528</v>
          </cell>
          <cell r="N324">
            <v>529</v>
          </cell>
          <cell r="O324">
            <v>2434</v>
          </cell>
          <cell r="P324">
            <v>4.6100000000000003</v>
          </cell>
          <cell r="R324">
            <v>1131</v>
          </cell>
          <cell r="S324">
            <v>1131</v>
          </cell>
          <cell r="T324">
            <v>231</v>
          </cell>
          <cell r="U324">
            <v>0.44600000000000001</v>
          </cell>
          <cell r="V324">
            <v>3</v>
          </cell>
          <cell r="W324">
            <v>0</v>
          </cell>
          <cell r="X324">
            <v>3</v>
          </cell>
          <cell r="Y324">
            <v>21</v>
          </cell>
          <cell r="Z324">
            <v>253000</v>
          </cell>
          <cell r="AA324">
            <v>5.81</v>
          </cell>
          <cell r="AB324">
            <v>253000</v>
          </cell>
          <cell r="AC324">
            <v>5.81</v>
          </cell>
          <cell r="AD324">
            <v>31158</v>
          </cell>
          <cell r="AE324">
            <v>4724612</v>
          </cell>
          <cell r="AF324">
            <v>0.1232</v>
          </cell>
          <cell r="AG324">
            <v>195</v>
          </cell>
          <cell r="AH324">
            <v>10130155</v>
          </cell>
          <cell r="AI324">
            <v>4149</v>
          </cell>
          <cell r="AJ324">
            <v>584</v>
          </cell>
          <cell r="AK324" t="str">
            <v>THIRD AVE</v>
          </cell>
          <cell r="AL324" t="str">
            <v>NEVINS ST</v>
          </cell>
          <cell r="AM324" t="str">
            <v>WYCKOFF ST</v>
          </cell>
          <cell r="AN324" t="str">
            <v>BALTIC ST</v>
          </cell>
          <cell r="AO324" t="str">
            <v>BROOKLYN</v>
          </cell>
          <cell r="AP324">
            <v>6</v>
          </cell>
          <cell r="AQ324">
            <v>7</v>
          </cell>
          <cell r="AR324">
            <v>25</v>
          </cell>
          <cell r="AS324">
            <v>52</v>
          </cell>
          <cell r="AT324">
            <v>33</v>
          </cell>
          <cell r="AU324">
            <v>24472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at-Sheet"/>
      <sheetName val="Sheet1"/>
      <sheetName val="Sheet2"/>
      <sheetName val="5 sites"/>
      <sheetName val="LLC1_LLC2"/>
      <sheetName val="Scattered Sites"/>
      <sheetName val="Lower Manhattan Sites"/>
    </sheetNames>
    <sheetDataSet>
      <sheetData sheetId="0">
        <row r="2">
          <cell r="D2" t="str">
            <v>HARLEM RIVER</v>
          </cell>
          <cell r="E2" t="str">
            <v>HARLEM RIVER</v>
          </cell>
          <cell r="F2">
            <v>7</v>
          </cell>
          <cell r="G2">
            <v>574</v>
          </cell>
          <cell r="H2">
            <v>515550</v>
          </cell>
          <cell r="I2" t="str">
            <v>Property Management</v>
          </cell>
          <cell r="J2" t="str">
            <v/>
          </cell>
          <cell r="K2" t="str">
            <v/>
          </cell>
          <cell r="L2" t="str">
            <v/>
          </cell>
          <cell r="M2" t="str">
            <v>Low Rise Campus</v>
          </cell>
          <cell r="N2" t="str">
            <v/>
          </cell>
          <cell r="O2" t="str">
            <v>M000300</v>
          </cell>
          <cell r="P2" t="str">
            <v>NY005010030</v>
          </cell>
          <cell r="Q2" t="str">
            <v>FEDERAL</v>
          </cell>
        </row>
        <row r="3">
          <cell r="D3" t="str">
            <v>VLADECK</v>
          </cell>
          <cell r="E3" t="str">
            <v>VLADECK</v>
          </cell>
          <cell r="F3">
            <v>20</v>
          </cell>
          <cell r="G3">
            <v>1527</v>
          </cell>
          <cell r="H3">
            <v>1190112</v>
          </cell>
          <cell r="I3" t="str">
            <v>Property Management</v>
          </cell>
          <cell r="J3" t="str">
            <v/>
          </cell>
          <cell r="K3" t="str">
            <v/>
          </cell>
          <cell r="L3" t="str">
            <v/>
          </cell>
          <cell r="M3" t="str">
            <v>Med Rise Campus</v>
          </cell>
          <cell r="N3" t="str">
            <v/>
          </cell>
          <cell r="O3" t="str">
            <v>M000600</v>
          </cell>
          <cell r="P3" t="str">
            <v>NY005010060</v>
          </cell>
          <cell r="Q3" t="str">
            <v>FEDERAL</v>
          </cell>
        </row>
        <row r="4">
          <cell r="D4" t="str">
            <v>EAST RIVER</v>
          </cell>
          <cell r="E4" t="str">
            <v>EAST RIVER</v>
          </cell>
          <cell r="F4">
            <v>11</v>
          </cell>
          <cell r="G4">
            <v>1157</v>
          </cell>
          <cell r="H4">
            <v>952350</v>
          </cell>
          <cell r="I4" t="str">
            <v>NGO1</v>
          </cell>
          <cell r="J4" t="str">
            <v/>
          </cell>
          <cell r="K4" t="str">
            <v/>
          </cell>
          <cell r="L4" t="str">
            <v/>
          </cell>
          <cell r="M4" t="str">
            <v>Med-High Rise Campus</v>
          </cell>
          <cell r="N4" t="str">
            <v/>
          </cell>
          <cell r="O4" t="str">
            <v>M000900</v>
          </cell>
          <cell r="P4" t="str">
            <v>NY005010090</v>
          </cell>
          <cell r="Q4" t="str">
            <v>FEDERAL</v>
          </cell>
        </row>
        <row r="5">
          <cell r="D5" t="str">
            <v>RIIS</v>
          </cell>
          <cell r="E5" t="str">
            <v>RIIS</v>
          </cell>
          <cell r="F5">
            <v>13</v>
          </cell>
          <cell r="G5">
            <v>1191</v>
          </cell>
          <cell r="H5">
            <v>1032980</v>
          </cell>
          <cell r="I5" t="str">
            <v>Property Management</v>
          </cell>
          <cell r="J5" t="str">
            <v/>
          </cell>
          <cell r="K5" t="str">
            <v/>
          </cell>
          <cell r="L5" t="str">
            <v/>
          </cell>
          <cell r="M5" t="str">
            <v>Med-High Rise Campus</v>
          </cell>
          <cell r="N5" t="str">
            <v/>
          </cell>
          <cell r="O5" t="str">
            <v>M001800</v>
          </cell>
          <cell r="P5" t="str">
            <v>NY005010180</v>
          </cell>
          <cell r="Q5" t="str">
            <v>FEDERAL</v>
          </cell>
        </row>
        <row r="6">
          <cell r="D6" t="str">
            <v>SAINT NICHOLAS</v>
          </cell>
          <cell r="E6" t="str">
            <v>SAINT NICHOLAS</v>
          </cell>
          <cell r="F6">
            <v>13</v>
          </cell>
          <cell r="G6">
            <v>1525</v>
          </cell>
          <cell r="H6">
            <v>1447826</v>
          </cell>
          <cell r="I6" t="str">
            <v>Property Management</v>
          </cell>
          <cell r="J6" t="str">
            <v/>
          </cell>
          <cell r="K6" t="str">
            <v/>
          </cell>
          <cell r="L6" t="str">
            <v/>
          </cell>
          <cell r="M6" t="str">
            <v>High Rise Campus</v>
          </cell>
          <cell r="N6" t="str">
            <v/>
          </cell>
          <cell r="O6" t="str">
            <v>M003800</v>
          </cell>
          <cell r="P6" t="str">
            <v>NY005000380</v>
          </cell>
          <cell r="Q6" t="str">
            <v>FEDERAL</v>
          </cell>
        </row>
        <row r="7">
          <cell r="D7" t="str">
            <v>BARUCH</v>
          </cell>
          <cell r="E7" t="str">
            <v>BARUCH</v>
          </cell>
          <cell r="F7">
            <v>18</v>
          </cell>
          <cell r="G7">
            <v>2193</v>
          </cell>
          <cell r="H7">
            <v>1994601</v>
          </cell>
          <cell r="I7" t="str">
            <v>Property Management</v>
          </cell>
          <cell r="J7" t="str">
            <v/>
          </cell>
          <cell r="K7" t="str">
            <v/>
          </cell>
          <cell r="L7" t="str">
            <v/>
          </cell>
          <cell r="M7" t="str">
            <v>Med-High Rise Campus</v>
          </cell>
          <cell r="N7" t="str">
            <v/>
          </cell>
          <cell r="O7" t="str">
            <v>M006000</v>
          </cell>
          <cell r="P7" t="str">
            <v>NY005010600</v>
          </cell>
          <cell r="Q7" t="str">
            <v>FEDERAL</v>
          </cell>
        </row>
        <row r="8">
          <cell r="D8" t="str">
            <v>WASHINGTON</v>
          </cell>
          <cell r="E8" t="str">
            <v>WASHINGTON</v>
          </cell>
          <cell r="F8">
            <v>15</v>
          </cell>
          <cell r="G8">
            <v>1511</v>
          </cell>
          <cell r="H8">
            <v>1404388</v>
          </cell>
          <cell r="I8" t="str">
            <v>Property Management</v>
          </cell>
          <cell r="J8" t="str">
            <v/>
          </cell>
          <cell r="K8" t="str">
            <v/>
          </cell>
          <cell r="L8" t="str">
            <v/>
          </cell>
          <cell r="M8" t="str">
            <v>High Rise Campus</v>
          </cell>
          <cell r="N8" t="str">
            <v/>
          </cell>
          <cell r="O8" t="str">
            <v>M006200</v>
          </cell>
          <cell r="P8" t="str">
            <v>NY005010620</v>
          </cell>
          <cell r="Q8" t="str">
            <v>FEDERAL</v>
          </cell>
        </row>
        <row r="9">
          <cell r="D9" t="str">
            <v>JEFFERSON</v>
          </cell>
          <cell r="E9" t="str">
            <v>JEFFERSON</v>
          </cell>
          <cell r="F9">
            <v>19</v>
          </cell>
          <cell r="G9">
            <v>1488</v>
          </cell>
          <cell r="H9">
            <v>1498780</v>
          </cell>
          <cell r="I9" t="str">
            <v>NGO1</v>
          </cell>
          <cell r="J9" t="str">
            <v/>
          </cell>
          <cell r="K9" t="str">
            <v/>
          </cell>
          <cell r="L9" t="str">
            <v/>
          </cell>
          <cell r="M9" t="str">
            <v>Med-High Rise Campus</v>
          </cell>
          <cell r="N9" t="str">
            <v/>
          </cell>
          <cell r="O9" t="str">
            <v>M006400</v>
          </cell>
          <cell r="P9" t="str">
            <v>NY005010640</v>
          </cell>
          <cell r="Q9" t="str">
            <v>FEDERAL</v>
          </cell>
        </row>
        <row r="10">
          <cell r="D10" t="str">
            <v>LA GUARDIA</v>
          </cell>
          <cell r="E10" t="str">
            <v>LA GUARDIA</v>
          </cell>
          <cell r="F10">
            <v>9</v>
          </cell>
          <cell r="G10">
            <v>1092</v>
          </cell>
          <cell r="H10">
            <v>1058212</v>
          </cell>
          <cell r="I10" t="str">
            <v>Property Management</v>
          </cell>
          <cell r="J10" t="str">
            <v/>
          </cell>
          <cell r="K10" t="str">
            <v/>
          </cell>
          <cell r="L10" t="str">
            <v/>
          </cell>
          <cell r="M10" t="str">
            <v>High Rise Campus</v>
          </cell>
          <cell r="N10" t="str">
            <v/>
          </cell>
          <cell r="O10" t="str">
            <v>M007600</v>
          </cell>
          <cell r="P10" t="str">
            <v>NY005010760</v>
          </cell>
          <cell r="Q10" t="str">
            <v>FEDERAL</v>
          </cell>
        </row>
        <row r="11">
          <cell r="D11" t="str">
            <v>WAGNER</v>
          </cell>
          <cell r="E11" t="str">
            <v>WAGNER</v>
          </cell>
          <cell r="F11">
            <v>22</v>
          </cell>
          <cell r="G11">
            <v>2154</v>
          </cell>
          <cell r="H11">
            <v>1981410</v>
          </cell>
          <cell r="I11" t="str">
            <v>NGO1</v>
          </cell>
          <cell r="J11" t="str">
            <v/>
          </cell>
          <cell r="K11" t="str">
            <v/>
          </cell>
          <cell r="L11" t="str">
            <v/>
          </cell>
          <cell r="M11" t="str">
            <v>Med-High Rise Campus</v>
          </cell>
          <cell r="N11" t="str">
            <v/>
          </cell>
          <cell r="O11" t="str">
            <v>M007400</v>
          </cell>
          <cell r="P11" t="str">
            <v>NY005010740</v>
          </cell>
          <cell r="Q11" t="str">
            <v>FEDERAL</v>
          </cell>
        </row>
        <row r="12">
          <cell r="D12" t="str">
            <v>GRANT</v>
          </cell>
          <cell r="E12" t="str">
            <v>GRANT</v>
          </cell>
          <cell r="F12">
            <v>10</v>
          </cell>
          <cell r="G12">
            <v>1940</v>
          </cell>
          <cell r="H12">
            <v>1931229</v>
          </cell>
          <cell r="I12" t="str">
            <v>Property Management</v>
          </cell>
          <cell r="J12" t="str">
            <v/>
          </cell>
          <cell r="K12" t="str">
            <v/>
          </cell>
          <cell r="L12" t="str">
            <v/>
          </cell>
          <cell r="M12" t="str">
            <v>High Rise Campus</v>
          </cell>
          <cell r="N12" t="str">
            <v/>
          </cell>
          <cell r="O12" t="str">
            <v>M008700</v>
          </cell>
          <cell r="P12" t="str">
            <v>NY005000870</v>
          </cell>
          <cell r="Q12" t="str">
            <v>FEDERAL</v>
          </cell>
        </row>
        <row r="13">
          <cell r="D13" t="str">
            <v>GOMPERS</v>
          </cell>
          <cell r="E13" t="str">
            <v>GOMPERS</v>
          </cell>
          <cell r="F13">
            <v>4</v>
          </cell>
          <cell r="G13">
            <v>473</v>
          </cell>
          <cell r="H13">
            <v>508360</v>
          </cell>
          <cell r="I13" t="str">
            <v>Property Management</v>
          </cell>
          <cell r="J13" t="str">
            <v/>
          </cell>
          <cell r="K13" t="str">
            <v/>
          </cell>
          <cell r="L13" t="str">
            <v/>
          </cell>
          <cell r="M13" t="str">
            <v>High Rise Campus</v>
          </cell>
          <cell r="N13" t="str">
            <v/>
          </cell>
          <cell r="O13" t="str">
            <v>M010000</v>
          </cell>
          <cell r="P13" t="str">
            <v>NY005011000</v>
          </cell>
          <cell r="Q13" t="str">
            <v>FEDERAL</v>
          </cell>
        </row>
        <row r="14">
          <cell r="D14" t="str">
            <v>LEHMAN VILLAGE</v>
          </cell>
          <cell r="E14" t="str">
            <v>LEHMAN VILLAGE</v>
          </cell>
          <cell r="F14">
            <v>5</v>
          </cell>
          <cell r="G14">
            <v>616</v>
          </cell>
          <cell r="H14">
            <v>608150</v>
          </cell>
          <cell r="I14" t="str">
            <v>Property Management</v>
          </cell>
          <cell r="J14" t="str">
            <v/>
          </cell>
          <cell r="K14" t="str">
            <v/>
          </cell>
          <cell r="L14" t="str">
            <v/>
          </cell>
          <cell r="M14" t="str">
            <v>High Rise Campus</v>
          </cell>
          <cell r="N14" t="str">
            <v/>
          </cell>
          <cell r="O14" t="str">
            <v>M010100</v>
          </cell>
          <cell r="P14" t="str">
            <v>NY005001010</v>
          </cell>
          <cell r="Q14" t="str">
            <v>FEDERAL</v>
          </cell>
        </row>
        <row r="15">
          <cell r="D15" t="str">
            <v>CLINTON</v>
          </cell>
          <cell r="E15" t="str">
            <v>CLINTON</v>
          </cell>
          <cell r="F15">
            <v>8</v>
          </cell>
          <cell r="G15">
            <v>749</v>
          </cell>
          <cell r="H15">
            <v>734400</v>
          </cell>
          <cell r="I15" t="str">
            <v>Property Management</v>
          </cell>
          <cell r="J15" t="str">
            <v/>
          </cell>
          <cell r="K15" t="str">
            <v/>
          </cell>
          <cell r="L15" t="str">
            <v/>
          </cell>
          <cell r="M15" t="str">
            <v>Med-High Rise Campus</v>
          </cell>
          <cell r="N15" t="str">
            <v/>
          </cell>
          <cell r="O15" t="str">
            <v>M012300</v>
          </cell>
          <cell r="P15" t="str">
            <v>NY005001230</v>
          </cell>
          <cell r="Q15" t="str">
            <v>FEDERAL</v>
          </cell>
        </row>
        <row r="16">
          <cell r="D16" t="str">
            <v>FULTON</v>
          </cell>
          <cell r="E16" t="str">
            <v>FULTON</v>
          </cell>
          <cell r="F16">
            <v>12</v>
          </cell>
          <cell r="G16">
            <v>944</v>
          </cell>
          <cell r="H16">
            <v>932450</v>
          </cell>
          <cell r="I16" t="str">
            <v>Property Management</v>
          </cell>
          <cell r="J16" t="str">
            <v/>
          </cell>
          <cell r="K16" t="str">
            <v/>
          </cell>
          <cell r="L16" t="str">
            <v/>
          </cell>
          <cell r="M16" t="str">
            <v>Med-High Rise Campus</v>
          </cell>
          <cell r="N16" t="str">
            <v/>
          </cell>
          <cell r="O16" t="str">
            <v>M013600</v>
          </cell>
          <cell r="P16" t="str">
            <v>NY005001360</v>
          </cell>
          <cell r="Q16" t="str">
            <v>FEDERAL</v>
          </cell>
        </row>
        <row r="17">
          <cell r="D17" t="str">
            <v>ISAACS</v>
          </cell>
          <cell r="E17" t="str">
            <v>ISAACS</v>
          </cell>
          <cell r="F17">
            <v>4</v>
          </cell>
          <cell r="G17">
            <v>635</v>
          </cell>
          <cell r="H17">
            <v>553500</v>
          </cell>
          <cell r="I17" t="str">
            <v>Property Management</v>
          </cell>
          <cell r="J17" t="str">
            <v/>
          </cell>
          <cell r="K17" t="str">
            <v/>
          </cell>
          <cell r="L17" t="str">
            <v/>
          </cell>
          <cell r="M17" t="str">
            <v>High Rise Campus</v>
          </cell>
          <cell r="N17" t="str">
            <v/>
          </cell>
          <cell r="O17" t="str">
            <v>M013900</v>
          </cell>
          <cell r="P17" t="str">
            <v>NY005011390</v>
          </cell>
          <cell r="Q17" t="str">
            <v>FEDERAL</v>
          </cell>
        </row>
        <row r="18">
          <cell r="D18" t="str">
            <v>REHAB PROGRAM (DOUGLASS REHABS)</v>
          </cell>
          <cell r="E18" t="str">
            <v>KRAUS MANAGEMENT (PRIVATE - M/B 1)</v>
          </cell>
          <cell r="F18">
            <v>3</v>
          </cell>
          <cell r="G18">
            <v>72</v>
          </cell>
          <cell r="H18">
            <v>59800</v>
          </cell>
          <cell r="I18" t="str">
            <v>Private Management</v>
          </cell>
          <cell r="J18" t="str">
            <v/>
          </cell>
          <cell r="K18" t="str">
            <v/>
          </cell>
          <cell r="L18" t="str">
            <v>Scattered</v>
          </cell>
          <cell r="M18" t="str">
            <v/>
          </cell>
          <cell r="N18" t="str">
            <v/>
          </cell>
          <cell r="O18" t="str">
            <v>M051500</v>
          </cell>
          <cell r="P18" t="str">
            <v>NY005013170</v>
          </cell>
          <cell r="Q18" t="str">
            <v>FEDERAL</v>
          </cell>
        </row>
        <row r="19">
          <cell r="D19" t="str">
            <v>HARLEM RIVER II</v>
          </cell>
          <cell r="E19" t="str">
            <v>HARLEM RIVER</v>
          </cell>
          <cell r="F19">
            <v>1</v>
          </cell>
          <cell r="G19">
            <v>116</v>
          </cell>
          <cell r="H19">
            <v>109700</v>
          </cell>
          <cell r="I19" t="str">
            <v>Property Management</v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>SA</v>
          </cell>
          <cell r="O19" t="str">
            <v>M014700</v>
          </cell>
          <cell r="P19" t="str">
            <v>NY005010030</v>
          </cell>
          <cell r="Q19" t="str">
            <v>FEDERAL</v>
          </cell>
        </row>
        <row r="20">
          <cell r="D20" t="str">
            <v>830 AMSTERDAM AVENUE</v>
          </cell>
          <cell r="E20" t="str">
            <v>DOUGLASS</v>
          </cell>
          <cell r="F20">
            <v>1</v>
          </cell>
          <cell r="G20">
            <v>159</v>
          </cell>
          <cell r="H20">
            <v>159080</v>
          </cell>
          <cell r="I20" t="str">
            <v>Property Management</v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>SA</v>
          </cell>
          <cell r="O20" t="str">
            <v>M015000</v>
          </cell>
          <cell r="P20" t="str">
            <v>NY005010820</v>
          </cell>
          <cell r="Q20" t="str">
            <v>FEDERAL</v>
          </cell>
        </row>
        <row r="21">
          <cell r="D21" t="str">
            <v>WSUR (SITE A) 120 WEST 94TH STREET</v>
          </cell>
          <cell r="E21" t="str">
            <v>WISE TOWERS</v>
          </cell>
          <cell r="F21">
            <v>1</v>
          </cell>
          <cell r="G21">
            <v>70</v>
          </cell>
          <cell r="H21">
            <v>62587</v>
          </cell>
          <cell r="I21" t="str">
            <v>NGO-Mixed Finance</v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>SA</v>
          </cell>
          <cell r="O21" t="str">
            <v>M015100</v>
          </cell>
          <cell r="P21" t="str">
            <v>NY005011270</v>
          </cell>
          <cell r="Q21" t="str">
            <v>FEDERAL</v>
          </cell>
        </row>
        <row r="22">
          <cell r="D22" t="str">
            <v>WSUR (SITE B) 74 WEST 92ND STREET</v>
          </cell>
          <cell r="E22" t="str">
            <v>WISE TOWERS</v>
          </cell>
          <cell r="F22">
            <v>1</v>
          </cell>
          <cell r="G22">
            <v>168</v>
          </cell>
          <cell r="H22">
            <v>156140</v>
          </cell>
          <cell r="I22" t="str">
            <v>NGO-Mixed Finance</v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>SA</v>
          </cell>
          <cell r="O22" t="str">
            <v>M017300</v>
          </cell>
          <cell r="P22" t="str">
            <v>NY005011270</v>
          </cell>
          <cell r="Q22" t="str">
            <v>FEDERAL</v>
          </cell>
        </row>
        <row r="23">
          <cell r="D23" t="str">
            <v>WSUR (SITE C) 589 AMSTERDAM AVENUE</v>
          </cell>
          <cell r="E23" t="str">
            <v>WISE TOWERS</v>
          </cell>
          <cell r="F23">
            <v>1</v>
          </cell>
          <cell r="G23">
            <v>158</v>
          </cell>
          <cell r="H23">
            <v>146436</v>
          </cell>
          <cell r="I23" t="str">
            <v>NGO-Mixed Finance</v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>SA</v>
          </cell>
          <cell r="O23" t="str">
            <v>M017400</v>
          </cell>
          <cell r="P23" t="str">
            <v>NY005011270</v>
          </cell>
          <cell r="Q23" t="str">
            <v>FEDERAL</v>
          </cell>
        </row>
        <row r="24">
          <cell r="D24" t="str">
            <v>POLO GROUNDS TOWERS</v>
          </cell>
          <cell r="E24" t="str">
            <v>POLO GROUNDS TOWERS</v>
          </cell>
          <cell r="F24">
            <v>8</v>
          </cell>
          <cell r="G24">
            <v>1614</v>
          </cell>
          <cell r="H24">
            <v>1754703</v>
          </cell>
          <cell r="I24" t="str">
            <v>Property Management</v>
          </cell>
          <cell r="J24" t="str">
            <v/>
          </cell>
          <cell r="K24" t="str">
            <v/>
          </cell>
          <cell r="L24" t="str">
            <v/>
          </cell>
          <cell r="M24" t="str">
            <v>High Rise Campus</v>
          </cell>
          <cell r="N24" t="str">
            <v/>
          </cell>
          <cell r="O24" t="str">
            <v>M014900</v>
          </cell>
          <cell r="P24" t="str">
            <v>NY005001490</v>
          </cell>
          <cell r="Q24" t="str">
            <v>FEDERAL</v>
          </cell>
        </row>
        <row r="25">
          <cell r="D25" t="str">
            <v>TAFT</v>
          </cell>
          <cell r="E25" t="str">
            <v>TAFT</v>
          </cell>
          <cell r="F25">
            <v>10</v>
          </cell>
          <cell r="G25">
            <v>1464</v>
          </cell>
          <cell r="H25">
            <v>1564990</v>
          </cell>
          <cell r="I25" t="str">
            <v>Property Management</v>
          </cell>
          <cell r="J25" t="str">
            <v/>
          </cell>
          <cell r="K25" t="str">
            <v/>
          </cell>
          <cell r="L25" t="str">
            <v/>
          </cell>
          <cell r="M25" t="str">
            <v>High Rise Campus</v>
          </cell>
          <cell r="N25" t="str">
            <v/>
          </cell>
          <cell r="O25" t="str">
            <v>M009700</v>
          </cell>
          <cell r="P25" t="str">
            <v>NY005010970</v>
          </cell>
          <cell r="Q25" t="str">
            <v>FEDERAL</v>
          </cell>
        </row>
        <row r="26">
          <cell r="D26" t="str">
            <v>LA GUARDIA ADDITION</v>
          </cell>
          <cell r="E26" t="str">
            <v>LA GUARDIA</v>
          </cell>
          <cell r="F26">
            <v>1</v>
          </cell>
          <cell r="G26">
            <v>148</v>
          </cell>
          <cell r="H26">
            <v>108552</v>
          </cell>
          <cell r="I26" t="str">
            <v>Property Management</v>
          </cell>
          <cell r="J26" t="str">
            <v>Yes</v>
          </cell>
          <cell r="K26" t="str">
            <v>Stand Alone</v>
          </cell>
          <cell r="L26" t="str">
            <v/>
          </cell>
          <cell r="M26" t="str">
            <v/>
          </cell>
          <cell r="N26" t="str">
            <v>SA</v>
          </cell>
          <cell r="O26" t="str">
            <v>M015200</v>
          </cell>
          <cell r="P26" t="str">
            <v>NY005010760</v>
          </cell>
          <cell r="Q26" t="str">
            <v>FEDERAL</v>
          </cell>
        </row>
        <row r="27">
          <cell r="D27" t="str">
            <v>STRAUS</v>
          </cell>
          <cell r="E27" t="str">
            <v>STRAUS</v>
          </cell>
          <cell r="F27">
            <v>2</v>
          </cell>
          <cell r="G27">
            <v>267</v>
          </cell>
          <cell r="H27">
            <v>230513</v>
          </cell>
          <cell r="I27" t="str">
            <v>NGO-Mixed Finance</v>
          </cell>
          <cell r="J27" t="str">
            <v/>
          </cell>
          <cell r="K27" t="str">
            <v/>
          </cell>
          <cell r="L27" t="str">
            <v/>
          </cell>
          <cell r="M27" t="str">
            <v>High Rise Campus</v>
          </cell>
          <cell r="N27" t="str">
            <v/>
          </cell>
          <cell r="O27" t="str">
            <v>M015300</v>
          </cell>
          <cell r="P27" t="str">
            <v>NY005011530</v>
          </cell>
          <cell r="Q27" t="str">
            <v>FEDERAL</v>
          </cell>
        </row>
        <row r="28">
          <cell r="D28" t="str">
            <v>131 SAINT NICHOLAS AVENUE</v>
          </cell>
          <cell r="E28" t="str">
            <v>TAFT</v>
          </cell>
          <cell r="F28">
            <v>1</v>
          </cell>
          <cell r="G28">
            <v>98</v>
          </cell>
          <cell r="H28">
            <v>86500</v>
          </cell>
          <cell r="I28" t="str">
            <v>Property Management</v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>SA</v>
          </cell>
          <cell r="O28" t="str">
            <v>M015400</v>
          </cell>
          <cell r="P28" t="str">
            <v>NY005010970</v>
          </cell>
          <cell r="Q28" t="str">
            <v>FEDERAL</v>
          </cell>
        </row>
        <row r="29">
          <cell r="D29" t="str">
            <v>DE HOSTOS APARTMENTS</v>
          </cell>
          <cell r="E29" t="str">
            <v>WISE TOWERS</v>
          </cell>
          <cell r="F29">
            <v>1</v>
          </cell>
          <cell r="G29">
            <v>219</v>
          </cell>
          <cell r="H29">
            <v>246724</v>
          </cell>
          <cell r="I29" t="str">
            <v>NGO-Mixed Finance</v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>SA</v>
          </cell>
          <cell r="O29" t="str">
            <v>M015500</v>
          </cell>
          <cell r="P29" t="str">
            <v>NY005011270</v>
          </cell>
          <cell r="Q29" t="str">
            <v>FEDERAL</v>
          </cell>
        </row>
        <row r="30">
          <cell r="D30" t="str">
            <v>BETHUNE GARDENS</v>
          </cell>
          <cell r="E30" t="str">
            <v>HARLEM RIVER</v>
          </cell>
          <cell r="F30">
            <v>1</v>
          </cell>
          <cell r="G30">
            <v>210</v>
          </cell>
          <cell r="H30">
            <v>179600</v>
          </cell>
          <cell r="I30" t="str">
            <v>Property Management</v>
          </cell>
          <cell r="J30" t="str">
            <v>Yes</v>
          </cell>
          <cell r="K30" t="str">
            <v>Stand Alone</v>
          </cell>
          <cell r="L30" t="str">
            <v/>
          </cell>
          <cell r="M30" t="str">
            <v/>
          </cell>
          <cell r="N30" t="str">
            <v>SA</v>
          </cell>
          <cell r="O30" t="str">
            <v>M016000</v>
          </cell>
          <cell r="P30" t="str">
            <v>NY005010030</v>
          </cell>
          <cell r="Q30" t="str">
            <v>FEDERAL</v>
          </cell>
        </row>
        <row r="31">
          <cell r="D31" t="str">
            <v>HOLMES TOWERS</v>
          </cell>
          <cell r="E31" t="str">
            <v>ISAACS</v>
          </cell>
          <cell r="F31">
            <v>2</v>
          </cell>
          <cell r="G31">
            <v>537</v>
          </cell>
          <cell r="H31">
            <v>387500</v>
          </cell>
          <cell r="I31" t="str">
            <v>Property Management</v>
          </cell>
          <cell r="J31" t="str">
            <v/>
          </cell>
          <cell r="K31" t="str">
            <v/>
          </cell>
          <cell r="L31" t="str">
            <v/>
          </cell>
          <cell r="M31" t="str">
            <v>High Rise Campus</v>
          </cell>
          <cell r="N31" t="str">
            <v/>
          </cell>
          <cell r="O31" t="str">
            <v>M015900</v>
          </cell>
          <cell r="P31" t="str">
            <v>NY005011390</v>
          </cell>
          <cell r="Q31" t="str">
            <v>FEDERAL</v>
          </cell>
        </row>
        <row r="32">
          <cell r="D32" t="str">
            <v>WSUR (BROWNSTONES)</v>
          </cell>
          <cell r="E32" t="str">
            <v>WISE TOWERS</v>
          </cell>
          <cell r="F32">
            <v>36</v>
          </cell>
          <cell r="G32">
            <v>236</v>
          </cell>
          <cell r="H32">
            <v>171706</v>
          </cell>
          <cell r="I32" t="str">
            <v>NGO-Mixed Finance</v>
          </cell>
          <cell r="J32" t="str">
            <v/>
          </cell>
          <cell r="K32" t="str">
            <v/>
          </cell>
          <cell r="L32" t="str">
            <v>Scattered</v>
          </cell>
          <cell r="M32" t="str">
            <v/>
          </cell>
          <cell r="N32" t="str">
            <v/>
          </cell>
          <cell r="O32" t="str">
            <v>M017800</v>
          </cell>
          <cell r="P32" t="str">
            <v>NY005011270</v>
          </cell>
          <cell r="Q32" t="str">
            <v>FEDERAL</v>
          </cell>
        </row>
        <row r="33">
          <cell r="D33" t="str">
            <v>METRO NORTH PLAZA</v>
          </cell>
          <cell r="E33" t="str">
            <v>WILSON</v>
          </cell>
          <cell r="F33">
            <v>3</v>
          </cell>
          <cell r="G33">
            <v>271</v>
          </cell>
          <cell r="H33">
            <v>289602</v>
          </cell>
          <cell r="I33" t="str">
            <v>NGO1</v>
          </cell>
          <cell r="J33" t="str">
            <v/>
          </cell>
          <cell r="K33" t="str">
            <v/>
          </cell>
          <cell r="L33" t="str">
            <v/>
          </cell>
          <cell r="M33" t="str">
            <v>Med-High Rise Campus</v>
          </cell>
          <cell r="N33" t="str">
            <v/>
          </cell>
          <cell r="O33" t="str">
            <v>M018100</v>
          </cell>
          <cell r="P33" t="str">
            <v>NY005010090</v>
          </cell>
          <cell r="Q33" t="str">
            <v>FEDERAL</v>
          </cell>
        </row>
        <row r="34">
          <cell r="D34" t="str">
            <v>MELTZER TOWER</v>
          </cell>
          <cell r="E34" t="str">
            <v>GOMPERS</v>
          </cell>
          <cell r="F34">
            <v>1</v>
          </cell>
          <cell r="G34">
            <v>229</v>
          </cell>
          <cell r="H34">
            <v>144876</v>
          </cell>
          <cell r="I34" t="str">
            <v>Property Management</v>
          </cell>
          <cell r="J34" t="str">
            <v>Yes</v>
          </cell>
          <cell r="K34" t="str">
            <v>Stand Alone</v>
          </cell>
          <cell r="L34" t="str">
            <v/>
          </cell>
          <cell r="M34" t="str">
            <v/>
          </cell>
          <cell r="N34" t="str">
            <v>SA</v>
          </cell>
          <cell r="O34" t="str">
            <v>M018300</v>
          </cell>
          <cell r="P34" t="str">
            <v>NY005011000</v>
          </cell>
          <cell r="Q34" t="str">
            <v>FEDERAL</v>
          </cell>
        </row>
        <row r="35">
          <cell r="D35" t="str">
            <v>HERNANDEZ</v>
          </cell>
          <cell r="E35" t="str">
            <v>GOMPERS</v>
          </cell>
          <cell r="F35">
            <v>1</v>
          </cell>
          <cell r="G35">
            <v>149</v>
          </cell>
          <cell r="H35">
            <v>139321</v>
          </cell>
          <cell r="I35" t="str">
            <v>Property Management</v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>SA</v>
          </cell>
          <cell r="O35" t="str">
            <v>M018400</v>
          </cell>
          <cell r="P35" t="str">
            <v>NY005011000</v>
          </cell>
          <cell r="Q35" t="str">
            <v>FEDERAL</v>
          </cell>
        </row>
        <row r="36">
          <cell r="D36" t="str">
            <v>REHAB PROGRAM (TAFT REHABS)</v>
          </cell>
          <cell r="E36" t="str">
            <v>KRAUS MANAGEMENT (PRIVATE - M/B 1)</v>
          </cell>
          <cell r="F36">
            <v>1</v>
          </cell>
          <cell r="G36">
            <v>45</v>
          </cell>
          <cell r="H36">
            <v>43310</v>
          </cell>
          <cell r="I36" t="str">
            <v>Private Management</v>
          </cell>
          <cell r="J36" t="str">
            <v/>
          </cell>
          <cell r="K36" t="str">
            <v/>
          </cell>
          <cell r="L36" t="str">
            <v/>
          </cell>
          <cell r="M36" t="str">
            <v>Med Rise Campus</v>
          </cell>
          <cell r="N36" t="str">
            <v/>
          </cell>
          <cell r="O36" t="str">
            <v>M051600</v>
          </cell>
          <cell r="P36" t="str">
            <v>NY005013170</v>
          </cell>
          <cell r="Q36" t="str">
            <v>FEDERAL</v>
          </cell>
        </row>
        <row r="37">
          <cell r="D37" t="str">
            <v>REHAB PROGRAM (TAFT REHABS)</v>
          </cell>
          <cell r="E37" t="str">
            <v>KRAUS MANAGEMENT (PRIVATE - M/B 1)</v>
          </cell>
          <cell r="F37">
            <v>2</v>
          </cell>
          <cell r="G37">
            <v>69</v>
          </cell>
          <cell r="H37">
            <v>85350</v>
          </cell>
          <cell r="I37" t="str">
            <v>Private Management</v>
          </cell>
          <cell r="J37" t="str">
            <v/>
          </cell>
          <cell r="K37" t="str">
            <v/>
          </cell>
          <cell r="L37" t="str">
            <v/>
          </cell>
          <cell r="M37" t="str">
            <v>Med Rise Campus</v>
          </cell>
          <cell r="N37" t="str">
            <v/>
          </cell>
          <cell r="O37" t="str">
            <v>M051600</v>
          </cell>
          <cell r="P37" t="str">
            <v>NY005013170</v>
          </cell>
          <cell r="Q37" t="str">
            <v>FEDERAL</v>
          </cell>
        </row>
        <row r="38">
          <cell r="D38" t="str">
            <v>REHAB PROGRAM (TAFT REHABS)</v>
          </cell>
          <cell r="E38" t="str">
            <v>KRAUS MANAGEMENT (PRIVATE - M/B 1)</v>
          </cell>
          <cell r="F38">
            <v>1</v>
          </cell>
          <cell r="G38">
            <v>42</v>
          </cell>
          <cell r="H38">
            <v>48100</v>
          </cell>
          <cell r="I38" t="str">
            <v>Private Management</v>
          </cell>
          <cell r="J38" t="str">
            <v/>
          </cell>
          <cell r="K38" t="str">
            <v/>
          </cell>
          <cell r="L38" t="str">
            <v/>
          </cell>
          <cell r="M38" t="str">
            <v>Med Rise Campus</v>
          </cell>
          <cell r="N38" t="str">
            <v/>
          </cell>
          <cell r="O38" t="str">
            <v>M051600</v>
          </cell>
          <cell r="P38" t="str">
            <v>NY005013170</v>
          </cell>
          <cell r="Q38" t="str">
            <v>FEDERAL</v>
          </cell>
        </row>
        <row r="39">
          <cell r="D39" t="str">
            <v>REHAB PROGRAM (WISE REHAB)</v>
          </cell>
          <cell r="E39" t="str">
            <v>WISE TOWERS</v>
          </cell>
          <cell r="F39">
            <v>1</v>
          </cell>
          <cell r="G39">
            <v>40</v>
          </cell>
          <cell r="H39">
            <v>49365</v>
          </cell>
          <cell r="I39" t="str">
            <v>NGO-Mixed Finance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>SA</v>
          </cell>
          <cell r="O39" t="str">
            <v>M051700</v>
          </cell>
          <cell r="P39" t="str">
            <v>NY005011270</v>
          </cell>
          <cell r="Q39" t="str">
            <v>FEDERAL</v>
          </cell>
        </row>
        <row r="40">
          <cell r="D40" t="str">
            <v>REHAB PROGRAM (DOUGLASS REHABS)</v>
          </cell>
          <cell r="E40" t="str">
            <v>KRAUS MANAGEMENT (PRIVATE - M/B 1)</v>
          </cell>
          <cell r="F40">
            <v>1</v>
          </cell>
          <cell r="G40">
            <v>40</v>
          </cell>
          <cell r="H40">
            <v>37300</v>
          </cell>
          <cell r="I40" t="str">
            <v>Private Management</v>
          </cell>
          <cell r="J40" t="str">
            <v/>
          </cell>
          <cell r="K40" t="str">
            <v/>
          </cell>
          <cell r="L40" t="str">
            <v>Scattered</v>
          </cell>
          <cell r="M40" t="str">
            <v/>
          </cell>
          <cell r="N40" t="str">
            <v/>
          </cell>
          <cell r="O40" t="str">
            <v>M051500</v>
          </cell>
          <cell r="P40" t="str">
            <v>NY005011270</v>
          </cell>
          <cell r="Q40" t="str">
            <v>FEDERAL</v>
          </cell>
        </row>
        <row r="41">
          <cell r="D41" t="str">
            <v>SEWARD PARK EXTENSION</v>
          </cell>
          <cell r="E41" t="str">
            <v>GOMPERS</v>
          </cell>
          <cell r="F41">
            <v>4</v>
          </cell>
          <cell r="G41">
            <v>360</v>
          </cell>
          <cell r="H41">
            <v>376859</v>
          </cell>
          <cell r="I41" t="str">
            <v>Property Management</v>
          </cell>
          <cell r="J41" t="str">
            <v/>
          </cell>
          <cell r="K41" t="str">
            <v/>
          </cell>
          <cell r="L41" t="str">
            <v/>
          </cell>
          <cell r="M41" t="str">
            <v>High Rise Campus</v>
          </cell>
          <cell r="N41" t="str">
            <v/>
          </cell>
          <cell r="O41" t="str">
            <v>M019200</v>
          </cell>
          <cell r="P41" t="str">
            <v>NY005011000</v>
          </cell>
          <cell r="Q41" t="str">
            <v>FEDERAL</v>
          </cell>
        </row>
        <row r="42">
          <cell r="D42" t="str">
            <v>RANGEL</v>
          </cell>
          <cell r="E42" t="str">
            <v>RANGEL</v>
          </cell>
          <cell r="F42">
            <v>8</v>
          </cell>
          <cell r="G42">
            <v>983</v>
          </cell>
          <cell r="H42">
            <v>834375</v>
          </cell>
          <cell r="I42" t="str">
            <v>Property Management</v>
          </cell>
          <cell r="J42" t="str">
            <v/>
          </cell>
          <cell r="K42" t="str">
            <v/>
          </cell>
          <cell r="L42" t="str">
            <v/>
          </cell>
          <cell r="M42" t="str">
            <v>High Rise Campus</v>
          </cell>
          <cell r="N42" t="str">
            <v/>
          </cell>
          <cell r="O42" t="str">
            <v>M003700</v>
          </cell>
          <cell r="P42" t="str">
            <v>NY005000370</v>
          </cell>
          <cell r="Q42" t="str">
            <v>FEDERAL</v>
          </cell>
        </row>
        <row r="43">
          <cell r="D43" t="str">
            <v>335 EAST 111TH STREET</v>
          </cell>
          <cell r="E43" t="str">
            <v>JEFFERSON</v>
          </cell>
          <cell r="F43">
            <v>1</v>
          </cell>
          <cell r="G43">
            <v>66</v>
          </cell>
          <cell r="H43">
            <v>57000</v>
          </cell>
          <cell r="I43" t="str">
            <v>NGO1</v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>SA</v>
          </cell>
          <cell r="O43" t="str">
            <v>M020300</v>
          </cell>
          <cell r="P43" t="str">
            <v>NY005010640</v>
          </cell>
          <cell r="Q43" t="str">
            <v>FEDERAL</v>
          </cell>
        </row>
        <row r="44">
          <cell r="D44" t="str">
            <v>PARK AVENUE-EAST 122ND, 123RD STREETS</v>
          </cell>
          <cell r="E44" t="str">
            <v>ROBINSON</v>
          </cell>
          <cell r="F44">
            <v>3</v>
          </cell>
          <cell r="G44">
            <v>90</v>
          </cell>
          <cell r="H44">
            <v>103100</v>
          </cell>
          <cell r="I44" t="str">
            <v>Property Management</v>
          </cell>
          <cell r="J44" t="str">
            <v/>
          </cell>
          <cell r="K44" t="str">
            <v/>
          </cell>
          <cell r="L44" t="str">
            <v/>
          </cell>
          <cell r="M44" t="str">
            <v>Med Rise Campus</v>
          </cell>
          <cell r="N44" t="str">
            <v/>
          </cell>
          <cell r="O44" t="str">
            <v>M020400</v>
          </cell>
          <cell r="P44" t="str">
            <v>NY005012410</v>
          </cell>
          <cell r="Q44" t="str">
            <v>FEDERAL</v>
          </cell>
        </row>
        <row r="45">
          <cell r="D45" t="str">
            <v>ROBBINS PLAZA</v>
          </cell>
          <cell r="E45" t="str">
            <v>ISAACS</v>
          </cell>
          <cell r="F45">
            <v>1</v>
          </cell>
          <cell r="G45">
            <v>150</v>
          </cell>
          <cell r="H45">
            <v>109200</v>
          </cell>
          <cell r="I45" t="str">
            <v>Property Management</v>
          </cell>
          <cell r="J45" t="str">
            <v>Yes</v>
          </cell>
          <cell r="K45" t="str">
            <v>Stand Alone</v>
          </cell>
          <cell r="L45" t="str">
            <v/>
          </cell>
          <cell r="M45" t="str">
            <v/>
          </cell>
          <cell r="N45" t="str">
            <v>SA</v>
          </cell>
          <cell r="O45" t="str">
            <v>M021800</v>
          </cell>
          <cell r="P45" t="str">
            <v>NY005011390</v>
          </cell>
          <cell r="Q45" t="str">
            <v>FEDERAL</v>
          </cell>
        </row>
        <row r="46">
          <cell r="D46" t="str">
            <v>FORT WASHINGTON AVENUE REHAB</v>
          </cell>
          <cell r="E46" t="str">
            <v>FORT WASHINGTON</v>
          </cell>
          <cell r="F46">
            <v>1</v>
          </cell>
          <cell r="G46">
            <v>226</v>
          </cell>
          <cell r="H46">
            <v>293550</v>
          </cell>
          <cell r="I46" t="str">
            <v>Property Management</v>
          </cell>
          <cell r="J46" t="str">
            <v>Yes</v>
          </cell>
          <cell r="K46" t="str">
            <v>Stand Alone</v>
          </cell>
          <cell r="L46" t="str">
            <v/>
          </cell>
          <cell r="M46" t="str">
            <v/>
          </cell>
          <cell r="N46" t="str">
            <v>SA</v>
          </cell>
          <cell r="O46" t="str">
            <v>M030900</v>
          </cell>
          <cell r="P46" t="str">
            <v>NY005013090</v>
          </cell>
          <cell r="Q46" t="str">
            <v>FEDERAL</v>
          </cell>
        </row>
        <row r="47">
          <cell r="D47" t="str">
            <v>ROBINSON</v>
          </cell>
          <cell r="E47" t="str">
            <v>ROBINSON</v>
          </cell>
          <cell r="F47">
            <v>1</v>
          </cell>
          <cell r="G47">
            <v>188</v>
          </cell>
          <cell r="H47">
            <v>220400</v>
          </cell>
          <cell r="I47" t="str">
            <v>Property Management</v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>SA</v>
          </cell>
          <cell r="O47" t="str">
            <v>M024100</v>
          </cell>
          <cell r="P47" t="str">
            <v>NY005012410</v>
          </cell>
          <cell r="Q47" t="str">
            <v>FEDERAL</v>
          </cell>
        </row>
        <row r="48">
          <cell r="D48" t="str">
            <v>CORSI HOUSES</v>
          </cell>
          <cell r="E48" t="str">
            <v>JEFFERSON</v>
          </cell>
          <cell r="F48">
            <v>1</v>
          </cell>
          <cell r="G48">
            <v>171</v>
          </cell>
          <cell r="H48">
            <v>112100</v>
          </cell>
          <cell r="I48" t="str">
            <v>NGO1</v>
          </cell>
          <cell r="J48" t="str">
            <v>Yes</v>
          </cell>
          <cell r="K48" t="str">
            <v>Stand Alone</v>
          </cell>
          <cell r="L48" t="str">
            <v/>
          </cell>
          <cell r="M48" t="str">
            <v/>
          </cell>
          <cell r="N48" t="str">
            <v>SA</v>
          </cell>
          <cell r="O48" t="str">
            <v>M019900</v>
          </cell>
          <cell r="P48" t="str">
            <v>NY005010640</v>
          </cell>
          <cell r="Q48" t="str">
            <v>FEDERAL</v>
          </cell>
        </row>
        <row r="49">
          <cell r="D49" t="str">
            <v>ELLIOTT</v>
          </cell>
          <cell r="E49" t="str">
            <v>CHELSEA</v>
          </cell>
          <cell r="F49">
            <v>4</v>
          </cell>
          <cell r="G49">
            <v>607</v>
          </cell>
          <cell r="H49">
            <v>515848</v>
          </cell>
          <cell r="I49" t="str">
            <v>NGO-Mixed Finance</v>
          </cell>
          <cell r="J49" t="str">
            <v/>
          </cell>
          <cell r="K49" t="str">
            <v/>
          </cell>
          <cell r="L49" t="str">
            <v/>
          </cell>
          <cell r="M49" t="str">
            <v>High Rise Campus</v>
          </cell>
          <cell r="N49" t="str">
            <v/>
          </cell>
          <cell r="O49" t="str">
            <v>M001500</v>
          </cell>
          <cell r="P49" t="str">
            <v>NY005011340</v>
          </cell>
          <cell r="Q49" t="str">
            <v>FEDERAL</v>
          </cell>
        </row>
        <row r="50">
          <cell r="D50" t="str">
            <v>FIRST HOUSES</v>
          </cell>
          <cell r="E50" t="str">
            <v>LOWER EAST SIDE CONSOLIDATED</v>
          </cell>
          <cell r="F50">
            <v>8</v>
          </cell>
          <cell r="G50">
            <v>126</v>
          </cell>
          <cell r="H50">
            <v>107538</v>
          </cell>
          <cell r="I50" t="str">
            <v>Property Management</v>
          </cell>
          <cell r="J50" t="str">
            <v/>
          </cell>
          <cell r="K50" t="str">
            <v/>
          </cell>
          <cell r="L50" t="str">
            <v>Scattered</v>
          </cell>
          <cell r="M50" t="str">
            <v/>
          </cell>
          <cell r="N50" t="str">
            <v/>
          </cell>
          <cell r="O50" t="str">
            <v>M000100</v>
          </cell>
          <cell r="P50" t="str">
            <v>NY005012920</v>
          </cell>
          <cell r="Q50" t="str">
            <v>FEDERAL</v>
          </cell>
        </row>
        <row r="51">
          <cell r="D51" t="str">
            <v>VLADECK II</v>
          </cell>
          <cell r="E51" t="str">
            <v>VLADECK</v>
          </cell>
          <cell r="F51">
            <v>4</v>
          </cell>
          <cell r="G51">
            <v>240</v>
          </cell>
          <cell r="H51">
            <v>201144</v>
          </cell>
          <cell r="I51" t="str">
            <v>Property Management</v>
          </cell>
          <cell r="J51" t="str">
            <v/>
          </cell>
          <cell r="K51" t="str">
            <v/>
          </cell>
          <cell r="L51" t="str">
            <v/>
          </cell>
          <cell r="M51" t="str">
            <v>Med Rise Campus</v>
          </cell>
          <cell r="N51" t="str">
            <v/>
          </cell>
          <cell r="O51" t="str">
            <v>M000700</v>
          </cell>
          <cell r="P51" t="str">
            <v>NY005010060</v>
          </cell>
          <cell r="Q51" t="str">
            <v>FEDERAL</v>
          </cell>
        </row>
        <row r="52">
          <cell r="D52" t="str">
            <v>RIIS II</v>
          </cell>
          <cell r="E52" t="str">
            <v>RIIS</v>
          </cell>
          <cell r="F52">
            <v>6</v>
          </cell>
          <cell r="G52">
            <v>577</v>
          </cell>
          <cell r="H52">
            <v>478800</v>
          </cell>
          <cell r="I52" t="str">
            <v>Property Management</v>
          </cell>
          <cell r="J52" t="str">
            <v/>
          </cell>
          <cell r="K52" t="str">
            <v/>
          </cell>
          <cell r="L52" t="str">
            <v/>
          </cell>
          <cell r="M52" t="str">
            <v>Med-High Rise Campus</v>
          </cell>
          <cell r="N52" t="str">
            <v/>
          </cell>
          <cell r="O52" t="str">
            <v>M001900</v>
          </cell>
          <cell r="P52" t="str">
            <v>NY005010180</v>
          </cell>
          <cell r="Q52" t="str">
            <v>FEDERAL</v>
          </cell>
        </row>
        <row r="53">
          <cell r="D53" t="str">
            <v>DYCKMAN</v>
          </cell>
          <cell r="E53" t="str">
            <v>DYCKMAN</v>
          </cell>
          <cell r="F53">
            <v>8</v>
          </cell>
          <cell r="G53">
            <v>1167</v>
          </cell>
          <cell r="H53">
            <v>1122000</v>
          </cell>
          <cell r="I53" t="str">
            <v>Property Management</v>
          </cell>
          <cell r="J53" t="str">
            <v/>
          </cell>
          <cell r="K53" t="str">
            <v/>
          </cell>
          <cell r="L53" t="str">
            <v/>
          </cell>
          <cell r="M53" t="str">
            <v>High Rise Campus</v>
          </cell>
          <cell r="N53" t="str">
            <v/>
          </cell>
          <cell r="O53" t="str">
            <v>M004100</v>
          </cell>
          <cell r="P53" t="str">
            <v>NY005000410</v>
          </cell>
          <cell r="Q53" t="str">
            <v>FEDERAL</v>
          </cell>
        </row>
        <row r="54">
          <cell r="D54" t="str">
            <v>LEXINGTON</v>
          </cell>
          <cell r="E54" t="str">
            <v>WASHINGTON</v>
          </cell>
          <cell r="F54">
            <v>4</v>
          </cell>
          <cell r="G54">
            <v>448</v>
          </cell>
          <cell r="H54">
            <v>525668</v>
          </cell>
          <cell r="I54" t="str">
            <v>Property Management</v>
          </cell>
          <cell r="J54" t="str">
            <v/>
          </cell>
          <cell r="K54" t="str">
            <v/>
          </cell>
          <cell r="L54" t="str">
            <v/>
          </cell>
          <cell r="M54" t="str">
            <v>High Rise Campus</v>
          </cell>
          <cell r="N54" t="str">
            <v/>
          </cell>
          <cell r="O54" t="str">
            <v>M005000</v>
          </cell>
          <cell r="P54" t="str">
            <v>NY005010620</v>
          </cell>
          <cell r="Q54" t="str">
            <v>FEDERAL</v>
          </cell>
        </row>
        <row r="55">
          <cell r="D55" t="str">
            <v>HARBORVIEW TERRACE</v>
          </cell>
          <cell r="E55" t="str">
            <v>AMSTERDAM</v>
          </cell>
          <cell r="F55">
            <v>2</v>
          </cell>
          <cell r="G55">
            <v>377</v>
          </cell>
          <cell r="H55">
            <v>410605</v>
          </cell>
          <cell r="I55" t="str">
            <v>NGO-Mixed Finance</v>
          </cell>
          <cell r="J55" t="str">
            <v/>
          </cell>
          <cell r="K55" t="str">
            <v/>
          </cell>
          <cell r="L55" t="str">
            <v/>
          </cell>
          <cell r="M55" t="str">
            <v>High Rise Campus</v>
          </cell>
          <cell r="N55" t="str">
            <v/>
          </cell>
          <cell r="O55" t="str">
            <v>M026200</v>
          </cell>
          <cell r="P55" t="str">
            <v>NY005010220</v>
          </cell>
          <cell r="Q55" t="str">
            <v>FEDERAL</v>
          </cell>
        </row>
        <row r="56">
          <cell r="D56" t="str">
            <v>BRACETTI PLAZA</v>
          </cell>
          <cell r="E56" t="str">
            <v>LOWER EAST SIDE CONSOLIDATED</v>
          </cell>
          <cell r="F56">
            <v>1</v>
          </cell>
          <cell r="G56">
            <v>108</v>
          </cell>
          <cell r="H56">
            <v>128654</v>
          </cell>
          <cell r="I56" t="str">
            <v>Property Management</v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>SA</v>
          </cell>
          <cell r="O56" t="str">
            <v>M026400</v>
          </cell>
          <cell r="P56" t="str">
            <v>NY005012920</v>
          </cell>
          <cell r="Q56" t="str">
            <v>FEDERAL</v>
          </cell>
        </row>
        <row r="57">
          <cell r="D57" t="str">
            <v>45 ALLEN STREET</v>
          </cell>
          <cell r="E57" t="str">
            <v>GOMPERS</v>
          </cell>
          <cell r="F57">
            <v>2</v>
          </cell>
          <cell r="G57">
            <v>104</v>
          </cell>
          <cell r="H57">
            <v>129653</v>
          </cell>
          <cell r="I57" t="str">
            <v>Property Management</v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>SA</v>
          </cell>
          <cell r="O57" t="str">
            <v>M026500</v>
          </cell>
          <cell r="P57" t="str">
            <v>NY005011000</v>
          </cell>
          <cell r="Q57" t="str">
            <v>FEDERAL</v>
          </cell>
        </row>
        <row r="58">
          <cell r="D58" t="str">
            <v>WASHINGTON HEIGHTS REHAB PHASE III</v>
          </cell>
          <cell r="E58" t="str">
            <v>FORT WASHINGTON - BLDG 1/HARLEM RIVER - BLDS 2-8</v>
          </cell>
          <cell r="F58">
            <v>1</v>
          </cell>
          <cell r="G58">
            <v>14</v>
          </cell>
          <cell r="H58">
            <v>15700</v>
          </cell>
          <cell r="I58" t="str">
            <v>Property Management</v>
          </cell>
          <cell r="J58" t="str">
            <v/>
          </cell>
          <cell r="K58" t="str">
            <v/>
          </cell>
          <cell r="L58" t="str">
            <v>Scattered</v>
          </cell>
          <cell r="M58" t="str">
            <v/>
          </cell>
          <cell r="N58" t="str">
            <v/>
          </cell>
          <cell r="O58" t="str">
            <v>M032900</v>
          </cell>
          <cell r="P58" t="str">
            <v>NY005013090</v>
          </cell>
          <cell r="Q58" t="str">
            <v>FEDERAL</v>
          </cell>
        </row>
        <row r="59">
          <cell r="D59" t="str">
            <v>BARUCH HOUSES ADDITION</v>
          </cell>
          <cell r="E59" t="str">
            <v>BARUCH</v>
          </cell>
          <cell r="F59">
            <v>1</v>
          </cell>
          <cell r="G59">
            <v>197</v>
          </cell>
          <cell r="H59">
            <v>140963</v>
          </cell>
          <cell r="I59" t="str">
            <v>Property Management</v>
          </cell>
          <cell r="J59" t="str">
            <v>Yes</v>
          </cell>
          <cell r="K59" t="str">
            <v>Stand Alone</v>
          </cell>
          <cell r="L59" t="str">
            <v/>
          </cell>
          <cell r="M59" t="str">
            <v/>
          </cell>
          <cell r="N59" t="str">
            <v>SA</v>
          </cell>
          <cell r="O59" t="str">
            <v>M019800</v>
          </cell>
          <cell r="P59" t="str">
            <v>NY005010600</v>
          </cell>
          <cell r="Q59" t="str">
            <v>FEDERAL</v>
          </cell>
        </row>
        <row r="60">
          <cell r="D60" t="str">
            <v>THOMAS APARTMENTS</v>
          </cell>
          <cell r="E60" t="str">
            <v>WISE TOWERS</v>
          </cell>
          <cell r="F60">
            <v>1</v>
          </cell>
          <cell r="G60">
            <v>87</v>
          </cell>
          <cell r="H60">
            <v>69683</v>
          </cell>
          <cell r="I60" t="str">
            <v>NGO-Mixed Finance</v>
          </cell>
          <cell r="J60" t="str">
            <v>Yes</v>
          </cell>
          <cell r="K60" t="str">
            <v>Stand Alone</v>
          </cell>
          <cell r="L60" t="str">
            <v/>
          </cell>
          <cell r="M60" t="str">
            <v/>
          </cell>
          <cell r="N60" t="str">
            <v>SA</v>
          </cell>
          <cell r="O60" t="str">
            <v>M026800</v>
          </cell>
          <cell r="P60" t="str">
            <v>NY005011270</v>
          </cell>
          <cell r="Q60" t="str">
            <v>FEDERAL</v>
          </cell>
        </row>
        <row r="61">
          <cell r="D61" t="str">
            <v>TWO BRIDGES URA (SITE 7)</v>
          </cell>
          <cell r="E61" t="str">
            <v>LA GUARDIA</v>
          </cell>
          <cell r="F61">
            <v>1</v>
          </cell>
          <cell r="G61">
            <v>250</v>
          </cell>
          <cell r="H61">
            <v>256556</v>
          </cell>
          <cell r="I61" t="str">
            <v>Property Management</v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>SA</v>
          </cell>
          <cell r="O61" t="str">
            <v>M026600</v>
          </cell>
          <cell r="P61" t="str">
            <v>NY005010760</v>
          </cell>
          <cell r="Q61" t="str">
            <v>FEDERAL</v>
          </cell>
        </row>
        <row r="62">
          <cell r="D62" t="str">
            <v>MANHATTANVILLE</v>
          </cell>
          <cell r="E62" t="str">
            <v>MANHATTANVILLE</v>
          </cell>
          <cell r="F62">
            <v>6</v>
          </cell>
          <cell r="G62">
            <v>1272</v>
          </cell>
          <cell r="H62">
            <v>1443550</v>
          </cell>
          <cell r="I62" t="str">
            <v>NGO-Mixed Finance</v>
          </cell>
          <cell r="J62" t="str">
            <v/>
          </cell>
          <cell r="K62" t="str">
            <v/>
          </cell>
          <cell r="L62" t="str">
            <v/>
          </cell>
          <cell r="M62" t="str">
            <v>High Rise Campus</v>
          </cell>
          <cell r="N62" t="str">
            <v/>
          </cell>
          <cell r="O62" t="str">
            <v>M008100</v>
          </cell>
          <cell r="P62" t="str">
            <v>NY005000810</v>
          </cell>
          <cell r="Q62" t="str">
            <v>MIXED FINANCE/LLC1</v>
          </cell>
        </row>
        <row r="63">
          <cell r="D63" t="str">
            <v>DREW-HAMILTON</v>
          </cell>
          <cell r="E63" t="str">
            <v>DREW-HAMILTON</v>
          </cell>
          <cell r="F63">
            <v>5</v>
          </cell>
          <cell r="G63">
            <v>1211</v>
          </cell>
          <cell r="H63">
            <v>1108700</v>
          </cell>
          <cell r="I63" t="str">
            <v>NGO-Mixed Finance</v>
          </cell>
          <cell r="J63" t="str">
            <v/>
          </cell>
          <cell r="K63" t="str">
            <v/>
          </cell>
          <cell r="L63" t="str">
            <v/>
          </cell>
          <cell r="M63" t="str">
            <v>High Rise Campus</v>
          </cell>
          <cell r="N63" t="str">
            <v/>
          </cell>
          <cell r="O63" t="str">
            <v>M011100</v>
          </cell>
          <cell r="P63" t="str">
            <v>NY005001110</v>
          </cell>
          <cell r="Q63" t="str">
            <v>MIXED FINANCE/LLC1</v>
          </cell>
        </row>
        <row r="64">
          <cell r="D64" t="str">
            <v>RUTGERS</v>
          </cell>
          <cell r="E64" t="str">
            <v>RUTGERS</v>
          </cell>
          <cell r="F64">
            <v>5</v>
          </cell>
          <cell r="G64">
            <v>721</v>
          </cell>
          <cell r="H64">
            <v>681101</v>
          </cell>
          <cell r="I64" t="str">
            <v>NGO-Mixed Finance</v>
          </cell>
          <cell r="J64" t="str">
            <v/>
          </cell>
          <cell r="K64" t="str">
            <v/>
          </cell>
          <cell r="L64" t="str">
            <v/>
          </cell>
          <cell r="M64" t="str">
            <v>High Rise Campus</v>
          </cell>
          <cell r="N64" t="str">
            <v/>
          </cell>
          <cell r="O64" t="str">
            <v>M009900</v>
          </cell>
          <cell r="P64" t="str">
            <v>NY005000990</v>
          </cell>
          <cell r="Q64" t="str">
            <v>MIXED FINANCE/LLC1</v>
          </cell>
        </row>
        <row r="65">
          <cell r="D65" t="str">
            <v>AUDUBON</v>
          </cell>
          <cell r="E65" t="str">
            <v>HARLEM RIVER</v>
          </cell>
          <cell r="F65">
            <v>1</v>
          </cell>
          <cell r="G65">
            <v>167</v>
          </cell>
          <cell r="H65">
            <v>178300</v>
          </cell>
          <cell r="I65" t="str">
            <v>Property Management</v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>SA</v>
          </cell>
          <cell r="O65" t="str">
            <v>M012500</v>
          </cell>
          <cell r="P65" t="str">
            <v>NY005010030</v>
          </cell>
          <cell r="Q65" t="str">
            <v>FEDERAL</v>
          </cell>
        </row>
        <row r="66">
          <cell r="D66" t="str">
            <v>WISE TOWERS</v>
          </cell>
          <cell r="E66" t="str">
            <v>WISE TOWERS</v>
          </cell>
          <cell r="F66">
            <v>3</v>
          </cell>
          <cell r="G66">
            <v>398</v>
          </cell>
          <cell r="H66">
            <v>335365</v>
          </cell>
          <cell r="I66" t="str">
            <v>NGO-Mixed Finance</v>
          </cell>
          <cell r="J66" t="str">
            <v/>
          </cell>
          <cell r="K66" t="str">
            <v/>
          </cell>
          <cell r="L66" t="str">
            <v/>
          </cell>
          <cell r="M66" t="str">
            <v>High Rise Campus</v>
          </cell>
          <cell r="N66" t="str">
            <v/>
          </cell>
          <cell r="O66" t="str">
            <v>M012700</v>
          </cell>
          <cell r="P66" t="str">
            <v>NY005001270</v>
          </cell>
          <cell r="Q66" t="str">
            <v>MIXED FINANCE/LLC2</v>
          </cell>
        </row>
        <row r="67">
          <cell r="D67" t="str">
            <v>CHELSEA</v>
          </cell>
          <cell r="E67" t="str">
            <v>CHELSEA</v>
          </cell>
          <cell r="F67">
            <v>2</v>
          </cell>
          <cell r="G67">
            <v>425</v>
          </cell>
          <cell r="H67">
            <v>398836</v>
          </cell>
          <cell r="I67" t="str">
            <v>NGO-Mixed Finance</v>
          </cell>
          <cell r="J67" t="str">
            <v/>
          </cell>
          <cell r="K67" t="str">
            <v/>
          </cell>
          <cell r="L67" t="str">
            <v/>
          </cell>
          <cell r="M67" t="str">
            <v>High Rise Campus</v>
          </cell>
          <cell r="N67" t="str">
            <v/>
          </cell>
          <cell r="O67" t="str">
            <v>M013400</v>
          </cell>
          <cell r="P67" t="str">
            <v>NY005001340</v>
          </cell>
          <cell r="Q67" t="str">
            <v>MIXED FINANCE/LLC1</v>
          </cell>
        </row>
        <row r="68">
          <cell r="D68" t="str">
            <v>CHELSEA ADDITION</v>
          </cell>
          <cell r="E68" t="str">
            <v>CHELSEA</v>
          </cell>
          <cell r="F68">
            <v>1</v>
          </cell>
          <cell r="G68">
            <v>96</v>
          </cell>
          <cell r="H68">
            <v>131916</v>
          </cell>
          <cell r="I68" t="str">
            <v>NGO-Mixed Finance</v>
          </cell>
          <cell r="J68" t="str">
            <v>Yes</v>
          </cell>
          <cell r="K68" t="str">
            <v>Stand Alone</v>
          </cell>
          <cell r="L68" t="str">
            <v/>
          </cell>
          <cell r="M68" t="str">
            <v/>
          </cell>
          <cell r="N68" t="str">
            <v>SA</v>
          </cell>
          <cell r="O68" t="str">
            <v>M017600</v>
          </cell>
          <cell r="P68" t="str">
            <v>NY005011340</v>
          </cell>
          <cell r="Q68" t="str">
            <v>FEDERAL</v>
          </cell>
        </row>
        <row r="69">
          <cell r="D69" t="str">
            <v>344 EAST 28TH STREET</v>
          </cell>
          <cell r="E69" t="str">
            <v>STRAUS</v>
          </cell>
          <cell r="F69">
            <v>1</v>
          </cell>
          <cell r="G69">
            <v>225</v>
          </cell>
          <cell r="H69">
            <v>209802</v>
          </cell>
          <cell r="I69" t="str">
            <v>NGO-Mixed Finance</v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>SA</v>
          </cell>
          <cell r="O69" t="str">
            <v>M018500</v>
          </cell>
          <cell r="P69" t="str">
            <v>NY005001850</v>
          </cell>
          <cell r="Q69" t="str">
            <v>MIXED FINANCE/LLC2</v>
          </cell>
        </row>
        <row r="70">
          <cell r="D70" t="str">
            <v>AMSTERDAM ADDITION</v>
          </cell>
          <cell r="E70" t="str">
            <v>AMSTERDAM</v>
          </cell>
          <cell r="F70">
            <v>1</v>
          </cell>
          <cell r="G70">
            <v>175</v>
          </cell>
          <cell r="H70">
            <v>162599</v>
          </cell>
          <cell r="I70" t="str">
            <v>NGO-Mixed Finance</v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>SA</v>
          </cell>
          <cell r="O70" t="str">
            <v>M018700</v>
          </cell>
          <cell r="P70" t="str">
            <v>NY005001870</v>
          </cell>
          <cell r="Q70" t="str">
            <v>MIXED FINANCE/LLC1</v>
          </cell>
        </row>
        <row r="71">
          <cell r="D71" t="str">
            <v>SAMUEL (MHOP) III</v>
          </cell>
          <cell r="E71" t="str">
            <v>KRAUS MANAGEMENT (PRIVATE - M/B 1)</v>
          </cell>
          <cell r="F71">
            <v>1</v>
          </cell>
          <cell r="G71">
            <v>2</v>
          </cell>
          <cell r="H71">
            <v>12680</v>
          </cell>
          <cell r="I71" t="str">
            <v>Private Management</v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>SA</v>
          </cell>
          <cell r="O71" t="str">
            <v>M039900</v>
          </cell>
          <cell r="P71" t="str">
            <v>NY005013170</v>
          </cell>
          <cell r="Q71" t="str">
            <v>MHOP</v>
          </cell>
        </row>
        <row r="72">
          <cell r="D72" t="str">
            <v>RANDOLPH</v>
          </cell>
          <cell r="E72" t="str">
            <v>KING TOWERS</v>
          </cell>
          <cell r="F72">
            <v>14</v>
          </cell>
          <cell r="G72">
            <v>95</v>
          </cell>
          <cell r="H72">
            <v>145800</v>
          </cell>
          <cell r="I72" t="str">
            <v>Property Management</v>
          </cell>
          <cell r="J72" t="str">
            <v/>
          </cell>
          <cell r="K72" t="str">
            <v/>
          </cell>
          <cell r="L72" t="str">
            <v>Scattered</v>
          </cell>
          <cell r="M72" t="str">
            <v/>
          </cell>
          <cell r="N72" t="str">
            <v/>
          </cell>
          <cell r="O72" t="str">
            <v>M027800</v>
          </cell>
          <cell r="P72" t="str">
            <v>NY005010300</v>
          </cell>
          <cell r="Q72" t="str">
            <v>FEDERAL</v>
          </cell>
        </row>
        <row r="73">
          <cell r="D73" t="str">
            <v>MORRIS PARK SENIOR CITIZENS HOME</v>
          </cell>
          <cell r="E73" t="str">
            <v>ROBINSON</v>
          </cell>
          <cell r="F73">
            <v>1</v>
          </cell>
          <cell r="G73">
            <v>97</v>
          </cell>
          <cell r="H73">
            <v>63700</v>
          </cell>
          <cell r="I73" t="str">
            <v>Property Management</v>
          </cell>
          <cell r="J73" t="str">
            <v>Yes</v>
          </cell>
          <cell r="K73" t="str">
            <v>Stand Alone</v>
          </cell>
          <cell r="L73" t="str">
            <v/>
          </cell>
          <cell r="M73" t="str">
            <v/>
          </cell>
          <cell r="N73" t="str">
            <v>SA</v>
          </cell>
          <cell r="O73" t="str">
            <v>M027700</v>
          </cell>
          <cell r="P73" t="str">
            <v>NY005012410</v>
          </cell>
          <cell r="Q73" t="str">
            <v>FEDERAL</v>
          </cell>
        </row>
        <row r="74">
          <cell r="D74" t="str">
            <v>GRAMPION</v>
          </cell>
          <cell r="E74" t="str">
            <v>KING TOWERS</v>
          </cell>
          <cell r="F74">
            <v>1</v>
          </cell>
          <cell r="G74">
            <v>35</v>
          </cell>
          <cell r="H74">
            <v>32550</v>
          </cell>
          <cell r="I74" t="str">
            <v>Property Management</v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>SA</v>
          </cell>
          <cell r="O74" t="str">
            <v>M028100</v>
          </cell>
          <cell r="P74" t="str">
            <v>NY005010300</v>
          </cell>
          <cell r="Q74" t="str">
            <v>FEDERAL</v>
          </cell>
        </row>
        <row r="75">
          <cell r="D75" t="str">
            <v>WALD</v>
          </cell>
          <cell r="E75" t="str">
            <v>WALD</v>
          </cell>
          <cell r="F75">
            <v>18</v>
          </cell>
          <cell r="G75">
            <v>1861</v>
          </cell>
          <cell r="H75">
            <v>1702331</v>
          </cell>
          <cell r="I75" t="str">
            <v>Property Management</v>
          </cell>
          <cell r="J75" t="str">
            <v/>
          </cell>
          <cell r="K75" t="str">
            <v/>
          </cell>
          <cell r="L75" t="str">
            <v/>
          </cell>
          <cell r="M75" t="str">
            <v>High Rise Campus</v>
          </cell>
          <cell r="N75" t="str">
            <v/>
          </cell>
          <cell r="O75" t="str">
            <v>M002300</v>
          </cell>
          <cell r="P75" t="str">
            <v>NY005000230</v>
          </cell>
          <cell r="Q75" t="str">
            <v>FEDERAL</v>
          </cell>
        </row>
        <row r="76">
          <cell r="D76" t="str">
            <v>LINCOLN</v>
          </cell>
          <cell r="E76" t="str">
            <v>LINCOLN</v>
          </cell>
          <cell r="F76">
            <v>14</v>
          </cell>
          <cell r="G76">
            <v>1283</v>
          </cell>
          <cell r="H76">
            <v>1196720</v>
          </cell>
          <cell r="I76" t="str">
            <v>NGO1</v>
          </cell>
          <cell r="J76" t="str">
            <v/>
          </cell>
          <cell r="K76" t="str">
            <v/>
          </cell>
          <cell r="L76" t="str">
            <v/>
          </cell>
          <cell r="M76" t="str">
            <v>Med-High Rise Campus</v>
          </cell>
          <cell r="N76" t="str">
            <v/>
          </cell>
          <cell r="O76" t="str">
            <v>M002000</v>
          </cell>
          <cell r="P76" t="str">
            <v>NY005000200</v>
          </cell>
          <cell r="Q76" t="str">
            <v>FEDERAL</v>
          </cell>
        </row>
        <row r="77">
          <cell r="D77" t="str">
            <v>JOHNSON</v>
          </cell>
          <cell r="E77" t="str">
            <v>JOHNSON</v>
          </cell>
          <cell r="F77">
            <v>10</v>
          </cell>
          <cell r="G77">
            <v>1297</v>
          </cell>
          <cell r="H77">
            <v>1261187</v>
          </cell>
          <cell r="I77" t="str">
            <v>Property Management</v>
          </cell>
          <cell r="J77" t="str">
            <v/>
          </cell>
          <cell r="K77" t="str">
            <v/>
          </cell>
          <cell r="L77" t="str">
            <v/>
          </cell>
          <cell r="M77" t="str">
            <v>High Rise Campus</v>
          </cell>
          <cell r="N77" t="str">
            <v/>
          </cell>
          <cell r="O77" t="str">
            <v>M001700</v>
          </cell>
          <cell r="P77" t="str">
            <v>NY005000170</v>
          </cell>
          <cell r="Q77" t="str">
            <v>FEDERAL</v>
          </cell>
        </row>
        <row r="78">
          <cell r="D78" t="str">
            <v>KING TOWERS</v>
          </cell>
          <cell r="E78" t="str">
            <v>KING TOWERS</v>
          </cell>
          <cell r="F78">
            <v>10</v>
          </cell>
          <cell r="G78">
            <v>1378</v>
          </cell>
          <cell r="H78">
            <v>1291350</v>
          </cell>
          <cell r="I78" t="str">
            <v>Property Management</v>
          </cell>
          <cell r="J78" t="str">
            <v/>
          </cell>
          <cell r="K78" t="str">
            <v/>
          </cell>
          <cell r="L78" t="str">
            <v/>
          </cell>
          <cell r="M78" t="str">
            <v>High Rise Campus</v>
          </cell>
          <cell r="N78" t="str">
            <v/>
          </cell>
          <cell r="O78" t="str">
            <v>M003000</v>
          </cell>
          <cell r="P78" t="str">
            <v>NY005010300</v>
          </cell>
          <cell r="Q78" t="str">
            <v>FEDERAL</v>
          </cell>
        </row>
        <row r="79">
          <cell r="D79" t="str">
            <v>AMSTERDAM</v>
          </cell>
          <cell r="E79" t="str">
            <v>AMSTERDAM</v>
          </cell>
          <cell r="F79">
            <v>13</v>
          </cell>
          <cell r="G79">
            <v>1084</v>
          </cell>
          <cell r="H79">
            <v>900123</v>
          </cell>
          <cell r="I79" t="str">
            <v>NGO-Mixed Finance</v>
          </cell>
          <cell r="J79" t="str">
            <v/>
          </cell>
          <cell r="K79" t="str">
            <v/>
          </cell>
          <cell r="L79" t="str">
            <v/>
          </cell>
          <cell r="M79" t="str">
            <v>Med-High Rise Campus</v>
          </cell>
          <cell r="N79" t="str">
            <v/>
          </cell>
          <cell r="O79" t="str">
            <v>M002200</v>
          </cell>
          <cell r="P79" t="str">
            <v>NY005010220</v>
          </cell>
          <cell r="Q79" t="str">
            <v>FEDERAL</v>
          </cell>
        </row>
        <row r="80">
          <cell r="D80" t="str">
            <v>SMITH</v>
          </cell>
          <cell r="E80" t="str">
            <v>SMITH</v>
          </cell>
          <cell r="F80">
            <v>12</v>
          </cell>
          <cell r="G80">
            <v>1933</v>
          </cell>
          <cell r="H80">
            <v>2149568</v>
          </cell>
          <cell r="I80" t="str">
            <v>Property Management</v>
          </cell>
          <cell r="J80" t="str">
            <v/>
          </cell>
          <cell r="K80" t="str">
            <v/>
          </cell>
          <cell r="L80" t="str">
            <v/>
          </cell>
          <cell r="M80" t="str">
            <v>High Rise Campus</v>
          </cell>
          <cell r="N80" t="str">
            <v/>
          </cell>
          <cell r="O80" t="str">
            <v>M002700</v>
          </cell>
          <cell r="P80" t="str">
            <v>NY005000270</v>
          </cell>
          <cell r="Q80" t="str">
            <v>FEDERAL</v>
          </cell>
        </row>
        <row r="81">
          <cell r="D81" t="str">
            <v>CARVER</v>
          </cell>
          <cell r="E81" t="str">
            <v>CARVER</v>
          </cell>
          <cell r="F81">
            <v>13</v>
          </cell>
          <cell r="G81">
            <v>1246</v>
          </cell>
          <cell r="H81">
            <v>1164050</v>
          </cell>
          <cell r="I81" t="str">
            <v>Property Management</v>
          </cell>
          <cell r="J81" t="str">
            <v/>
          </cell>
          <cell r="K81" t="str">
            <v/>
          </cell>
          <cell r="L81" t="str">
            <v/>
          </cell>
          <cell r="M81" t="str">
            <v>Med-High Rise Campus</v>
          </cell>
          <cell r="N81" t="str">
            <v/>
          </cell>
          <cell r="O81" t="str">
            <v>M005800</v>
          </cell>
          <cell r="P81" t="str">
            <v>NY005000580</v>
          </cell>
          <cell r="Q81" t="str">
            <v>FEDERAL</v>
          </cell>
        </row>
        <row r="82">
          <cell r="D82" t="str">
            <v>WILSON</v>
          </cell>
          <cell r="E82" t="str">
            <v>WILSON</v>
          </cell>
          <cell r="F82">
            <v>3</v>
          </cell>
          <cell r="G82">
            <v>398</v>
          </cell>
          <cell r="H82">
            <v>460700</v>
          </cell>
          <cell r="I82" t="str">
            <v>NGO1</v>
          </cell>
          <cell r="J82" t="str">
            <v/>
          </cell>
          <cell r="K82" t="str">
            <v/>
          </cell>
          <cell r="L82" t="str">
            <v/>
          </cell>
          <cell r="M82" t="str">
            <v>High Rise Campus</v>
          </cell>
          <cell r="N82" t="str">
            <v/>
          </cell>
          <cell r="O82" t="str">
            <v>M011200</v>
          </cell>
          <cell r="P82" t="str">
            <v>NY005010090</v>
          </cell>
          <cell r="Q82" t="str">
            <v>FEDERAL</v>
          </cell>
        </row>
        <row r="83">
          <cell r="D83" t="str">
            <v>LOWER EAST SIDE III</v>
          </cell>
          <cell r="E83" t="str">
            <v>KRAUS MANAGEMENT (PRIVATE - M/B1)</v>
          </cell>
          <cell r="F83">
            <v>3</v>
          </cell>
          <cell r="G83">
            <v>56</v>
          </cell>
          <cell r="H83">
            <v>69610</v>
          </cell>
          <cell r="I83" t="str">
            <v>Private Management</v>
          </cell>
          <cell r="J83" t="str">
            <v/>
          </cell>
          <cell r="K83" t="str">
            <v/>
          </cell>
          <cell r="L83" t="str">
            <v>Scattered</v>
          </cell>
          <cell r="M83" t="str">
            <v/>
          </cell>
          <cell r="N83" t="str">
            <v/>
          </cell>
          <cell r="O83" t="str">
            <v>M036400</v>
          </cell>
          <cell r="P83" t="str">
            <v>NY005013590</v>
          </cell>
          <cell r="Q83" t="str">
            <v>FEDERAL</v>
          </cell>
        </row>
        <row r="84">
          <cell r="D84" t="str">
            <v>LOWER EAST SIDE REHAB (GROUP 5)</v>
          </cell>
          <cell r="E84" t="str">
            <v>LOWER EAST SIDE CONSOLIDATED</v>
          </cell>
          <cell r="F84">
            <v>2</v>
          </cell>
          <cell r="G84">
            <v>54</v>
          </cell>
          <cell r="H84">
            <v>67225</v>
          </cell>
          <cell r="I84" t="str">
            <v>Property Management</v>
          </cell>
          <cell r="J84" t="str">
            <v/>
          </cell>
          <cell r="K84" t="str">
            <v/>
          </cell>
          <cell r="L84" t="str">
            <v/>
          </cell>
          <cell r="M84" t="str">
            <v>Med Rise Campus</v>
          </cell>
          <cell r="N84" t="str">
            <v/>
          </cell>
          <cell r="O84" t="str">
            <v>M029200</v>
          </cell>
          <cell r="P84" t="str">
            <v>NY005012920</v>
          </cell>
          <cell r="Q84" t="str">
            <v>FEDERAL</v>
          </cell>
        </row>
        <row r="85">
          <cell r="D85" t="str">
            <v>MANHATTANVILLE REHAB (GROUP 2)</v>
          </cell>
          <cell r="E85" t="str">
            <v>MANHATTANVILLE</v>
          </cell>
          <cell r="F85">
            <v>3</v>
          </cell>
          <cell r="G85">
            <v>46</v>
          </cell>
          <cell r="H85">
            <v>45560</v>
          </cell>
          <cell r="I85" t="str">
            <v>NGO-Mixed Finance</v>
          </cell>
          <cell r="J85" t="str">
            <v/>
          </cell>
          <cell r="K85" t="str">
            <v/>
          </cell>
          <cell r="L85" t="str">
            <v>Scattered</v>
          </cell>
          <cell r="M85" t="str">
            <v/>
          </cell>
          <cell r="N85" t="str">
            <v/>
          </cell>
          <cell r="O85" t="str">
            <v>M029600</v>
          </cell>
          <cell r="P85" t="str">
            <v>NY005010810</v>
          </cell>
          <cell r="Q85" t="str">
            <v>FEDERAL</v>
          </cell>
        </row>
        <row r="86">
          <cell r="D86" t="str">
            <v>MANHATTANVILLE REHAB (GROUP 3)</v>
          </cell>
          <cell r="E86" t="str">
            <v>MANHATTANVILLE</v>
          </cell>
          <cell r="F86">
            <v>2</v>
          </cell>
          <cell r="G86">
            <v>51</v>
          </cell>
          <cell r="H86">
            <v>59800</v>
          </cell>
          <cell r="I86" t="str">
            <v>NGO-Mixed Finance</v>
          </cell>
          <cell r="J86" t="str">
            <v/>
          </cell>
          <cell r="K86" t="str">
            <v/>
          </cell>
          <cell r="L86" t="str">
            <v>Scattered</v>
          </cell>
          <cell r="M86" t="str">
            <v/>
          </cell>
          <cell r="N86" t="str">
            <v/>
          </cell>
          <cell r="O86" t="str">
            <v>M029700</v>
          </cell>
          <cell r="P86" t="str">
            <v>NY005010810</v>
          </cell>
          <cell r="Q86" t="str">
            <v>FEDERAL</v>
          </cell>
        </row>
        <row r="87">
          <cell r="D87" t="str">
            <v>WASHINGTON HEIGHTS REHAB (GROUPS 1&amp;2)</v>
          </cell>
          <cell r="E87" t="str">
            <v>FORT WASHINGTON</v>
          </cell>
          <cell r="F87">
            <v>5</v>
          </cell>
          <cell r="G87">
            <v>214</v>
          </cell>
          <cell r="H87">
            <v>204600</v>
          </cell>
          <cell r="I87" t="str">
            <v>Property Management</v>
          </cell>
          <cell r="J87" t="str">
            <v/>
          </cell>
          <cell r="K87" t="str">
            <v/>
          </cell>
          <cell r="L87" t="str">
            <v>Scattered</v>
          </cell>
          <cell r="M87" t="str">
            <v/>
          </cell>
          <cell r="N87" t="str">
            <v/>
          </cell>
          <cell r="O87" t="str">
            <v>M029300</v>
          </cell>
          <cell r="P87" t="str">
            <v>NY005013090</v>
          </cell>
          <cell r="Q87" t="str">
            <v>FEDERAL</v>
          </cell>
        </row>
        <row r="88">
          <cell r="D88" t="str">
            <v>DOUGLASS I</v>
          </cell>
          <cell r="E88" t="str">
            <v>DOUGLASS</v>
          </cell>
          <cell r="F88">
            <v>11</v>
          </cell>
          <cell r="G88">
            <v>1302</v>
          </cell>
          <cell r="H88">
            <v>1393098</v>
          </cell>
          <cell r="I88" t="str">
            <v>Property Management</v>
          </cell>
          <cell r="J88" t="str">
            <v/>
          </cell>
          <cell r="K88" t="str">
            <v/>
          </cell>
          <cell r="L88" t="str">
            <v/>
          </cell>
          <cell r="M88" t="str">
            <v>Med-High Rise Campus</v>
          </cell>
          <cell r="N88" t="str">
            <v/>
          </cell>
          <cell r="O88" t="str">
            <v>M008200</v>
          </cell>
          <cell r="P88" t="str">
            <v>NY005010820</v>
          </cell>
          <cell r="Q88" t="str">
            <v>FEDERAL</v>
          </cell>
        </row>
        <row r="89">
          <cell r="D89" t="str">
            <v>DOUGLASS ADDITION</v>
          </cell>
          <cell r="E89" t="str">
            <v>DOUGLASS</v>
          </cell>
          <cell r="F89">
            <v>1</v>
          </cell>
          <cell r="G89">
            <v>135</v>
          </cell>
          <cell r="H89">
            <v>150080</v>
          </cell>
          <cell r="I89" t="str">
            <v>Property Management</v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>SA</v>
          </cell>
          <cell r="O89" t="str">
            <v>M014800</v>
          </cell>
          <cell r="P89" t="str">
            <v>NY005010820</v>
          </cell>
          <cell r="Q89" t="str">
            <v>FEDERAL</v>
          </cell>
        </row>
        <row r="90">
          <cell r="D90" t="str">
            <v>DOUGLASS II</v>
          </cell>
          <cell r="E90" t="str">
            <v>DOUGLASS</v>
          </cell>
          <cell r="F90">
            <v>6</v>
          </cell>
          <cell r="G90">
            <v>753</v>
          </cell>
          <cell r="H90">
            <v>828684</v>
          </cell>
          <cell r="I90" t="str">
            <v>Property Management</v>
          </cell>
          <cell r="J90" t="str">
            <v/>
          </cell>
          <cell r="K90" t="str">
            <v/>
          </cell>
          <cell r="L90" t="str">
            <v/>
          </cell>
          <cell r="M90" t="str">
            <v>Med-High Rise Campus</v>
          </cell>
          <cell r="N90" t="str">
            <v/>
          </cell>
          <cell r="O90" t="str">
            <v>M058200</v>
          </cell>
          <cell r="P90" t="str">
            <v>NY005010820</v>
          </cell>
          <cell r="Q90" t="str">
            <v>FEDERAL</v>
          </cell>
        </row>
        <row r="91">
          <cell r="D91" t="str">
            <v>WHITE</v>
          </cell>
          <cell r="E91" t="str">
            <v>WILSON</v>
          </cell>
          <cell r="F91">
            <v>1</v>
          </cell>
          <cell r="G91">
            <v>247</v>
          </cell>
          <cell r="H91">
            <v>146650</v>
          </cell>
          <cell r="I91" t="str">
            <v>NGO1</v>
          </cell>
          <cell r="J91" t="str">
            <v>Yes</v>
          </cell>
          <cell r="K91" t="str">
            <v>Stand Alone</v>
          </cell>
          <cell r="L91" t="str">
            <v/>
          </cell>
          <cell r="M91" t="str">
            <v/>
          </cell>
          <cell r="N91" t="str">
            <v>SA</v>
          </cell>
          <cell r="O91" t="str">
            <v>M012400</v>
          </cell>
          <cell r="P91" t="str">
            <v>NY005010090</v>
          </cell>
          <cell r="Q91" t="str">
            <v>FEDERAL</v>
          </cell>
        </row>
        <row r="92">
          <cell r="D92" t="str">
            <v>CAMPOS PLAZA II</v>
          </cell>
          <cell r="E92" t="str">
            <v>LOWER EAST SIDE CONSOLIDATED</v>
          </cell>
          <cell r="F92">
            <v>2</v>
          </cell>
          <cell r="G92">
            <v>224</v>
          </cell>
          <cell r="H92">
            <v>335728</v>
          </cell>
          <cell r="I92" t="str">
            <v>Property Management</v>
          </cell>
          <cell r="J92" t="str">
            <v/>
          </cell>
          <cell r="K92" t="str">
            <v/>
          </cell>
          <cell r="L92" t="str">
            <v/>
          </cell>
          <cell r="M92" t="str">
            <v>Med-High Rise Campus</v>
          </cell>
          <cell r="N92" t="str">
            <v/>
          </cell>
          <cell r="O92" t="str">
            <v>M028600</v>
          </cell>
          <cell r="P92" t="str">
            <v>NY005012570</v>
          </cell>
          <cell r="Q92" t="str">
            <v>FEDERAL</v>
          </cell>
        </row>
        <row r="93">
          <cell r="D93" t="str">
            <v>SAMUEL (CITY)</v>
          </cell>
          <cell r="E93" t="str">
            <v>SAMUEL</v>
          </cell>
          <cell r="F93">
            <v>42</v>
          </cell>
          <cell r="G93">
            <v>664</v>
          </cell>
          <cell r="H93">
            <v>795415</v>
          </cell>
          <cell r="I93" t="str">
            <v>NGO-Mixed Finance</v>
          </cell>
          <cell r="J93" t="str">
            <v/>
          </cell>
          <cell r="K93" t="str">
            <v/>
          </cell>
          <cell r="L93" t="str">
            <v>Scattered</v>
          </cell>
          <cell r="M93" t="str">
            <v/>
          </cell>
          <cell r="N93" t="str">
            <v/>
          </cell>
          <cell r="O93" t="str">
            <v>M037700</v>
          </cell>
          <cell r="P93" t="str">
            <v>NY005003770</v>
          </cell>
          <cell r="Q93" t="str">
            <v>MIXED FINANCE/LLC1</v>
          </cell>
        </row>
        <row r="94">
          <cell r="D94" t="str">
            <v>MARSHALL PLAZA</v>
          </cell>
          <cell r="E94" t="str">
            <v>HARLEM RIVER</v>
          </cell>
          <cell r="F94">
            <v>1</v>
          </cell>
          <cell r="G94">
            <v>180</v>
          </cell>
          <cell r="H94">
            <v>143700</v>
          </cell>
          <cell r="I94" t="str">
            <v>Property Management</v>
          </cell>
          <cell r="J94" t="str">
            <v>Yes</v>
          </cell>
          <cell r="K94" t="str">
            <v>Stand Alone</v>
          </cell>
          <cell r="L94" t="str">
            <v/>
          </cell>
          <cell r="M94" t="str">
            <v/>
          </cell>
          <cell r="N94" t="str">
            <v>SA</v>
          </cell>
          <cell r="O94" t="str">
            <v>M034400</v>
          </cell>
          <cell r="P94" t="str">
            <v>NY005010030</v>
          </cell>
          <cell r="Q94" t="str">
            <v>FEDERAL</v>
          </cell>
        </row>
        <row r="95">
          <cell r="D95" t="str">
            <v>WASHINGTON HEIGHTS REHAB PHASE III</v>
          </cell>
          <cell r="E95" t="str">
            <v>FORT WASHINGTON - BLDG 1/HARLEM RIVER - BLDS 2-8</v>
          </cell>
          <cell r="F95">
            <v>7</v>
          </cell>
          <cell r="G95">
            <v>88</v>
          </cell>
          <cell r="H95">
            <v>100520</v>
          </cell>
          <cell r="I95" t="str">
            <v>Property Management</v>
          </cell>
          <cell r="J95" t="str">
            <v/>
          </cell>
          <cell r="K95" t="str">
            <v/>
          </cell>
          <cell r="L95" t="str">
            <v>Scattered</v>
          </cell>
          <cell r="M95" t="str">
            <v/>
          </cell>
          <cell r="N95" t="str">
            <v/>
          </cell>
          <cell r="O95" t="str">
            <v>M052300</v>
          </cell>
          <cell r="P95" t="str">
            <v>NY005013090</v>
          </cell>
          <cell r="Q95" t="str">
            <v>FEDERAL</v>
          </cell>
        </row>
        <row r="96">
          <cell r="D96" t="str">
            <v>UPACA (SITE 5)</v>
          </cell>
          <cell r="E96" t="str">
            <v>ROBINSON</v>
          </cell>
          <cell r="F96">
            <v>1</v>
          </cell>
          <cell r="G96">
            <v>180</v>
          </cell>
          <cell r="H96">
            <v>158200</v>
          </cell>
          <cell r="I96" t="str">
            <v>Property Management</v>
          </cell>
          <cell r="J96" t="str">
            <v>Yes</v>
          </cell>
          <cell r="K96" t="str">
            <v>Stand Alone</v>
          </cell>
          <cell r="L96" t="str">
            <v/>
          </cell>
          <cell r="M96" t="str">
            <v/>
          </cell>
          <cell r="N96" t="str">
            <v>SA</v>
          </cell>
          <cell r="O96" t="str">
            <v>M034300</v>
          </cell>
          <cell r="P96" t="str">
            <v>NY005012410</v>
          </cell>
          <cell r="Q96" t="str">
            <v>FEDERAL</v>
          </cell>
        </row>
        <row r="97">
          <cell r="D97" t="str">
            <v>UPACA (SITE 6)</v>
          </cell>
          <cell r="E97" t="str">
            <v>ROBINSON</v>
          </cell>
          <cell r="F97">
            <v>1</v>
          </cell>
          <cell r="G97">
            <v>150</v>
          </cell>
          <cell r="H97">
            <v>134100</v>
          </cell>
          <cell r="I97" t="str">
            <v>Property Management</v>
          </cell>
          <cell r="J97" t="str">
            <v>Yes</v>
          </cell>
          <cell r="K97" t="str">
            <v>Stand Alone</v>
          </cell>
          <cell r="L97" t="str">
            <v/>
          </cell>
          <cell r="M97" t="str">
            <v/>
          </cell>
          <cell r="N97" t="str">
            <v>SA</v>
          </cell>
          <cell r="O97" t="str">
            <v>M035500</v>
          </cell>
          <cell r="P97" t="str">
            <v>NY005012410</v>
          </cell>
          <cell r="Q97" t="str">
            <v>FEDERAL</v>
          </cell>
        </row>
        <row r="98">
          <cell r="D98" t="str">
            <v>PUBLIC SCHOOL 139 (CONVERSION)</v>
          </cell>
          <cell r="E98" t="str">
            <v>DREW-HAMILTON</v>
          </cell>
          <cell r="F98">
            <v>1</v>
          </cell>
          <cell r="G98">
            <v>125</v>
          </cell>
          <cell r="H98">
            <v>99750</v>
          </cell>
          <cell r="I98" t="str">
            <v>NGO-Mixed Finance</v>
          </cell>
          <cell r="J98" t="str">
            <v>Yes</v>
          </cell>
          <cell r="K98" t="str">
            <v>Stand Alone</v>
          </cell>
          <cell r="L98" t="str">
            <v/>
          </cell>
          <cell r="M98" t="str">
            <v/>
          </cell>
          <cell r="N98" t="str">
            <v>SA</v>
          </cell>
          <cell r="O98" t="str">
            <v>M034000</v>
          </cell>
          <cell r="P98" t="str">
            <v>NY005011110</v>
          </cell>
          <cell r="Q98" t="str">
            <v>FEDERAL</v>
          </cell>
        </row>
        <row r="99">
          <cell r="D99" t="str">
            <v>LOWER EAST SIDE II</v>
          </cell>
          <cell r="E99" t="str">
            <v>LOWER EAST SIDE CONSOLIDATED</v>
          </cell>
          <cell r="F99">
            <v>5</v>
          </cell>
          <cell r="G99">
            <v>186</v>
          </cell>
          <cell r="H99">
            <v>193140</v>
          </cell>
          <cell r="I99" t="str">
            <v>Property Management</v>
          </cell>
          <cell r="J99" t="str">
            <v/>
          </cell>
          <cell r="K99" t="str">
            <v/>
          </cell>
          <cell r="L99" t="str">
            <v>Scattered</v>
          </cell>
          <cell r="M99" t="str">
            <v/>
          </cell>
          <cell r="N99" t="str">
            <v/>
          </cell>
          <cell r="O99" t="str">
            <v>M033700</v>
          </cell>
          <cell r="P99" t="str">
            <v>NY005012920</v>
          </cell>
          <cell r="Q99" t="str">
            <v>FEDERAL</v>
          </cell>
        </row>
        <row r="100">
          <cell r="D100" t="str">
            <v>LOWER EAST SIDE I INFILL</v>
          </cell>
          <cell r="E100" t="str">
            <v>GOMPERS</v>
          </cell>
          <cell r="F100">
            <v>5</v>
          </cell>
          <cell r="G100">
            <v>189</v>
          </cell>
          <cell r="H100">
            <v>201034</v>
          </cell>
          <cell r="I100" t="str">
            <v>Property Management</v>
          </cell>
          <cell r="J100" t="str">
            <v/>
          </cell>
          <cell r="K100" t="str">
            <v/>
          </cell>
          <cell r="L100" t="str">
            <v>Scattered</v>
          </cell>
          <cell r="M100" t="str">
            <v/>
          </cell>
          <cell r="N100" t="str">
            <v/>
          </cell>
          <cell r="O100" t="str">
            <v>M032600</v>
          </cell>
          <cell r="P100" t="str">
            <v>NY005011000</v>
          </cell>
          <cell r="Q100" t="str">
            <v>FEDERAL</v>
          </cell>
        </row>
        <row r="101">
          <cell r="D101" t="str">
            <v>WASHINGTON HEIGHTS REHAB PHASE IV (C)</v>
          </cell>
          <cell r="E101" t="str">
            <v>FORT WASHINGTON</v>
          </cell>
          <cell r="F101">
            <v>2</v>
          </cell>
          <cell r="G101">
            <v>32</v>
          </cell>
          <cell r="H101">
            <v>31310</v>
          </cell>
          <cell r="I101" t="str">
            <v>Property Management</v>
          </cell>
          <cell r="J101" t="str">
            <v/>
          </cell>
          <cell r="K101" t="str">
            <v/>
          </cell>
          <cell r="L101" t="str">
            <v>Scattered</v>
          </cell>
          <cell r="M101" t="str">
            <v/>
          </cell>
          <cell r="N101" t="str">
            <v/>
          </cell>
          <cell r="O101" t="str">
            <v>M033000</v>
          </cell>
          <cell r="P101" t="str">
            <v>NY005013090</v>
          </cell>
          <cell r="Q101" t="str">
            <v>FEDERAL</v>
          </cell>
        </row>
        <row r="102">
          <cell r="D102" t="str">
            <v>WASHINGTON HEIGHTS REHAB PHASE IV (D)</v>
          </cell>
          <cell r="E102" t="str">
            <v>FORT WASHINGTON</v>
          </cell>
          <cell r="F102">
            <v>2</v>
          </cell>
          <cell r="G102">
            <v>32</v>
          </cell>
          <cell r="H102">
            <v>32150</v>
          </cell>
          <cell r="I102" t="str">
            <v>Property Management</v>
          </cell>
          <cell r="J102" t="str">
            <v/>
          </cell>
          <cell r="K102" t="str">
            <v/>
          </cell>
          <cell r="L102" t="str">
            <v>Scattered</v>
          </cell>
          <cell r="M102" t="str">
            <v/>
          </cell>
          <cell r="N102" t="str">
            <v/>
          </cell>
          <cell r="O102" t="str">
            <v>M033100</v>
          </cell>
          <cell r="P102" t="str">
            <v>NY005013090</v>
          </cell>
          <cell r="Q102" t="str">
            <v>FEDERAL</v>
          </cell>
        </row>
        <row r="103">
          <cell r="D103" t="str">
            <v>154 WEST 84TH STREET</v>
          </cell>
          <cell r="E103" t="str">
            <v>KRAUS MANAGEMENT (PRIVATE - M/B 1)</v>
          </cell>
          <cell r="F103">
            <v>1</v>
          </cell>
          <cell r="G103">
            <v>35</v>
          </cell>
          <cell r="H103">
            <v>41210</v>
          </cell>
          <cell r="I103" t="str">
            <v>Private Management</v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>SA</v>
          </cell>
          <cell r="O103" t="str">
            <v>M035900</v>
          </cell>
          <cell r="P103" t="str">
            <v>NY005013590</v>
          </cell>
          <cell r="Q103" t="str">
            <v>FEDERAL</v>
          </cell>
        </row>
        <row r="104">
          <cell r="D104" t="str">
            <v>STANTON STREET</v>
          </cell>
          <cell r="E104" t="str">
            <v>KRAUS MANAGEMENT (PRIVATE - M/B 1)</v>
          </cell>
          <cell r="F104">
            <v>1</v>
          </cell>
          <cell r="G104">
            <v>13</v>
          </cell>
          <cell r="H104">
            <v>19700</v>
          </cell>
          <cell r="I104" t="str">
            <v>Private Management</v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>SA</v>
          </cell>
          <cell r="O104" t="str">
            <v>M055900</v>
          </cell>
          <cell r="P104" t="str">
            <v>NY005013590</v>
          </cell>
          <cell r="Q104" t="str">
            <v>FEDERAL</v>
          </cell>
        </row>
        <row r="105">
          <cell r="D105" t="str">
            <v>SAMUEL (MHOP) I</v>
          </cell>
          <cell r="E105" t="str">
            <v>KRAUS MANAGEMENT (PRIVATE - M/B 1)</v>
          </cell>
          <cell r="F105">
            <v>5</v>
          </cell>
          <cell r="G105">
            <v>27</v>
          </cell>
          <cell r="H105">
            <v>64684</v>
          </cell>
          <cell r="I105" t="str">
            <v>Private Management</v>
          </cell>
          <cell r="J105" t="str">
            <v/>
          </cell>
          <cell r="K105" t="str">
            <v/>
          </cell>
          <cell r="L105" t="str">
            <v>Scattered</v>
          </cell>
          <cell r="M105" t="str">
            <v/>
          </cell>
          <cell r="N105" t="str">
            <v/>
          </cell>
          <cell r="O105" t="str">
            <v>M038900</v>
          </cell>
          <cell r="P105" t="str">
            <v>NY005013170</v>
          </cell>
          <cell r="Q105" t="str">
            <v>MHOP</v>
          </cell>
        </row>
        <row r="106">
          <cell r="D106" t="str">
            <v>SAMUEL (MHOP) II</v>
          </cell>
          <cell r="E106" t="str">
            <v>KRAUS MANAGEMENT (PRIVATE - M/B 1)</v>
          </cell>
          <cell r="F106">
            <v>1</v>
          </cell>
          <cell r="G106">
            <v>5</v>
          </cell>
          <cell r="H106">
            <v>14280</v>
          </cell>
          <cell r="I106" t="str">
            <v>Private Management</v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>SA</v>
          </cell>
          <cell r="O106" t="str">
            <v>M039800</v>
          </cell>
          <cell r="P106" t="str">
            <v>NY005013170</v>
          </cell>
          <cell r="Q106" t="str">
            <v>MHOP</v>
          </cell>
        </row>
        <row r="107">
          <cell r="D107" t="str">
            <v>CLASON POINT GARDENS</v>
          </cell>
          <cell r="E107" t="str">
            <v>SACK WERN</v>
          </cell>
          <cell r="F107">
            <v>46</v>
          </cell>
          <cell r="G107">
            <v>401</v>
          </cell>
          <cell r="H107">
            <v>349800</v>
          </cell>
          <cell r="I107" t="str">
            <v>Property Management</v>
          </cell>
          <cell r="J107" t="str">
            <v/>
          </cell>
          <cell r="K107" t="str">
            <v/>
          </cell>
          <cell r="L107" t="str">
            <v>Scattered</v>
          </cell>
          <cell r="M107" t="str">
            <v/>
          </cell>
          <cell r="N107" t="str">
            <v/>
          </cell>
          <cell r="O107" t="str">
            <v>B001100</v>
          </cell>
          <cell r="P107" t="str">
            <v>NY005012800</v>
          </cell>
          <cell r="Q107" t="str">
            <v>FEDERAL</v>
          </cell>
        </row>
        <row r="108">
          <cell r="D108" t="str">
            <v>EDENWALD</v>
          </cell>
          <cell r="E108" t="str">
            <v>EDENWALD</v>
          </cell>
          <cell r="F108">
            <v>42</v>
          </cell>
          <cell r="G108">
            <v>2035</v>
          </cell>
          <cell r="H108">
            <v>2003603</v>
          </cell>
          <cell r="I108" t="str">
            <v>Property Management</v>
          </cell>
          <cell r="J108" t="str">
            <v/>
          </cell>
          <cell r="K108" t="str">
            <v/>
          </cell>
          <cell r="L108" t="str">
            <v/>
          </cell>
          <cell r="M108" t="str">
            <v>Low-High Rise Campus</v>
          </cell>
          <cell r="N108" t="str">
            <v/>
          </cell>
          <cell r="O108" t="str">
            <v>B005700</v>
          </cell>
          <cell r="P108" t="str">
            <v>NY005000570</v>
          </cell>
          <cell r="Q108" t="str">
            <v>FEDERAL</v>
          </cell>
        </row>
        <row r="109">
          <cell r="D109" t="str">
            <v>THROGGS NECK</v>
          </cell>
          <cell r="E109" t="str">
            <v>THROGGS NECK</v>
          </cell>
          <cell r="F109">
            <v>31</v>
          </cell>
          <cell r="G109">
            <v>1182</v>
          </cell>
          <cell r="H109">
            <v>1286080</v>
          </cell>
          <cell r="I109" t="str">
            <v>Property Management</v>
          </cell>
          <cell r="J109" t="str">
            <v/>
          </cell>
          <cell r="K109" t="str">
            <v/>
          </cell>
          <cell r="L109" t="str">
            <v/>
          </cell>
          <cell r="M109" t="str">
            <v>Low-Med Rise Campus</v>
          </cell>
          <cell r="N109" t="str">
            <v/>
          </cell>
          <cell r="O109" t="str">
            <v>B006300</v>
          </cell>
          <cell r="P109" t="str">
            <v>NY005010630</v>
          </cell>
          <cell r="Q109" t="str">
            <v>FEDERAL</v>
          </cell>
        </row>
        <row r="110">
          <cell r="D110" t="str">
            <v>SOTOMAYOR HOUSES</v>
          </cell>
          <cell r="E110" t="str">
            <v>SOTOMAYOR HOUSES</v>
          </cell>
          <cell r="F110">
            <v>31</v>
          </cell>
          <cell r="G110">
            <v>1497</v>
          </cell>
          <cell r="H110">
            <v>1504670</v>
          </cell>
          <cell r="I110" t="str">
            <v>Property Management</v>
          </cell>
          <cell r="J110" t="str">
            <v/>
          </cell>
          <cell r="K110" t="str">
            <v/>
          </cell>
          <cell r="L110" t="str">
            <v/>
          </cell>
          <cell r="M110" t="str">
            <v>Med Rise Campus</v>
          </cell>
          <cell r="N110" t="str">
            <v/>
          </cell>
          <cell r="O110" t="str">
            <v>B006700</v>
          </cell>
          <cell r="P110" t="str">
            <v>NY005010670</v>
          </cell>
          <cell r="Q110" t="str">
            <v>FEDERAL</v>
          </cell>
        </row>
        <row r="111">
          <cell r="D111" t="str">
            <v>HIGHBRIDGE GARDENS</v>
          </cell>
          <cell r="E111" t="str">
            <v>HIGHBRIDGE GARDENS</v>
          </cell>
          <cell r="F111">
            <v>6</v>
          </cell>
          <cell r="G111">
            <v>700</v>
          </cell>
          <cell r="H111">
            <v>635770</v>
          </cell>
          <cell r="I111" t="str">
            <v>Property Management</v>
          </cell>
          <cell r="J111" t="str">
            <v/>
          </cell>
          <cell r="K111" t="str">
            <v/>
          </cell>
          <cell r="L111" t="str">
            <v/>
          </cell>
          <cell r="M111" t="str">
            <v>High Rise Campus</v>
          </cell>
          <cell r="N111" t="str">
            <v/>
          </cell>
          <cell r="O111" t="str">
            <v>B007800</v>
          </cell>
          <cell r="P111" t="str">
            <v>NY005000780</v>
          </cell>
          <cell r="Q111" t="str">
            <v>FEDERAL</v>
          </cell>
        </row>
        <row r="112">
          <cell r="D112" t="str">
            <v>WEBSTER</v>
          </cell>
          <cell r="E112" t="str">
            <v>WEBSTER</v>
          </cell>
          <cell r="F112">
            <v>6</v>
          </cell>
          <cell r="G112">
            <v>605</v>
          </cell>
          <cell r="H112">
            <v>584050</v>
          </cell>
          <cell r="I112" t="str">
            <v>Property Management</v>
          </cell>
          <cell r="J112" t="str">
            <v/>
          </cell>
          <cell r="K112" t="str">
            <v/>
          </cell>
          <cell r="L112" t="str">
            <v/>
          </cell>
          <cell r="M112" t="str">
            <v>High Rise Campus</v>
          </cell>
          <cell r="N112" t="str">
            <v/>
          </cell>
          <cell r="O112" t="str">
            <v>B014100</v>
          </cell>
          <cell r="P112" t="str">
            <v>NY005011410</v>
          </cell>
          <cell r="Q112" t="str">
            <v>FEDERAL</v>
          </cell>
        </row>
        <row r="113">
          <cell r="D113" t="str">
            <v>MONROE</v>
          </cell>
          <cell r="E113" t="str">
            <v>MONROE</v>
          </cell>
          <cell r="F113">
            <v>13</v>
          </cell>
          <cell r="G113">
            <v>1101</v>
          </cell>
          <cell r="H113">
            <v>1170600</v>
          </cell>
          <cell r="I113" t="str">
            <v>Property Management</v>
          </cell>
          <cell r="J113" t="str">
            <v/>
          </cell>
          <cell r="K113" t="str">
            <v/>
          </cell>
          <cell r="L113" t="str">
            <v/>
          </cell>
          <cell r="M113" t="str">
            <v>Med-High Rise Campus</v>
          </cell>
          <cell r="N113" t="str">
            <v/>
          </cell>
          <cell r="O113" t="str">
            <v>B008800</v>
          </cell>
          <cell r="P113" t="str">
            <v>NY005000880</v>
          </cell>
          <cell r="Q113" t="str">
            <v>FEDERAL</v>
          </cell>
        </row>
        <row r="114">
          <cell r="D114" t="str">
            <v>MCKINLEY</v>
          </cell>
          <cell r="E114" t="str">
            <v>FOREST</v>
          </cell>
          <cell r="F114">
            <v>6</v>
          </cell>
          <cell r="G114">
            <v>616</v>
          </cell>
          <cell r="H114">
            <v>641719</v>
          </cell>
          <cell r="I114" t="str">
            <v>Property Management</v>
          </cell>
          <cell r="J114" t="str">
            <v/>
          </cell>
          <cell r="K114" t="str">
            <v/>
          </cell>
          <cell r="L114" t="str">
            <v/>
          </cell>
          <cell r="M114" t="str">
            <v>High Rise Campus</v>
          </cell>
          <cell r="N114" t="str">
            <v/>
          </cell>
          <cell r="O114" t="str">
            <v>B010300</v>
          </cell>
          <cell r="P114" t="str">
            <v>NY005000590</v>
          </cell>
          <cell r="Q114" t="str">
            <v>FEDERAL</v>
          </cell>
        </row>
        <row r="115">
          <cell r="D115" t="str">
            <v>MORRIS I</v>
          </cell>
          <cell r="E115" t="str">
            <v>MORRIS</v>
          </cell>
          <cell r="F115">
            <v>10</v>
          </cell>
          <cell r="G115">
            <v>1083</v>
          </cell>
          <cell r="H115">
            <v>1128150</v>
          </cell>
          <cell r="I115" t="str">
            <v>Property Management</v>
          </cell>
          <cell r="J115" t="str">
            <v/>
          </cell>
          <cell r="K115" t="str">
            <v/>
          </cell>
          <cell r="L115" t="str">
            <v/>
          </cell>
          <cell r="M115" t="str">
            <v>High Rise Campus</v>
          </cell>
          <cell r="N115" t="str">
            <v/>
          </cell>
          <cell r="O115" t="str">
            <v>B010200</v>
          </cell>
          <cell r="P115" t="str">
            <v>NY005011020</v>
          </cell>
          <cell r="Q115" t="str">
            <v>FEDERAL</v>
          </cell>
        </row>
        <row r="116">
          <cell r="D116" t="str">
            <v>JACKSON</v>
          </cell>
          <cell r="E116" t="str">
            <v>MORRISANIA AIR RIGHTS</v>
          </cell>
          <cell r="F116">
            <v>8</v>
          </cell>
          <cell r="G116">
            <v>868</v>
          </cell>
          <cell r="H116">
            <v>859900</v>
          </cell>
          <cell r="I116" t="str">
            <v>Property Management</v>
          </cell>
          <cell r="J116" t="str">
            <v/>
          </cell>
          <cell r="K116" t="str">
            <v/>
          </cell>
          <cell r="L116" t="str">
            <v/>
          </cell>
          <cell r="M116" t="str">
            <v>High Rise Campus</v>
          </cell>
          <cell r="N116" t="str">
            <v/>
          </cell>
          <cell r="O116" t="str">
            <v>B012000</v>
          </cell>
          <cell r="P116" t="str">
            <v>NY005012670</v>
          </cell>
          <cell r="Q116" t="str">
            <v>FEDERAL</v>
          </cell>
        </row>
        <row r="117">
          <cell r="D117" t="str">
            <v>MOTT HAVEN</v>
          </cell>
          <cell r="E117" t="str">
            <v>MOTT HAVEN</v>
          </cell>
          <cell r="F117">
            <v>9</v>
          </cell>
          <cell r="G117">
            <v>992</v>
          </cell>
          <cell r="H117">
            <v>1017350</v>
          </cell>
          <cell r="I117" t="str">
            <v>NGO1</v>
          </cell>
          <cell r="J117" t="str">
            <v/>
          </cell>
          <cell r="K117" t="str">
            <v/>
          </cell>
          <cell r="L117" t="str">
            <v/>
          </cell>
          <cell r="M117" t="str">
            <v>High Rise Campus</v>
          </cell>
          <cell r="N117" t="str">
            <v/>
          </cell>
          <cell r="O117" t="str">
            <v>B012100</v>
          </cell>
          <cell r="P117" t="str">
            <v>NY005001210</v>
          </cell>
          <cell r="Q117" t="str">
            <v>FEDERAL</v>
          </cell>
        </row>
        <row r="118">
          <cell r="D118" t="str">
            <v>ADAMS</v>
          </cell>
          <cell r="E118" t="str">
            <v>ADAMS</v>
          </cell>
          <cell r="F118">
            <v>7</v>
          </cell>
          <cell r="G118">
            <v>925</v>
          </cell>
          <cell r="H118">
            <v>906500</v>
          </cell>
          <cell r="I118" t="str">
            <v>Property Management</v>
          </cell>
          <cell r="J118" t="str">
            <v/>
          </cell>
          <cell r="K118" t="str">
            <v/>
          </cell>
          <cell r="L118" t="str">
            <v/>
          </cell>
          <cell r="M118" t="str">
            <v>High Rise Campus</v>
          </cell>
          <cell r="N118" t="str">
            <v/>
          </cell>
          <cell r="O118" t="str">
            <v>B011800</v>
          </cell>
          <cell r="P118" t="str">
            <v>NY005001180</v>
          </cell>
          <cell r="Q118" t="str">
            <v>FEDERAL</v>
          </cell>
        </row>
        <row r="119">
          <cell r="D119" t="str">
            <v>MITCHEL</v>
          </cell>
          <cell r="E119" t="str">
            <v>MITCHEL</v>
          </cell>
          <cell r="F119">
            <v>11</v>
          </cell>
          <cell r="G119">
            <v>1730</v>
          </cell>
          <cell r="H119">
            <v>1668042</v>
          </cell>
          <cell r="I119" t="str">
            <v>NGO1</v>
          </cell>
          <cell r="J119" t="str">
            <v/>
          </cell>
          <cell r="K119" t="str">
            <v/>
          </cell>
          <cell r="L119" t="str">
            <v/>
          </cell>
          <cell r="M119" t="str">
            <v>High Rise Campus</v>
          </cell>
          <cell r="N119" t="str">
            <v/>
          </cell>
          <cell r="O119" t="str">
            <v>B014500</v>
          </cell>
          <cell r="P119" t="str">
            <v>NY005011450</v>
          </cell>
          <cell r="Q119" t="str">
            <v>FEDERAL</v>
          </cell>
        </row>
        <row r="120">
          <cell r="D120" t="str">
            <v>MORRISANIA</v>
          </cell>
          <cell r="E120" t="str">
            <v>WEBSTER</v>
          </cell>
          <cell r="F120">
            <v>2</v>
          </cell>
          <cell r="G120">
            <v>206</v>
          </cell>
          <cell r="H120">
            <v>194550</v>
          </cell>
          <cell r="I120" t="str">
            <v>Property Management</v>
          </cell>
          <cell r="J120" t="str">
            <v/>
          </cell>
          <cell r="K120" t="str">
            <v/>
          </cell>
          <cell r="L120" t="str">
            <v/>
          </cell>
          <cell r="M120" t="str">
            <v>High Rise Campus</v>
          </cell>
          <cell r="N120" t="str">
            <v/>
          </cell>
          <cell r="O120" t="str">
            <v>B013000</v>
          </cell>
          <cell r="P120" t="str">
            <v>NY005011410</v>
          </cell>
          <cell r="Q120" t="str">
            <v>FEDERAL</v>
          </cell>
        </row>
        <row r="121">
          <cell r="D121" t="str">
            <v>MOORE</v>
          </cell>
          <cell r="E121" t="str">
            <v>SAINT MARY'S PARK</v>
          </cell>
          <cell r="F121">
            <v>2</v>
          </cell>
          <cell r="G121">
            <v>463</v>
          </cell>
          <cell r="H121">
            <v>448280</v>
          </cell>
          <cell r="I121" t="str">
            <v>NGO-Mixed Finance</v>
          </cell>
          <cell r="J121" t="str">
            <v/>
          </cell>
          <cell r="K121" t="str">
            <v/>
          </cell>
          <cell r="L121" t="str">
            <v/>
          </cell>
          <cell r="M121" t="str">
            <v>High Rise Campus</v>
          </cell>
          <cell r="N121" t="str">
            <v/>
          </cell>
          <cell r="O121" t="str">
            <v>B012900</v>
          </cell>
          <cell r="P121" t="str">
            <v>NY005010930</v>
          </cell>
          <cell r="Q121" t="str">
            <v>FEDERAL</v>
          </cell>
        </row>
        <row r="122">
          <cell r="D122" t="str">
            <v>BOSTON SECOR</v>
          </cell>
          <cell r="E122" t="str">
            <v>BOSTON SECOR</v>
          </cell>
          <cell r="F122">
            <v>6</v>
          </cell>
          <cell r="G122">
            <v>538</v>
          </cell>
          <cell r="H122">
            <v>569000</v>
          </cell>
          <cell r="I122" t="str">
            <v>NGO1</v>
          </cell>
          <cell r="J122" t="str">
            <v/>
          </cell>
          <cell r="K122" t="str">
            <v/>
          </cell>
          <cell r="L122" t="str">
            <v/>
          </cell>
          <cell r="M122" t="str">
            <v>High Rise Campus</v>
          </cell>
          <cell r="N122" t="str">
            <v/>
          </cell>
          <cell r="O122" t="str">
            <v>B013800</v>
          </cell>
          <cell r="P122" t="str">
            <v>NY005011380</v>
          </cell>
          <cell r="Q122" t="str">
            <v>FEDERAL</v>
          </cell>
        </row>
        <row r="123">
          <cell r="D123" t="str">
            <v>MORRIS II</v>
          </cell>
          <cell r="E123" t="str">
            <v>MORRIS</v>
          </cell>
          <cell r="F123">
            <v>7</v>
          </cell>
          <cell r="G123">
            <v>802</v>
          </cell>
          <cell r="H123">
            <v>792250</v>
          </cell>
          <cell r="I123" t="str">
            <v>Property Management</v>
          </cell>
          <cell r="J123" t="str">
            <v/>
          </cell>
          <cell r="K123" t="str">
            <v/>
          </cell>
          <cell r="L123" t="str">
            <v/>
          </cell>
          <cell r="M123" t="str">
            <v>High Rise Campus</v>
          </cell>
          <cell r="N123" t="str">
            <v/>
          </cell>
          <cell r="O123" t="str">
            <v>B050200</v>
          </cell>
          <cell r="P123" t="str">
            <v>NY005011020</v>
          </cell>
          <cell r="Q123" t="str">
            <v>FEDERAL</v>
          </cell>
        </row>
        <row r="124">
          <cell r="D124" t="str">
            <v>1010 EAST 178TH STREET</v>
          </cell>
          <cell r="E124" t="str">
            <v>MURPHY</v>
          </cell>
          <cell r="F124">
            <v>1</v>
          </cell>
          <cell r="G124">
            <v>218</v>
          </cell>
          <cell r="H124">
            <v>192600</v>
          </cell>
          <cell r="I124" t="str">
            <v>NGO1</v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>SA</v>
          </cell>
          <cell r="O124" t="str">
            <v>B018000</v>
          </cell>
          <cell r="P124" t="str">
            <v>NY005011330</v>
          </cell>
          <cell r="Q124" t="str">
            <v>FEDERAL</v>
          </cell>
        </row>
        <row r="125">
          <cell r="D125" t="str">
            <v>BETANCES II, 9A</v>
          </cell>
          <cell r="E125" t="str">
            <v>BETANCES</v>
          </cell>
          <cell r="F125">
            <v>1</v>
          </cell>
          <cell r="G125">
            <v>46</v>
          </cell>
          <cell r="H125">
            <v>40220</v>
          </cell>
          <cell r="I125" t="str">
            <v>Property Management</v>
          </cell>
          <cell r="J125" t="str">
            <v/>
          </cell>
          <cell r="K125" t="str">
            <v/>
          </cell>
          <cell r="L125" t="str">
            <v>Scattered</v>
          </cell>
          <cell r="M125" t="str">
            <v/>
          </cell>
          <cell r="N125" t="str">
            <v/>
          </cell>
          <cell r="O125" t="str">
            <v>B022000</v>
          </cell>
          <cell r="P125" t="str">
            <v>NY005012110</v>
          </cell>
          <cell r="Q125" t="str">
            <v>FEDERAL</v>
          </cell>
        </row>
        <row r="126">
          <cell r="D126" t="str">
            <v>BETANCES II, 13</v>
          </cell>
          <cell r="E126" t="str">
            <v>MILL BROOK</v>
          </cell>
          <cell r="F126">
            <v>1</v>
          </cell>
          <cell r="G126">
            <v>51</v>
          </cell>
          <cell r="H126">
            <v>62150</v>
          </cell>
          <cell r="I126" t="str">
            <v>NGO1</v>
          </cell>
          <cell r="J126" t="str">
            <v/>
          </cell>
          <cell r="K126" t="str">
            <v/>
          </cell>
          <cell r="L126" t="str">
            <v>Scattered</v>
          </cell>
          <cell r="M126" t="str">
            <v/>
          </cell>
          <cell r="N126" t="str">
            <v/>
          </cell>
          <cell r="O126" t="str">
            <v>B051800</v>
          </cell>
          <cell r="P126" t="str">
            <v>NY005010840</v>
          </cell>
          <cell r="Q126" t="str">
            <v>FEDERAL</v>
          </cell>
        </row>
        <row r="127">
          <cell r="D127" t="str">
            <v>DAVIDSON</v>
          </cell>
          <cell r="E127" t="str">
            <v>UNION AVENUE CONSOLIDATED</v>
          </cell>
          <cell r="F127">
            <v>1</v>
          </cell>
          <cell r="G127">
            <v>175</v>
          </cell>
          <cell r="H127">
            <v>196950</v>
          </cell>
          <cell r="I127" t="str">
            <v>Property Management</v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>SA</v>
          </cell>
          <cell r="O127" t="str">
            <v>B019000</v>
          </cell>
          <cell r="P127" t="str">
            <v>NY005013420</v>
          </cell>
          <cell r="Q127" t="str">
            <v>FEDERAL</v>
          </cell>
        </row>
        <row r="128">
          <cell r="D128" t="str">
            <v>MIDDLETOWN PLAZA</v>
          </cell>
          <cell r="E128" t="str">
            <v>EASTCHESTER GARDENS</v>
          </cell>
          <cell r="F128">
            <v>1</v>
          </cell>
          <cell r="G128">
            <v>177</v>
          </cell>
          <cell r="H128">
            <v>150800</v>
          </cell>
          <cell r="I128" t="str">
            <v>Property Management</v>
          </cell>
          <cell r="J128" t="str">
            <v>Yes</v>
          </cell>
          <cell r="K128" t="str">
            <v>Stand Alone</v>
          </cell>
          <cell r="L128" t="str">
            <v/>
          </cell>
          <cell r="M128" t="str">
            <v/>
          </cell>
          <cell r="N128" t="str">
            <v>SA</v>
          </cell>
          <cell r="O128" t="str">
            <v>B019100</v>
          </cell>
          <cell r="P128" t="str">
            <v>NY005010340</v>
          </cell>
          <cell r="Q128" t="str">
            <v>FEDERAL</v>
          </cell>
        </row>
        <row r="129">
          <cell r="D129" t="str">
            <v>THROGGS NECK ADDITION</v>
          </cell>
          <cell r="E129" t="str">
            <v>THROGGS NECK</v>
          </cell>
          <cell r="F129">
            <v>4</v>
          </cell>
          <cell r="G129">
            <v>287</v>
          </cell>
          <cell r="H129">
            <v>397970</v>
          </cell>
          <cell r="I129" t="str">
            <v>Property Management</v>
          </cell>
          <cell r="J129" t="str">
            <v/>
          </cell>
          <cell r="K129" t="str">
            <v/>
          </cell>
          <cell r="L129" t="str">
            <v/>
          </cell>
          <cell r="M129" t="str">
            <v>Med-High Rise Campus</v>
          </cell>
          <cell r="N129" t="str">
            <v/>
          </cell>
          <cell r="O129" t="str">
            <v>B019300</v>
          </cell>
          <cell r="P129" t="str">
            <v>NY005010630</v>
          </cell>
          <cell r="Q129" t="str">
            <v>FEDERAL</v>
          </cell>
        </row>
        <row r="130">
          <cell r="D130" t="str">
            <v>BOSTON ROAD PLAZA</v>
          </cell>
          <cell r="E130" t="str">
            <v>PELHAM PARKWAY</v>
          </cell>
          <cell r="F130">
            <v>2</v>
          </cell>
          <cell r="G130">
            <v>233</v>
          </cell>
          <cell r="H130">
            <v>183900</v>
          </cell>
          <cell r="I130" t="str">
            <v>Property Management</v>
          </cell>
          <cell r="J130" t="str">
            <v>Yes</v>
          </cell>
          <cell r="K130" t="str">
            <v>Stand Alone</v>
          </cell>
          <cell r="L130" t="str">
            <v/>
          </cell>
          <cell r="M130" t="str">
            <v/>
          </cell>
          <cell r="N130" t="str">
            <v>SA</v>
          </cell>
          <cell r="O130" t="str">
            <v>B018900</v>
          </cell>
          <cell r="P130" t="str">
            <v>NY005010390</v>
          </cell>
          <cell r="Q130" t="str">
            <v>FEDERAL</v>
          </cell>
        </row>
        <row r="131">
          <cell r="D131" t="str">
            <v>FORT INDEPENDENCE STREET-HEATH AVENUE</v>
          </cell>
          <cell r="E131" t="str">
            <v>FORT INDEPENDENCE</v>
          </cell>
          <cell r="F131">
            <v>1</v>
          </cell>
          <cell r="G131">
            <v>342</v>
          </cell>
          <cell r="H131">
            <v>386450</v>
          </cell>
          <cell r="I131" t="str">
            <v>Property Management</v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>SA</v>
          </cell>
          <cell r="O131" t="str">
            <v>B019700</v>
          </cell>
          <cell r="P131" t="str">
            <v>NY005012020</v>
          </cell>
          <cell r="Q131" t="str">
            <v>FEDERAL</v>
          </cell>
        </row>
        <row r="132">
          <cell r="D132" t="str">
            <v>BAILEY AVENUE-WEST 193RD STREET</v>
          </cell>
          <cell r="E132" t="str">
            <v>FORT INDEPENDENCE</v>
          </cell>
          <cell r="F132">
            <v>1</v>
          </cell>
          <cell r="G132">
            <v>233</v>
          </cell>
          <cell r="H132">
            <v>99600</v>
          </cell>
          <cell r="I132" t="str">
            <v>Property Management</v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>SA</v>
          </cell>
          <cell r="O132" t="str">
            <v>B020200</v>
          </cell>
          <cell r="P132" t="str">
            <v>NY005012020</v>
          </cell>
          <cell r="Q132" t="str">
            <v>FEDERAL</v>
          </cell>
        </row>
        <row r="133">
          <cell r="D133" t="str">
            <v>EASTCHESTER GARDENS</v>
          </cell>
          <cell r="E133" t="str">
            <v>EASTCHESTER GARDENS</v>
          </cell>
          <cell r="F133">
            <v>10</v>
          </cell>
          <cell r="G133">
            <v>877</v>
          </cell>
          <cell r="H133">
            <v>835395</v>
          </cell>
          <cell r="I133" t="str">
            <v>Property Management</v>
          </cell>
          <cell r="J133" t="str">
            <v/>
          </cell>
          <cell r="K133" t="str">
            <v/>
          </cell>
          <cell r="L133" t="str">
            <v/>
          </cell>
          <cell r="M133" t="str">
            <v>Med Rise Campus</v>
          </cell>
          <cell r="N133" t="str">
            <v/>
          </cell>
          <cell r="O133" t="str">
            <v>B003400</v>
          </cell>
          <cell r="P133" t="str">
            <v>NY005010340</v>
          </cell>
          <cell r="Q133" t="str">
            <v>FEDERAL</v>
          </cell>
        </row>
        <row r="134">
          <cell r="D134" t="str">
            <v>EAST 180TH STREET-MONTEREY AVENUE</v>
          </cell>
          <cell r="E134" t="str">
            <v>TWIN PARKS CONSOLIDATED</v>
          </cell>
          <cell r="F134">
            <v>2</v>
          </cell>
          <cell r="G134">
            <v>239</v>
          </cell>
          <cell r="H134">
            <v>238300</v>
          </cell>
          <cell r="I134" t="str">
            <v>Property Management</v>
          </cell>
          <cell r="J134" t="str">
            <v/>
          </cell>
          <cell r="K134" t="str">
            <v/>
          </cell>
          <cell r="L134" t="str">
            <v/>
          </cell>
          <cell r="M134" t="str">
            <v>High Rise Campus</v>
          </cell>
          <cell r="N134" t="str">
            <v/>
          </cell>
          <cell r="O134" t="str">
            <v>B020800</v>
          </cell>
          <cell r="P134" t="str">
            <v>NY005012270</v>
          </cell>
          <cell r="Q134" t="str">
            <v>FEDERAL</v>
          </cell>
        </row>
        <row r="135">
          <cell r="D135" t="str">
            <v>BETANCES I</v>
          </cell>
          <cell r="E135" t="str">
            <v>BETANCES</v>
          </cell>
          <cell r="F135">
            <v>13</v>
          </cell>
          <cell r="G135">
            <v>309</v>
          </cell>
          <cell r="H135">
            <v>385100</v>
          </cell>
          <cell r="I135" t="str">
            <v>Property Management</v>
          </cell>
          <cell r="J135" t="str">
            <v/>
          </cell>
          <cell r="K135" t="str">
            <v/>
          </cell>
          <cell r="L135" t="str">
            <v>Scattered</v>
          </cell>
          <cell r="M135" t="str">
            <v/>
          </cell>
          <cell r="N135" t="str">
            <v/>
          </cell>
          <cell r="O135" t="str">
            <v>B021100</v>
          </cell>
          <cell r="P135" t="str">
            <v>NY005012110</v>
          </cell>
          <cell r="Q135" t="str">
            <v>FEDERAL</v>
          </cell>
        </row>
        <row r="136">
          <cell r="D136" t="str">
            <v>CLAREMONT REHAB (GROUP 2)</v>
          </cell>
          <cell r="E136" t="str">
            <v>CLAREMONT CONSOLIDATED</v>
          </cell>
          <cell r="F136">
            <v>6</v>
          </cell>
          <cell r="G136">
            <v>106</v>
          </cell>
          <cell r="H136">
            <v>115750</v>
          </cell>
          <cell r="I136" t="str">
            <v>Property Management</v>
          </cell>
          <cell r="J136" t="str">
            <v/>
          </cell>
          <cell r="K136" t="str">
            <v/>
          </cell>
          <cell r="L136" t="str">
            <v>Scattered</v>
          </cell>
          <cell r="M136" t="str">
            <v/>
          </cell>
          <cell r="N136" t="str">
            <v/>
          </cell>
          <cell r="O136" t="str">
            <v>B030700</v>
          </cell>
          <cell r="P136" t="str">
            <v>NY005013080</v>
          </cell>
          <cell r="Q136" t="str">
            <v>FEDERAL</v>
          </cell>
        </row>
        <row r="137">
          <cell r="D137" t="str">
            <v>1471 WATSON AVENUE</v>
          </cell>
          <cell r="E137" t="str">
            <v>SOTOMAYOR HOUSES</v>
          </cell>
          <cell r="F137">
            <v>1</v>
          </cell>
          <cell r="G137">
            <v>96</v>
          </cell>
          <cell r="H137">
            <v>88100</v>
          </cell>
          <cell r="I137" t="str">
            <v>Property Management</v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>SA</v>
          </cell>
          <cell r="O137" t="str">
            <v>B021400</v>
          </cell>
          <cell r="P137" t="str">
            <v>NY005010670</v>
          </cell>
          <cell r="Q137" t="str">
            <v>FEDERAL</v>
          </cell>
        </row>
        <row r="138">
          <cell r="D138" t="str">
            <v>HOE AVENUE-EAST 173RD STREET</v>
          </cell>
          <cell r="E138" t="str">
            <v>BUILDING MANAGEMENT ASSOCIATES (PRIVATE - BX 1)</v>
          </cell>
          <cell r="F138">
            <v>1</v>
          </cell>
          <cell r="G138">
            <v>65</v>
          </cell>
          <cell r="H138">
            <v>59000</v>
          </cell>
          <cell r="I138" t="str">
            <v>Private Management</v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>SA</v>
          </cell>
          <cell r="O138" t="str">
            <v>B021500</v>
          </cell>
          <cell r="P138" t="str">
            <v>NY005015300</v>
          </cell>
          <cell r="Q138" t="str">
            <v>FEDERAL</v>
          </cell>
        </row>
        <row r="139">
          <cell r="D139" t="str">
            <v>BETANCES II, 18</v>
          </cell>
          <cell r="E139" t="str">
            <v>MITCHEL</v>
          </cell>
          <cell r="F139">
            <v>2</v>
          </cell>
          <cell r="G139">
            <v>78</v>
          </cell>
          <cell r="H139">
            <v>131000</v>
          </cell>
          <cell r="I139" t="str">
            <v>NGO1</v>
          </cell>
          <cell r="J139" t="str">
            <v/>
          </cell>
          <cell r="K139" t="str">
            <v/>
          </cell>
          <cell r="L139" t="str">
            <v>Scattered</v>
          </cell>
          <cell r="M139" t="str">
            <v/>
          </cell>
          <cell r="N139" t="str">
            <v/>
          </cell>
          <cell r="O139" t="str">
            <v>B051900</v>
          </cell>
          <cell r="P139" t="str">
            <v>NY005011450</v>
          </cell>
          <cell r="Q139" t="str">
            <v>FEDERAL</v>
          </cell>
        </row>
        <row r="140">
          <cell r="D140" t="str">
            <v>BETANCES III, 9A</v>
          </cell>
          <cell r="E140" t="str">
            <v>BETANCES</v>
          </cell>
          <cell r="F140">
            <v>2</v>
          </cell>
          <cell r="G140">
            <v>26</v>
          </cell>
          <cell r="H140">
            <v>36050</v>
          </cell>
          <cell r="I140" t="str">
            <v>Property Management</v>
          </cell>
          <cell r="J140" t="str">
            <v/>
          </cell>
          <cell r="K140" t="str">
            <v/>
          </cell>
          <cell r="L140" t="str">
            <v>Scattered</v>
          </cell>
          <cell r="M140" t="str">
            <v/>
          </cell>
          <cell r="N140" t="str">
            <v/>
          </cell>
          <cell r="O140" t="str">
            <v>B022200</v>
          </cell>
          <cell r="P140" t="str">
            <v>NY005012110</v>
          </cell>
          <cell r="Q140" t="str">
            <v>FEDERAL</v>
          </cell>
        </row>
        <row r="141">
          <cell r="D141" t="str">
            <v>GLEBE AVENUE-WESTCHESTER AVENUE</v>
          </cell>
          <cell r="E141" t="str">
            <v>SOTOMAYOR HOUSES</v>
          </cell>
          <cell r="F141">
            <v>1</v>
          </cell>
          <cell r="G141">
            <v>131</v>
          </cell>
          <cell r="H141">
            <v>107500</v>
          </cell>
          <cell r="I141" t="str">
            <v>Property Management</v>
          </cell>
          <cell r="J141" t="str">
            <v>Yes</v>
          </cell>
          <cell r="K141" t="str">
            <v>Stand Alone</v>
          </cell>
          <cell r="L141" t="str">
            <v/>
          </cell>
          <cell r="M141" t="str">
            <v/>
          </cell>
          <cell r="N141" t="str">
            <v>SA</v>
          </cell>
          <cell r="O141" t="str">
            <v>B022500</v>
          </cell>
          <cell r="P141" t="str">
            <v>NY005010670</v>
          </cell>
          <cell r="Q141" t="str">
            <v>FEDERAL</v>
          </cell>
        </row>
        <row r="142">
          <cell r="D142" t="str">
            <v>EAGLE AVENUE-EAST 163RD STREET</v>
          </cell>
          <cell r="E142" t="str">
            <v>FOREST</v>
          </cell>
          <cell r="F142">
            <v>1</v>
          </cell>
          <cell r="G142">
            <v>66</v>
          </cell>
          <cell r="H142">
            <v>62100</v>
          </cell>
          <cell r="I142" t="str">
            <v>Property Management</v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>SA</v>
          </cell>
          <cell r="O142" t="str">
            <v>B022400</v>
          </cell>
          <cell r="P142" t="str">
            <v>NY005000590</v>
          </cell>
          <cell r="Q142" t="str">
            <v>FEDERAL</v>
          </cell>
        </row>
        <row r="143">
          <cell r="D143" t="str">
            <v>TELLER AVENUE-EAST 166TH STREET</v>
          </cell>
          <cell r="E143" t="str">
            <v>CLAREMONT CONSOLIDATED</v>
          </cell>
          <cell r="F143">
            <v>1</v>
          </cell>
          <cell r="G143">
            <v>90</v>
          </cell>
          <cell r="H143">
            <v>74500</v>
          </cell>
          <cell r="I143" t="str">
            <v>Property Management</v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>SA</v>
          </cell>
          <cell r="O143" t="str">
            <v>B022300</v>
          </cell>
          <cell r="P143" t="str">
            <v>NY005013080</v>
          </cell>
          <cell r="Q143" t="str">
            <v>FEDERAL</v>
          </cell>
        </row>
        <row r="144">
          <cell r="D144" t="str">
            <v>BETANCES IV</v>
          </cell>
          <cell r="E144" t="str">
            <v>BETANCES</v>
          </cell>
          <cell r="F144">
            <v>8</v>
          </cell>
          <cell r="G144">
            <v>282</v>
          </cell>
          <cell r="H144">
            <v>335010</v>
          </cell>
          <cell r="I144" t="str">
            <v>Property Management</v>
          </cell>
          <cell r="J144" t="str">
            <v/>
          </cell>
          <cell r="K144" t="str">
            <v/>
          </cell>
          <cell r="L144" t="str">
            <v>Scattered</v>
          </cell>
          <cell r="M144" t="str">
            <v/>
          </cell>
          <cell r="N144" t="str">
            <v/>
          </cell>
          <cell r="O144" t="str">
            <v>B023000</v>
          </cell>
          <cell r="P144" t="str">
            <v>NY005012110</v>
          </cell>
          <cell r="Q144" t="str">
            <v>FEDERAL</v>
          </cell>
        </row>
        <row r="145">
          <cell r="D145" t="str">
            <v>BETANCES V</v>
          </cell>
          <cell r="E145" t="str">
            <v>BETANCES</v>
          </cell>
          <cell r="F145">
            <v>6</v>
          </cell>
          <cell r="G145">
            <v>99</v>
          </cell>
          <cell r="H145">
            <v>105890</v>
          </cell>
          <cell r="I145" t="str">
            <v>Property Management</v>
          </cell>
          <cell r="J145" t="str">
            <v/>
          </cell>
          <cell r="K145" t="str">
            <v/>
          </cell>
          <cell r="L145" t="str">
            <v>Scattered</v>
          </cell>
          <cell r="M145" t="str">
            <v/>
          </cell>
          <cell r="N145" t="str">
            <v/>
          </cell>
          <cell r="O145" t="str">
            <v>B023100</v>
          </cell>
          <cell r="P145" t="str">
            <v>NY005012110</v>
          </cell>
          <cell r="Q145" t="str">
            <v>FEDERAL</v>
          </cell>
        </row>
        <row r="146">
          <cell r="D146" t="str">
            <v>COLLEGE AVENUE-EAST 165TH STREET</v>
          </cell>
          <cell r="E146" t="str">
            <v>CLAREMONT CONSOLIDATED</v>
          </cell>
          <cell r="F146">
            <v>1</v>
          </cell>
          <cell r="G146">
            <v>95</v>
          </cell>
          <cell r="H146">
            <v>67600</v>
          </cell>
          <cell r="I146" t="str">
            <v>Property Management</v>
          </cell>
          <cell r="J146" t="str">
            <v>Yes</v>
          </cell>
          <cell r="K146" t="str">
            <v>Stand Alone</v>
          </cell>
          <cell r="L146" t="str">
            <v/>
          </cell>
          <cell r="M146" t="str">
            <v/>
          </cell>
          <cell r="N146" t="str">
            <v>SA</v>
          </cell>
          <cell r="O146" t="str">
            <v>B023600</v>
          </cell>
          <cell r="P146" t="str">
            <v>NY005013080</v>
          </cell>
          <cell r="Q146" t="str">
            <v>FEDERAL</v>
          </cell>
        </row>
        <row r="147">
          <cell r="D147" t="str">
            <v>BRYANT AVENUE-EAST 174TH STREET</v>
          </cell>
          <cell r="E147" t="str">
            <v>BUILDING MANAGEMENT ASSOCIATES (PRIVATE - BX 1)</v>
          </cell>
          <cell r="F147">
            <v>1</v>
          </cell>
          <cell r="G147">
            <v>72</v>
          </cell>
          <cell r="H147">
            <v>72380</v>
          </cell>
          <cell r="I147" t="str">
            <v>Private Management</v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>SA</v>
          </cell>
          <cell r="O147" t="str">
            <v>B023500</v>
          </cell>
          <cell r="P147" t="str">
            <v>NY005015300</v>
          </cell>
          <cell r="Q147" t="str">
            <v>FEDERAL</v>
          </cell>
        </row>
        <row r="148">
          <cell r="D148" t="str">
            <v>1162-1176 WASHINGTON AVENUE</v>
          </cell>
          <cell r="E148" t="str">
            <v>CLAREMONT CONSOLIDATED</v>
          </cell>
          <cell r="F148">
            <v>1</v>
          </cell>
          <cell r="G148">
            <v>64</v>
          </cell>
          <cell r="H148">
            <v>67000</v>
          </cell>
          <cell r="I148" t="str">
            <v>Property Management</v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>SA</v>
          </cell>
          <cell r="O148" t="str">
            <v>B023300</v>
          </cell>
          <cell r="P148" t="str">
            <v>NY005013080</v>
          </cell>
          <cell r="Q148" t="str">
            <v>FEDERAL</v>
          </cell>
        </row>
        <row r="149">
          <cell r="D149" t="str">
            <v>BETANCES III, 13</v>
          </cell>
          <cell r="E149" t="str">
            <v>MILL BROOK</v>
          </cell>
          <cell r="F149">
            <v>2</v>
          </cell>
          <cell r="G149">
            <v>22</v>
          </cell>
          <cell r="H149">
            <v>34400</v>
          </cell>
          <cell r="I149" t="str">
            <v>NGO1</v>
          </cell>
          <cell r="J149" t="str">
            <v/>
          </cell>
          <cell r="K149" t="str">
            <v/>
          </cell>
          <cell r="L149" t="str">
            <v>Scattered</v>
          </cell>
          <cell r="M149" t="str">
            <v/>
          </cell>
          <cell r="N149" t="str">
            <v/>
          </cell>
          <cell r="O149" t="str">
            <v>B052000</v>
          </cell>
          <cell r="P149" t="str">
            <v>NY005010840</v>
          </cell>
          <cell r="Q149" t="str">
            <v>FEDERAL</v>
          </cell>
        </row>
        <row r="150">
          <cell r="D150" t="str">
            <v>EAST 152ND STREET-COURTLANDT AVENUE</v>
          </cell>
          <cell r="E150" t="str">
            <v>MELROSE</v>
          </cell>
          <cell r="F150">
            <v>2</v>
          </cell>
          <cell r="G150">
            <v>221</v>
          </cell>
          <cell r="H150">
            <v>201000</v>
          </cell>
          <cell r="I150" t="str">
            <v>NGO1</v>
          </cell>
          <cell r="J150" t="str">
            <v/>
          </cell>
          <cell r="K150" t="str">
            <v/>
          </cell>
          <cell r="L150" t="str">
            <v/>
          </cell>
          <cell r="M150" t="str">
            <v>High Rise Campus</v>
          </cell>
          <cell r="N150" t="str">
            <v/>
          </cell>
          <cell r="O150" t="str">
            <v>B023700</v>
          </cell>
          <cell r="P150" t="str">
            <v>NY005010280</v>
          </cell>
          <cell r="Q150" t="str">
            <v>FEDERAL</v>
          </cell>
        </row>
        <row r="151">
          <cell r="D151" t="str">
            <v>TWIN PARKS WEST (SITES 1 &amp; 2)</v>
          </cell>
          <cell r="E151" t="str">
            <v>TWIN PARKS CONSOLIDATED</v>
          </cell>
          <cell r="F151">
            <v>1</v>
          </cell>
          <cell r="G151">
            <v>311</v>
          </cell>
          <cell r="H151">
            <v>361500</v>
          </cell>
          <cell r="I151" t="str">
            <v>Property Management</v>
          </cell>
          <cell r="J151" t="str">
            <v/>
          </cell>
          <cell r="K151" t="str">
            <v/>
          </cell>
          <cell r="L151" t="str">
            <v/>
          </cell>
          <cell r="M151" t="str">
            <v/>
          </cell>
          <cell r="N151" t="str">
            <v>SA</v>
          </cell>
          <cell r="O151" t="str">
            <v>B022700</v>
          </cell>
          <cell r="P151" t="str">
            <v>NY005012270</v>
          </cell>
          <cell r="Q151" t="str">
            <v>FEDERAL</v>
          </cell>
        </row>
        <row r="152">
          <cell r="D152" t="str">
            <v>RANDALL AVENUE-BALCOM AVENUE</v>
          </cell>
          <cell r="E152" t="str">
            <v>THROGGS NECK</v>
          </cell>
          <cell r="F152">
            <v>3</v>
          </cell>
          <cell r="G152">
            <v>251</v>
          </cell>
          <cell r="H152">
            <v>216100</v>
          </cell>
          <cell r="I152" t="str">
            <v>Property Management</v>
          </cell>
          <cell r="J152" t="str">
            <v>Yes</v>
          </cell>
          <cell r="K152" t="str">
            <v>Med Rise Campus</v>
          </cell>
          <cell r="L152" t="str">
            <v/>
          </cell>
          <cell r="M152" t="str">
            <v>Med Rise Campus</v>
          </cell>
          <cell r="N152" t="str">
            <v/>
          </cell>
          <cell r="O152" t="str">
            <v>B024500</v>
          </cell>
          <cell r="P152" t="str">
            <v>NY005010630</v>
          </cell>
          <cell r="Q152" t="str">
            <v>FEDERAL</v>
          </cell>
        </row>
        <row r="153">
          <cell r="D153" t="str">
            <v>WEST TREMONT AVENUE-SEDGWICK AVENUE AREA</v>
          </cell>
          <cell r="E153" t="str">
            <v>SEDGWICK</v>
          </cell>
          <cell r="F153">
            <v>1</v>
          </cell>
          <cell r="G153">
            <v>148</v>
          </cell>
          <cell r="H153">
            <v>110000</v>
          </cell>
          <cell r="I153" t="str">
            <v>Property Management</v>
          </cell>
          <cell r="J153" t="str">
            <v>Yes</v>
          </cell>
          <cell r="K153" t="str">
            <v>Stand Alone</v>
          </cell>
          <cell r="L153" t="str">
            <v/>
          </cell>
          <cell r="M153" t="str">
            <v/>
          </cell>
          <cell r="N153" t="str">
            <v>SA</v>
          </cell>
          <cell r="O153" t="str">
            <v>B024600</v>
          </cell>
          <cell r="P153" t="str">
            <v>NY005010450</v>
          </cell>
          <cell r="Q153" t="str">
            <v>FEDERAL</v>
          </cell>
        </row>
        <row r="154">
          <cell r="D154" t="str">
            <v>BETANCES III, 18</v>
          </cell>
          <cell r="E154" t="str">
            <v>MITCHEL</v>
          </cell>
          <cell r="F154">
            <v>1</v>
          </cell>
          <cell r="G154">
            <v>19</v>
          </cell>
          <cell r="H154">
            <v>22900</v>
          </cell>
          <cell r="I154" t="str">
            <v>NGO1</v>
          </cell>
          <cell r="J154" t="str">
            <v/>
          </cell>
          <cell r="K154" t="str">
            <v/>
          </cell>
          <cell r="L154" t="str">
            <v>Scattered</v>
          </cell>
          <cell r="M154" t="str">
            <v/>
          </cell>
          <cell r="N154" t="str">
            <v/>
          </cell>
          <cell r="O154" t="str">
            <v>B052100</v>
          </cell>
          <cell r="P154" t="str">
            <v>NY005011450</v>
          </cell>
          <cell r="Q154" t="str">
            <v>FEDERAL</v>
          </cell>
        </row>
        <row r="155">
          <cell r="D155" t="str">
            <v>SEDGWICK</v>
          </cell>
          <cell r="E155" t="str">
            <v>SEDGWICK</v>
          </cell>
          <cell r="F155">
            <v>7</v>
          </cell>
          <cell r="G155">
            <v>783</v>
          </cell>
          <cell r="H155">
            <v>747700</v>
          </cell>
          <cell r="I155" t="str">
            <v>Property Management</v>
          </cell>
          <cell r="J155" t="str">
            <v/>
          </cell>
          <cell r="K155" t="str">
            <v/>
          </cell>
          <cell r="L155" t="str">
            <v/>
          </cell>
          <cell r="M155" t="str">
            <v>High Rise Campus</v>
          </cell>
          <cell r="N155" t="str">
            <v/>
          </cell>
          <cell r="O155" t="str">
            <v>B004500</v>
          </cell>
          <cell r="P155" t="str">
            <v>NY005010450</v>
          </cell>
          <cell r="Q155" t="str">
            <v>FEDERAL</v>
          </cell>
        </row>
        <row r="156">
          <cell r="D156" t="str">
            <v>MORRISANIA AIR RIGHTS</v>
          </cell>
          <cell r="E156" t="str">
            <v>MORRISANIA AIR RIGHTS</v>
          </cell>
          <cell r="F156">
            <v>3</v>
          </cell>
          <cell r="G156">
            <v>841</v>
          </cell>
          <cell r="H156">
            <v>1006300</v>
          </cell>
          <cell r="I156" t="str">
            <v>Property Management</v>
          </cell>
          <cell r="J156" t="str">
            <v/>
          </cell>
          <cell r="K156" t="str">
            <v/>
          </cell>
          <cell r="L156" t="str">
            <v/>
          </cell>
          <cell r="M156" t="str">
            <v>High Rise Campus</v>
          </cell>
          <cell r="N156" t="str">
            <v/>
          </cell>
          <cell r="O156" t="str">
            <v>B026700</v>
          </cell>
          <cell r="P156" t="str">
            <v>NY005012670</v>
          </cell>
          <cell r="Q156" t="str">
            <v>FEDERAL</v>
          </cell>
        </row>
        <row r="157">
          <cell r="D157" t="str">
            <v>CASTLE HILL</v>
          </cell>
          <cell r="E157" t="str">
            <v>CASTLE HILL</v>
          </cell>
          <cell r="F157">
            <v>14</v>
          </cell>
          <cell r="G157">
            <v>2024</v>
          </cell>
          <cell r="H157">
            <v>2213014</v>
          </cell>
          <cell r="I157" t="str">
            <v>NGO-Mixed Finance</v>
          </cell>
          <cell r="J157" t="str">
            <v/>
          </cell>
          <cell r="K157" t="str">
            <v/>
          </cell>
          <cell r="L157" t="str">
            <v/>
          </cell>
          <cell r="M157" t="str">
            <v>High Rise Campus</v>
          </cell>
          <cell r="N157" t="str">
            <v/>
          </cell>
          <cell r="O157" t="str">
            <v>B008000</v>
          </cell>
          <cell r="P157" t="str">
            <v>NY005000800</v>
          </cell>
          <cell r="Q157" t="str">
            <v>MIXED FINANCE/LLC1</v>
          </cell>
        </row>
        <row r="158">
          <cell r="D158" t="str">
            <v>BUTLER</v>
          </cell>
          <cell r="E158" t="str">
            <v>BUTLER</v>
          </cell>
          <cell r="F158">
            <v>7</v>
          </cell>
          <cell r="G158">
            <v>1476</v>
          </cell>
          <cell r="H158">
            <v>1504200</v>
          </cell>
          <cell r="I158" t="str">
            <v>Property Management</v>
          </cell>
          <cell r="J158" t="str">
            <v/>
          </cell>
          <cell r="K158" t="str">
            <v/>
          </cell>
          <cell r="L158" t="str">
            <v/>
          </cell>
          <cell r="M158" t="str">
            <v>High Rise Campus</v>
          </cell>
          <cell r="N158" t="str">
            <v/>
          </cell>
          <cell r="O158" t="str">
            <v>B011300</v>
          </cell>
          <cell r="P158" t="str">
            <v>NY005001130</v>
          </cell>
          <cell r="Q158" t="str">
            <v>FEDERAL</v>
          </cell>
        </row>
        <row r="159">
          <cell r="D159" t="str">
            <v>BAYCHESTER</v>
          </cell>
          <cell r="E159" t="str">
            <v>BOSTON SECOR</v>
          </cell>
          <cell r="F159">
            <v>12</v>
          </cell>
          <cell r="G159">
            <v>440</v>
          </cell>
          <cell r="H159">
            <v>449700</v>
          </cell>
          <cell r="I159" t="str">
            <v>NGO-Mixed Finance</v>
          </cell>
          <cell r="J159" t="str">
            <v/>
          </cell>
          <cell r="K159" t="str">
            <v/>
          </cell>
          <cell r="L159" t="str">
            <v/>
          </cell>
          <cell r="M159" t="str">
            <v>Med Rise Campus</v>
          </cell>
          <cell r="N159" t="str">
            <v/>
          </cell>
          <cell r="O159" t="str">
            <v>B012600</v>
          </cell>
          <cell r="P159" t="str">
            <v>NY005001260</v>
          </cell>
          <cell r="Q159" t="str">
            <v>MIXED FINANCE/LLC2</v>
          </cell>
        </row>
        <row r="160">
          <cell r="D160" t="str">
            <v>MURPHY</v>
          </cell>
          <cell r="E160" t="str">
            <v>MURPHY</v>
          </cell>
          <cell r="F160">
            <v>2</v>
          </cell>
          <cell r="G160">
            <v>281</v>
          </cell>
          <cell r="H160">
            <v>289850</v>
          </cell>
          <cell r="I160" t="str">
            <v>NGO-Mixed Finance</v>
          </cell>
          <cell r="J160" t="str">
            <v/>
          </cell>
          <cell r="K160" t="str">
            <v/>
          </cell>
          <cell r="L160" t="str">
            <v/>
          </cell>
          <cell r="M160" t="str">
            <v>High Rise Campus</v>
          </cell>
          <cell r="N160" t="str">
            <v/>
          </cell>
          <cell r="O160" t="str">
            <v>B013300</v>
          </cell>
          <cell r="P160" t="str">
            <v>NY005001330</v>
          </cell>
          <cell r="Q160" t="str">
            <v>MIXED FINANCE/LLC2</v>
          </cell>
        </row>
        <row r="161">
          <cell r="D161" t="str">
            <v>FRANKLIN AVENUE I CONVENTIONAL</v>
          </cell>
          <cell r="E161" t="str">
            <v>KRAUS MANAGEMENT (PRIVATE - BX 2)</v>
          </cell>
          <cell r="F161">
            <v>3</v>
          </cell>
          <cell r="G161">
            <v>60</v>
          </cell>
          <cell r="H161">
            <v>59570</v>
          </cell>
          <cell r="I161" t="str">
            <v>Private Management</v>
          </cell>
          <cell r="J161" t="str">
            <v/>
          </cell>
          <cell r="K161" t="str">
            <v/>
          </cell>
          <cell r="L161" t="str">
            <v>Scattered</v>
          </cell>
          <cell r="M161" t="str">
            <v/>
          </cell>
          <cell r="N161" t="str">
            <v/>
          </cell>
          <cell r="O161" t="str">
            <v>B052500</v>
          </cell>
          <cell r="P161" t="str">
            <v>NY005015310</v>
          </cell>
          <cell r="Q161" t="str">
            <v>FEDERAL</v>
          </cell>
        </row>
        <row r="162">
          <cell r="D162" t="str">
            <v>FRANKLIN AVENUE III CONVENTIONAL</v>
          </cell>
          <cell r="E162" t="str">
            <v>KRAUS MANAGEMENT (PRIVATE - BX 2)</v>
          </cell>
          <cell r="F162">
            <v>1</v>
          </cell>
          <cell r="G162">
            <v>15</v>
          </cell>
          <cell r="H162">
            <v>15700</v>
          </cell>
          <cell r="I162" t="str">
            <v>Private Management</v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 t="str">
            <v>SA</v>
          </cell>
          <cell r="O162" t="str">
            <v>B052400</v>
          </cell>
          <cell r="P162" t="str">
            <v>NY005015310</v>
          </cell>
          <cell r="Q162" t="str">
            <v>FEDERAL</v>
          </cell>
        </row>
        <row r="163">
          <cell r="D163" t="str">
            <v>WEST FARMS SQUARE CONVENTIONAL</v>
          </cell>
          <cell r="E163" t="str">
            <v>BUILDING MANAGEMENT ASSOCIATES (PRIVATE - BX 1)</v>
          </cell>
          <cell r="F163">
            <v>1</v>
          </cell>
          <cell r="G163">
            <v>20</v>
          </cell>
          <cell r="H163">
            <v>19100</v>
          </cell>
          <cell r="I163" t="str">
            <v>Private Management</v>
          </cell>
          <cell r="J163" t="str">
            <v>Yes</v>
          </cell>
          <cell r="K163" t="str">
            <v>Stand Alone</v>
          </cell>
          <cell r="L163" t="str">
            <v/>
          </cell>
          <cell r="M163" t="str">
            <v/>
          </cell>
          <cell r="N163" t="str">
            <v>SA</v>
          </cell>
          <cell r="O163" t="str">
            <v>B052600</v>
          </cell>
          <cell r="P163" t="str">
            <v>NY005015310</v>
          </cell>
          <cell r="Q163" t="str">
            <v>FEDERAL</v>
          </cell>
        </row>
        <row r="164">
          <cell r="D164" t="str">
            <v>FRANKLIN AVENUE II CONVENTIONAL</v>
          </cell>
          <cell r="E164" t="str">
            <v>KRAUS MANAGEMENT (PRIVATE - BX 2)</v>
          </cell>
          <cell r="F164">
            <v>3</v>
          </cell>
          <cell r="G164">
            <v>45</v>
          </cell>
          <cell r="H164">
            <v>43320</v>
          </cell>
          <cell r="I164" t="str">
            <v>Private Management</v>
          </cell>
          <cell r="J164" t="str">
            <v/>
          </cell>
          <cell r="K164" t="str">
            <v/>
          </cell>
          <cell r="L164" t="str">
            <v>Scattered</v>
          </cell>
          <cell r="M164" t="str">
            <v/>
          </cell>
          <cell r="N164" t="str">
            <v/>
          </cell>
          <cell r="O164" t="str">
            <v>B053100</v>
          </cell>
          <cell r="P164" t="str">
            <v>NY005015310</v>
          </cell>
          <cell r="Q164" t="str">
            <v>FEDERAL</v>
          </cell>
        </row>
        <row r="165">
          <cell r="D165" t="str">
            <v>SACK WERN</v>
          </cell>
          <cell r="E165" t="str">
            <v>SACK WERN</v>
          </cell>
          <cell r="F165">
            <v>8</v>
          </cell>
          <cell r="G165">
            <v>410</v>
          </cell>
          <cell r="H165">
            <v>430100</v>
          </cell>
          <cell r="I165" t="str">
            <v>Property Management</v>
          </cell>
          <cell r="J165" t="str">
            <v/>
          </cell>
          <cell r="K165" t="str">
            <v/>
          </cell>
          <cell r="L165" t="str">
            <v/>
          </cell>
          <cell r="M165" t="str">
            <v>Med Rise Campus</v>
          </cell>
          <cell r="N165" t="str">
            <v/>
          </cell>
          <cell r="O165" t="str">
            <v>B028000</v>
          </cell>
          <cell r="P165" t="str">
            <v>NY005012800</v>
          </cell>
          <cell r="Q165" t="str">
            <v>FEDERAL</v>
          </cell>
        </row>
        <row r="166">
          <cell r="D166" t="str">
            <v>PATTERSON</v>
          </cell>
          <cell r="E166" t="str">
            <v>PATTERSON</v>
          </cell>
          <cell r="F166">
            <v>15</v>
          </cell>
          <cell r="G166">
            <v>1790</v>
          </cell>
          <cell r="H166">
            <v>1624100</v>
          </cell>
          <cell r="I166" t="str">
            <v>NGO1</v>
          </cell>
          <cell r="J166" t="str">
            <v/>
          </cell>
          <cell r="K166" t="str">
            <v/>
          </cell>
          <cell r="L166" t="str">
            <v/>
          </cell>
          <cell r="M166" t="str">
            <v>Med-High Rise Campus</v>
          </cell>
          <cell r="N166" t="str">
            <v/>
          </cell>
          <cell r="O166" t="str">
            <v>B002400</v>
          </cell>
          <cell r="P166" t="str">
            <v>NY005000240</v>
          </cell>
          <cell r="Q166" t="str">
            <v>FEDERAL</v>
          </cell>
        </row>
        <row r="167">
          <cell r="D167" t="str">
            <v>MELROSE</v>
          </cell>
          <cell r="E167" t="str">
            <v>MELROSE</v>
          </cell>
          <cell r="F167">
            <v>9</v>
          </cell>
          <cell r="G167">
            <v>1019</v>
          </cell>
          <cell r="H167">
            <v>983100</v>
          </cell>
          <cell r="I167" t="str">
            <v>NGO1</v>
          </cell>
          <cell r="J167" t="str">
            <v/>
          </cell>
          <cell r="K167" t="str">
            <v/>
          </cell>
          <cell r="L167" t="str">
            <v/>
          </cell>
          <cell r="M167" t="str">
            <v>High Rise Campus</v>
          </cell>
          <cell r="N167" t="str">
            <v/>
          </cell>
          <cell r="O167" t="str">
            <v>B002800</v>
          </cell>
          <cell r="P167" t="str">
            <v>NY005010280</v>
          </cell>
          <cell r="Q167" t="str">
            <v>FEDERAL</v>
          </cell>
        </row>
        <row r="168">
          <cell r="D168" t="str">
            <v>BRONX RIVER</v>
          </cell>
          <cell r="E168" t="str">
            <v>BRONX RIVER</v>
          </cell>
          <cell r="F168">
            <v>10</v>
          </cell>
          <cell r="G168">
            <v>1245</v>
          </cell>
          <cell r="H168">
            <v>1244450</v>
          </cell>
          <cell r="I168" t="str">
            <v>Property Management</v>
          </cell>
          <cell r="J168" t="str">
            <v/>
          </cell>
          <cell r="K168" t="str">
            <v/>
          </cell>
          <cell r="L168" t="str">
            <v/>
          </cell>
          <cell r="M168" t="str">
            <v>High Rise Campus</v>
          </cell>
          <cell r="N168" t="str">
            <v/>
          </cell>
          <cell r="O168" t="str">
            <v>B003200</v>
          </cell>
          <cell r="P168" t="str">
            <v>NY005010320</v>
          </cell>
          <cell r="Q168" t="str">
            <v>FEDERAL</v>
          </cell>
        </row>
        <row r="169">
          <cell r="D169" t="str">
            <v>BRONX RIVER ADDITION</v>
          </cell>
          <cell r="E169" t="str">
            <v>BRONX RIVER</v>
          </cell>
          <cell r="F169">
            <v>2</v>
          </cell>
          <cell r="G169">
            <v>226</v>
          </cell>
          <cell r="H169">
            <v>126670</v>
          </cell>
          <cell r="I169" t="str">
            <v>Property Management</v>
          </cell>
          <cell r="J169" t="str">
            <v>Yes</v>
          </cell>
          <cell r="K169" t="str">
            <v>Med-High Rise Campus</v>
          </cell>
          <cell r="L169" t="str">
            <v/>
          </cell>
          <cell r="M169" t="str">
            <v>Med-High Rise Campus</v>
          </cell>
          <cell r="N169" t="str">
            <v/>
          </cell>
          <cell r="O169" t="str">
            <v>B015700</v>
          </cell>
          <cell r="P169" t="str">
            <v>NY005010320</v>
          </cell>
          <cell r="Q169" t="str">
            <v>FEDERAL</v>
          </cell>
        </row>
        <row r="170">
          <cell r="D170" t="str">
            <v>FOREST</v>
          </cell>
          <cell r="E170" t="str">
            <v>FOREST</v>
          </cell>
          <cell r="F170">
            <v>15</v>
          </cell>
          <cell r="G170">
            <v>1348</v>
          </cell>
          <cell r="H170">
            <v>1294650</v>
          </cell>
          <cell r="I170" t="str">
            <v>Property Management</v>
          </cell>
          <cell r="J170" t="str">
            <v/>
          </cell>
          <cell r="K170" t="str">
            <v/>
          </cell>
          <cell r="L170" t="str">
            <v/>
          </cell>
          <cell r="M170" t="str">
            <v>Med-High Rise Campus</v>
          </cell>
          <cell r="N170" t="str">
            <v/>
          </cell>
          <cell r="O170" t="str">
            <v>B005900</v>
          </cell>
          <cell r="P170" t="str">
            <v>NY005000590</v>
          </cell>
          <cell r="Q170" t="str">
            <v>FEDERAL</v>
          </cell>
        </row>
        <row r="171">
          <cell r="D171" t="str">
            <v>SOUNDVIEW</v>
          </cell>
          <cell r="E171" t="str">
            <v>SOUNDVIEW</v>
          </cell>
          <cell r="F171">
            <v>15</v>
          </cell>
          <cell r="G171">
            <v>1258</v>
          </cell>
          <cell r="H171">
            <v>1189600</v>
          </cell>
          <cell r="I171" t="str">
            <v>Property Management</v>
          </cell>
          <cell r="J171" t="str">
            <v/>
          </cell>
          <cell r="K171" t="str">
            <v/>
          </cell>
          <cell r="L171" t="str">
            <v/>
          </cell>
          <cell r="M171" t="str">
            <v>Med Rise Campus</v>
          </cell>
          <cell r="N171" t="str">
            <v/>
          </cell>
          <cell r="O171" t="str">
            <v>B007100</v>
          </cell>
          <cell r="P171" t="str">
            <v>NY005000710</v>
          </cell>
          <cell r="Q171" t="str">
            <v>FEDERAL</v>
          </cell>
        </row>
        <row r="172">
          <cell r="D172" t="str">
            <v>BETANCES VI</v>
          </cell>
          <cell r="E172" t="str">
            <v>BETANCES</v>
          </cell>
          <cell r="F172">
            <v>5</v>
          </cell>
          <cell r="G172">
            <v>155</v>
          </cell>
          <cell r="H172">
            <v>168010</v>
          </cell>
          <cell r="I172" t="str">
            <v>Property Management</v>
          </cell>
          <cell r="J172" t="str">
            <v/>
          </cell>
          <cell r="K172" t="str">
            <v/>
          </cell>
          <cell r="L172" t="str">
            <v>Scattered</v>
          </cell>
          <cell r="M172" t="str">
            <v/>
          </cell>
          <cell r="N172" t="str">
            <v/>
          </cell>
          <cell r="O172" t="str">
            <v>B028500</v>
          </cell>
          <cell r="P172" t="str">
            <v>NY005012110</v>
          </cell>
          <cell r="Q172" t="str">
            <v>FEDERAL</v>
          </cell>
        </row>
        <row r="173">
          <cell r="D173" t="str">
            <v>SOUTH BRONX AREA (SITE 402)</v>
          </cell>
          <cell r="E173" t="str">
            <v>UNION AVENUE CONSOLIDATED</v>
          </cell>
          <cell r="F173">
            <v>4</v>
          </cell>
          <cell r="G173">
            <v>112</v>
          </cell>
          <cell r="H173">
            <v>125970</v>
          </cell>
          <cell r="I173" t="str">
            <v>Property Management</v>
          </cell>
          <cell r="J173" t="str">
            <v/>
          </cell>
          <cell r="K173" t="str">
            <v/>
          </cell>
          <cell r="L173" t="str">
            <v>Scattered</v>
          </cell>
          <cell r="M173" t="str">
            <v/>
          </cell>
          <cell r="N173" t="str">
            <v/>
          </cell>
          <cell r="O173" t="str">
            <v>B030500</v>
          </cell>
          <cell r="P173" t="str">
            <v>NY005013420</v>
          </cell>
          <cell r="Q173" t="str">
            <v>FEDERAL</v>
          </cell>
        </row>
        <row r="174">
          <cell r="D174" t="str">
            <v>EAST 165TH STREET-BRYANT AVENUE</v>
          </cell>
          <cell r="E174" t="str">
            <v>BUILDING MANAGEMENT ASSOCIATES (PRIVATE - BX 1)</v>
          </cell>
          <cell r="F174">
            <v>5</v>
          </cell>
          <cell r="G174">
            <v>111</v>
          </cell>
          <cell r="H174">
            <v>126500</v>
          </cell>
          <cell r="I174" t="str">
            <v>Private Management</v>
          </cell>
          <cell r="J174" t="str">
            <v/>
          </cell>
          <cell r="K174" t="str">
            <v/>
          </cell>
          <cell r="L174" t="str">
            <v>Scattered</v>
          </cell>
          <cell r="M174" t="str">
            <v/>
          </cell>
          <cell r="N174" t="str">
            <v/>
          </cell>
          <cell r="O174" t="str">
            <v>B030400</v>
          </cell>
          <cell r="P174" t="str">
            <v>NY005015300</v>
          </cell>
          <cell r="Q174" t="str">
            <v>FEDERAL</v>
          </cell>
        </row>
        <row r="175">
          <cell r="D175" t="str">
            <v>MILL BROOK</v>
          </cell>
          <cell r="E175" t="str">
            <v>MILL BROOK</v>
          </cell>
          <cell r="F175">
            <v>9</v>
          </cell>
          <cell r="G175">
            <v>1252</v>
          </cell>
          <cell r="H175">
            <v>1158740</v>
          </cell>
          <cell r="I175" t="str">
            <v>NGO1</v>
          </cell>
          <cell r="J175" t="str">
            <v/>
          </cell>
          <cell r="K175" t="str">
            <v/>
          </cell>
          <cell r="L175" t="str">
            <v/>
          </cell>
          <cell r="M175" t="str">
            <v>High Rise Campus</v>
          </cell>
          <cell r="N175" t="str">
            <v/>
          </cell>
          <cell r="O175" t="str">
            <v>B008400</v>
          </cell>
          <cell r="P175" t="str">
            <v>NY005010840</v>
          </cell>
          <cell r="Q175" t="str">
            <v>FEDERAL</v>
          </cell>
        </row>
        <row r="176">
          <cell r="D176" t="str">
            <v>MILL BROOK EXTENSION</v>
          </cell>
          <cell r="E176" t="str">
            <v>MILL BROOK</v>
          </cell>
          <cell r="F176">
            <v>1</v>
          </cell>
          <cell r="G176">
            <v>125</v>
          </cell>
          <cell r="H176">
            <v>129600</v>
          </cell>
          <cell r="I176" t="str">
            <v>NGO1</v>
          </cell>
          <cell r="J176" t="str">
            <v/>
          </cell>
          <cell r="K176" t="str">
            <v/>
          </cell>
          <cell r="L176" t="str">
            <v/>
          </cell>
          <cell r="M176" t="str">
            <v/>
          </cell>
          <cell r="N176" t="str">
            <v>SA</v>
          </cell>
          <cell r="O176" t="str">
            <v>B013200</v>
          </cell>
          <cell r="P176" t="str">
            <v>NY005010840</v>
          </cell>
          <cell r="Q176" t="str">
            <v>FEDERAL</v>
          </cell>
        </row>
        <row r="177">
          <cell r="D177" t="str">
            <v>TWIN PARKS EAST (SITE 9)</v>
          </cell>
          <cell r="E177" t="str">
            <v>TWIN PARKS CONSOLIDATED</v>
          </cell>
          <cell r="F177">
            <v>1</v>
          </cell>
          <cell r="G177">
            <v>219</v>
          </cell>
          <cell r="H177">
            <v>193800</v>
          </cell>
          <cell r="I177" t="str">
            <v>Property Management</v>
          </cell>
          <cell r="J177" t="str">
            <v>Yes</v>
          </cell>
          <cell r="K177" t="str">
            <v>Stand Alone</v>
          </cell>
          <cell r="L177" t="str">
            <v/>
          </cell>
          <cell r="M177" t="str">
            <v/>
          </cell>
          <cell r="N177" t="str">
            <v>SA</v>
          </cell>
          <cell r="O177" t="str">
            <v>B028700</v>
          </cell>
          <cell r="P177" t="str">
            <v>NY005012270</v>
          </cell>
          <cell r="Q177" t="str">
            <v>FEDERAL</v>
          </cell>
        </row>
        <row r="178">
          <cell r="D178" t="str">
            <v>GUN HILL</v>
          </cell>
          <cell r="E178" t="str">
            <v>PARKSIDE</v>
          </cell>
          <cell r="F178">
            <v>6</v>
          </cell>
          <cell r="G178">
            <v>732</v>
          </cell>
          <cell r="H178">
            <v>686350</v>
          </cell>
          <cell r="I178" t="str">
            <v>Property Management</v>
          </cell>
          <cell r="J178" t="str">
            <v/>
          </cell>
          <cell r="K178" t="str">
            <v/>
          </cell>
          <cell r="L178" t="str">
            <v/>
          </cell>
          <cell r="M178" t="str">
            <v>High Rise Campus</v>
          </cell>
          <cell r="N178" t="str">
            <v/>
          </cell>
          <cell r="O178" t="str">
            <v>B004000</v>
          </cell>
          <cell r="P178" t="str">
            <v>NY005010470</v>
          </cell>
          <cell r="Q178" t="str">
            <v>FEDERAL</v>
          </cell>
        </row>
        <row r="179">
          <cell r="D179" t="str">
            <v>PARKSIDE</v>
          </cell>
          <cell r="E179" t="str">
            <v>PARKSIDE</v>
          </cell>
          <cell r="F179">
            <v>14</v>
          </cell>
          <cell r="G179">
            <v>878</v>
          </cell>
          <cell r="H179">
            <v>837200</v>
          </cell>
          <cell r="I179" t="str">
            <v>Property Management</v>
          </cell>
          <cell r="J179" t="str">
            <v/>
          </cell>
          <cell r="K179" t="str">
            <v/>
          </cell>
          <cell r="L179" t="str">
            <v/>
          </cell>
          <cell r="M179" t="str">
            <v>Med-High Rise Campus</v>
          </cell>
          <cell r="N179" t="str">
            <v/>
          </cell>
          <cell r="O179" t="str">
            <v>B004700</v>
          </cell>
          <cell r="P179" t="str">
            <v>NY005010470</v>
          </cell>
          <cell r="Q179" t="str">
            <v>FEDERAL</v>
          </cell>
        </row>
        <row r="180">
          <cell r="D180" t="str">
            <v>PELHAM PARKWAY</v>
          </cell>
          <cell r="E180" t="str">
            <v>PELHAM PARKWAY</v>
          </cell>
          <cell r="F180">
            <v>23</v>
          </cell>
          <cell r="G180">
            <v>1264</v>
          </cell>
          <cell r="H180">
            <v>1329900</v>
          </cell>
          <cell r="I180" t="str">
            <v>Property Management</v>
          </cell>
          <cell r="J180" t="str">
            <v/>
          </cell>
          <cell r="K180" t="str">
            <v/>
          </cell>
          <cell r="L180" t="str">
            <v/>
          </cell>
          <cell r="M180" t="str">
            <v>Med Rise Campus</v>
          </cell>
          <cell r="N180" t="str">
            <v/>
          </cell>
          <cell r="O180" t="str">
            <v>B003900</v>
          </cell>
          <cell r="P180" t="str">
            <v>NY005010390</v>
          </cell>
          <cell r="Q180" t="str">
            <v>FEDERAL</v>
          </cell>
        </row>
        <row r="181">
          <cell r="D181" t="str">
            <v>MARBLE HILL</v>
          </cell>
          <cell r="E181" t="str">
            <v>MARBLE HILL</v>
          </cell>
          <cell r="F181">
            <v>12</v>
          </cell>
          <cell r="G181">
            <v>1682</v>
          </cell>
          <cell r="H181">
            <v>1524105</v>
          </cell>
          <cell r="I181" t="str">
            <v>NGO1</v>
          </cell>
          <cell r="J181" t="str">
            <v/>
          </cell>
          <cell r="K181" t="str">
            <v/>
          </cell>
          <cell r="L181" t="str">
            <v/>
          </cell>
          <cell r="M181" t="str">
            <v>High Rise Campus</v>
          </cell>
          <cell r="N181" t="str">
            <v/>
          </cell>
          <cell r="O181" t="str">
            <v>B004900</v>
          </cell>
          <cell r="P181" t="str">
            <v>NY005000490</v>
          </cell>
          <cell r="Q181" t="str">
            <v>MIXED FINANCE/LLC1</v>
          </cell>
        </row>
        <row r="182">
          <cell r="D182" t="str">
            <v>SAINT MARY'S PARK</v>
          </cell>
          <cell r="E182" t="str">
            <v>SAINT MARY'S PARK</v>
          </cell>
          <cell r="F182">
            <v>6</v>
          </cell>
          <cell r="G182">
            <v>1007</v>
          </cell>
          <cell r="H182">
            <v>962460</v>
          </cell>
          <cell r="I182" t="str">
            <v>NGO-Mixed Finance</v>
          </cell>
          <cell r="J182" t="str">
            <v/>
          </cell>
          <cell r="K182" t="str">
            <v/>
          </cell>
          <cell r="L182" t="str">
            <v/>
          </cell>
          <cell r="M182" t="str">
            <v>High Rise Campus</v>
          </cell>
          <cell r="N182" t="str">
            <v/>
          </cell>
          <cell r="O182" t="str">
            <v>B009300</v>
          </cell>
          <cell r="P182" t="str">
            <v>NY005000930</v>
          </cell>
          <cell r="Q182" t="str">
            <v>MIXED FINANCE/LLC1</v>
          </cell>
        </row>
        <row r="183">
          <cell r="D183" t="str">
            <v>CLAREMONT REHAB (GROUP 3)</v>
          </cell>
          <cell r="E183" t="str">
            <v>CLAREMONT CONSOLIDATED</v>
          </cell>
          <cell r="F183">
            <v>5</v>
          </cell>
          <cell r="G183">
            <v>107</v>
          </cell>
          <cell r="H183">
            <v>111400</v>
          </cell>
          <cell r="I183" t="str">
            <v>Property Management</v>
          </cell>
          <cell r="J183" t="str">
            <v/>
          </cell>
          <cell r="K183" t="str">
            <v/>
          </cell>
          <cell r="L183" t="str">
            <v>Scattered</v>
          </cell>
          <cell r="M183" t="str">
            <v/>
          </cell>
          <cell r="N183" t="str">
            <v/>
          </cell>
          <cell r="O183" t="str">
            <v>B030800</v>
          </cell>
          <cell r="P183" t="str">
            <v>NY005013080</v>
          </cell>
          <cell r="Q183" t="str">
            <v>FEDERAL</v>
          </cell>
        </row>
        <row r="184">
          <cell r="D184" t="str">
            <v>CLAREMONT REHAB (GROUP 4)</v>
          </cell>
          <cell r="E184" t="str">
            <v>CLAREMONT CONSOLIDATED</v>
          </cell>
          <cell r="F184">
            <v>9</v>
          </cell>
          <cell r="G184">
            <v>149</v>
          </cell>
          <cell r="H184">
            <v>154150</v>
          </cell>
          <cell r="I184" t="str">
            <v>Property Management</v>
          </cell>
          <cell r="J184" t="str">
            <v/>
          </cell>
          <cell r="K184" t="str">
            <v/>
          </cell>
          <cell r="L184" t="str">
            <v>Scattered</v>
          </cell>
          <cell r="M184" t="str">
            <v/>
          </cell>
          <cell r="N184" t="str">
            <v/>
          </cell>
          <cell r="O184" t="str">
            <v>B033500</v>
          </cell>
          <cell r="P184" t="str">
            <v>NY005013080</v>
          </cell>
          <cell r="Q184" t="str">
            <v>FEDERAL</v>
          </cell>
        </row>
        <row r="185">
          <cell r="D185" t="str">
            <v>CLAREMONT REHAB (GROUP 5)</v>
          </cell>
          <cell r="E185" t="str">
            <v>CLAREMONT CONSOLIDATED</v>
          </cell>
          <cell r="F185">
            <v>3</v>
          </cell>
          <cell r="G185">
            <v>129</v>
          </cell>
          <cell r="H185">
            <v>141200</v>
          </cell>
          <cell r="I185" t="str">
            <v>Property Management</v>
          </cell>
          <cell r="J185" t="str">
            <v/>
          </cell>
          <cell r="K185" t="str">
            <v/>
          </cell>
          <cell r="L185" t="str">
            <v>Scattered</v>
          </cell>
          <cell r="M185" t="str">
            <v/>
          </cell>
          <cell r="N185" t="str">
            <v/>
          </cell>
          <cell r="O185" t="str">
            <v>B033600</v>
          </cell>
          <cell r="P185" t="str">
            <v>NY005013080</v>
          </cell>
          <cell r="Q185" t="str">
            <v>FEDERAL</v>
          </cell>
        </row>
        <row r="186">
          <cell r="D186" t="str">
            <v>UNION AVENUE-EAST 163RD STREET</v>
          </cell>
          <cell r="E186" t="str">
            <v>UNION AVENUE CONSOLIDATED</v>
          </cell>
          <cell r="F186">
            <v>1</v>
          </cell>
          <cell r="G186">
            <v>199</v>
          </cell>
          <cell r="H186">
            <v>171000</v>
          </cell>
          <cell r="I186" t="str">
            <v>Property Management</v>
          </cell>
          <cell r="J186" t="str">
            <v>Yes</v>
          </cell>
          <cell r="K186" t="str">
            <v>Stand Alone</v>
          </cell>
          <cell r="L186" t="str">
            <v/>
          </cell>
          <cell r="M186" t="str">
            <v/>
          </cell>
          <cell r="N186" t="str">
            <v>SA</v>
          </cell>
          <cell r="O186" t="str">
            <v>B034200</v>
          </cell>
          <cell r="P186" t="str">
            <v>NY005013420</v>
          </cell>
          <cell r="Q186" t="str">
            <v>FEDERAL</v>
          </cell>
        </row>
        <row r="187">
          <cell r="D187" t="str">
            <v>UNIVERSITY AVENUE REHAB</v>
          </cell>
          <cell r="E187" t="str">
            <v>KRAUS MANAGEMENT (PRIVATE - BX 3)</v>
          </cell>
          <cell r="F187">
            <v>4</v>
          </cell>
          <cell r="G187">
            <v>230</v>
          </cell>
          <cell r="H187">
            <v>275700</v>
          </cell>
          <cell r="I187" t="str">
            <v>Private Management</v>
          </cell>
          <cell r="J187" t="str">
            <v/>
          </cell>
          <cell r="K187" t="str">
            <v/>
          </cell>
          <cell r="L187" t="str">
            <v/>
          </cell>
          <cell r="M187" t="str">
            <v>Med Rise Campus</v>
          </cell>
          <cell r="N187" t="str">
            <v/>
          </cell>
          <cell r="O187" t="str">
            <v>B034100</v>
          </cell>
          <cell r="P187" t="str">
            <v>NY005013410</v>
          </cell>
          <cell r="Q187" t="str">
            <v>FEDERAL</v>
          </cell>
        </row>
        <row r="188">
          <cell r="D188" t="str">
            <v>BOYNTON AVENUE REHAB</v>
          </cell>
          <cell r="E188" t="str">
            <v>BRONX RIVER</v>
          </cell>
          <cell r="F188">
            <v>3</v>
          </cell>
          <cell r="G188">
            <v>82</v>
          </cell>
          <cell r="H188">
            <v>103400</v>
          </cell>
          <cell r="I188" t="str">
            <v>Property Management</v>
          </cell>
          <cell r="J188" t="str">
            <v/>
          </cell>
          <cell r="K188" t="str">
            <v/>
          </cell>
          <cell r="L188" t="str">
            <v>Scattered</v>
          </cell>
          <cell r="M188" t="str">
            <v/>
          </cell>
          <cell r="N188" t="str">
            <v/>
          </cell>
          <cell r="O188" t="str">
            <v>B034600</v>
          </cell>
          <cell r="P188" t="str">
            <v>NY005010320</v>
          </cell>
          <cell r="Q188" t="str">
            <v>FEDERAL</v>
          </cell>
        </row>
        <row r="189">
          <cell r="D189" t="str">
            <v>UNION AVENUE-EAST 166TH STREET</v>
          </cell>
          <cell r="E189" t="str">
            <v>UNION AVENUE CONSOLIDATED</v>
          </cell>
          <cell r="F189">
            <v>6</v>
          </cell>
          <cell r="G189">
            <v>120</v>
          </cell>
          <cell r="H189">
            <v>115400</v>
          </cell>
          <cell r="I189" t="str">
            <v>Property Management</v>
          </cell>
          <cell r="J189" t="str">
            <v/>
          </cell>
          <cell r="K189" t="str">
            <v/>
          </cell>
          <cell r="L189" t="str">
            <v>Scattered</v>
          </cell>
          <cell r="M189" t="str">
            <v/>
          </cell>
          <cell r="N189" t="str">
            <v/>
          </cell>
          <cell r="O189" t="str">
            <v>B035600</v>
          </cell>
          <cell r="P189" t="str">
            <v>NY005013420</v>
          </cell>
          <cell r="Q189" t="str">
            <v>FEDERAL</v>
          </cell>
        </row>
        <row r="190">
          <cell r="D190" t="str">
            <v>STEBBINS AVENUE-HEWITT PLACE</v>
          </cell>
          <cell r="E190" t="str">
            <v>UNION AVENUE CONSOLIDATED</v>
          </cell>
          <cell r="F190">
            <v>2</v>
          </cell>
          <cell r="G190">
            <v>119</v>
          </cell>
          <cell r="H190">
            <v>128150</v>
          </cell>
          <cell r="I190" t="str">
            <v>Property Management</v>
          </cell>
          <cell r="J190" t="str">
            <v/>
          </cell>
          <cell r="K190" t="str">
            <v/>
          </cell>
          <cell r="L190" t="str">
            <v>Scattered</v>
          </cell>
          <cell r="M190" t="str">
            <v/>
          </cell>
          <cell r="N190" t="str">
            <v/>
          </cell>
          <cell r="O190" t="str">
            <v>B035300</v>
          </cell>
          <cell r="P190" t="str">
            <v>NY005013420</v>
          </cell>
          <cell r="Q190" t="str">
            <v>FEDERAL</v>
          </cell>
        </row>
        <row r="191">
          <cell r="D191" t="str">
            <v>HARRISON AVENUE REHAB (GROUP A)</v>
          </cell>
          <cell r="E191" t="str">
            <v>KRAUS MANAGEMENT (PRIVATE - BX 3)</v>
          </cell>
          <cell r="F191">
            <v>1</v>
          </cell>
          <cell r="G191">
            <v>34</v>
          </cell>
          <cell r="H191">
            <v>36900</v>
          </cell>
          <cell r="I191" t="str">
            <v>Private Management</v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>SA</v>
          </cell>
          <cell r="O191" t="str">
            <v>B034700</v>
          </cell>
          <cell r="P191" t="str">
            <v>NY005013410</v>
          </cell>
          <cell r="Q191" t="str">
            <v>FEDERAL</v>
          </cell>
        </row>
        <row r="192">
          <cell r="D192" t="str">
            <v>HARRISON AVENUE REHAB (GROUP B)</v>
          </cell>
          <cell r="E192" t="str">
            <v>KRAUS MANAGEMENT (PRIVATE - BX 3)</v>
          </cell>
          <cell r="F192">
            <v>4</v>
          </cell>
          <cell r="G192">
            <v>149</v>
          </cell>
          <cell r="H192">
            <v>172270</v>
          </cell>
          <cell r="I192" t="str">
            <v>Private Management</v>
          </cell>
          <cell r="J192" t="str">
            <v/>
          </cell>
          <cell r="K192" t="str">
            <v/>
          </cell>
          <cell r="L192" t="str">
            <v>Scattered</v>
          </cell>
          <cell r="M192" t="str">
            <v/>
          </cell>
          <cell r="N192" t="str">
            <v/>
          </cell>
          <cell r="O192" t="str">
            <v>B054700</v>
          </cell>
          <cell r="P192" t="str">
            <v>NY005013410</v>
          </cell>
          <cell r="Q192" t="str">
            <v>FEDERAL</v>
          </cell>
        </row>
        <row r="193">
          <cell r="D193" t="str">
            <v>EAST 173RD STREET-VYSE AVENUE</v>
          </cell>
          <cell r="E193" t="str">
            <v>BUILDING MANAGEMENT ASSOCIATES (PRIVATE - BX 1)</v>
          </cell>
          <cell r="F193">
            <v>7</v>
          </cell>
          <cell r="G193">
            <v>168</v>
          </cell>
          <cell r="H193">
            <v>198400</v>
          </cell>
          <cell r="I193" t="str">
            <v>Private Management</v>
          </cell>
          <cell r="J193" t="str">
            <v/>
          </cell>
          <cell r="K193" t="str">
            <v/>
          </cell>
          <cell r="L193" t="str">
            <v>Scattered</v>
          </cell>
          <cell r="M193" t="str">
            <v/>
          </cell>
          <cell r="N193" t="str">
            <v/>
          </cell>
          <cell r="O193" t="str">
            <v>B033800</v>
          </cell>
          <cell r="P193" t="str">
            <v>NY005015300</v>
          </cell>
          <cell r="Q193" t="str">
            <v>FEDERAL</v>
          </cell>
        </row>
        <row r="194">
          <cell r="D194" t="str">
            <v>CLAREMONT PARKWAY-FRANKLIN AVENUE</v>
          </cell>
          <cell r="E194" t="str">
            <v>UNION AVENUE CONSOLIDATED</v>
          </cell>
          <cell r="F194">
            <v>3</v>
          </cell>
          <cell r="G194">
            <v>187</v>
          </cell>
          <cell r="H194">
            <v>182200</v>
          </cell>
          <cell r="I194" t="str">
            <v>Property Management</v>
          </cell>
          <cell r="J194" t="str">
            <v/>
          </cell>
          <cell r="K194" t="str">
            <v/>
          </cell>
          <cell r="L194" t="str">
            <v>Scattered</v>
          </cell>
          <cell r="M194" t="str">
            <v/>
          </cell>
          <cell r="N194" t="str">
            <v/>
          </cell>
          <cell r="O194" t="str">
            <v>B033400</v>
          </cell>
          <cell r="P194" t="str">
            <v>NY005013420</v>
          </cell>
          <cell r="Q194" t="str">
            <v>FEDERAL</v>
          </cell>
        </row>
        <row r="195">
          <cell r="D195" t="str">
            <v>WEST FARMS ROAD REHAB</v>
          </cell>
          <cell r="E195" t="str">
            <v>BUILDING MANAGEMENT ASSOCIATES (PRIVATE - BX 1)</v>
          </cell>
          <cell r="F195">
            <v>4</v>
          </cell>
          <cell r="G195">
            <v>208</v>
          </cell>
          <cell r="H195">
            <v>222300</v>
          </cell>
          <cell r="I195" t="str">
            <v>Private Management</v>
          </cell>
          <cell r="J195" t="str">
            <v/>
          </cell>
          <cell r="K195" t="str">
            <v/>
          </cell>
          <cell r="L195" t="str">
            <v/>
          </cell>
          <cell r="M195" t="str">
            <v>Med Rise Campus</v>
          </cell>
          <cell r="N195" t="str">
            <v/>
          </cell>
          <cell r="O195" t="str">
            <v>B053000</v>
          </cell>
          <cell r="P195" t="str">
            <v>NY005015300</v>
          </cell>
          <cell r="Q195" t="str">
            <v>FEDERAL</v>
          </cell>
        </row>
        <row r="196">
          <cell r="D196" t="str">
            <v>LONGFELLOW AVENUE REHAB</v>
          </cell>
          <cell r="E196" t="str">
            <v>BUILDING MANAGEMENT ASSOCIATES (PRIVATE - BX 1)</v>
          </cell>
          <cell r="F196">
            <v>2</v>
          </cell>
          <cell r="G196">
            <v>75</v>
          </cell>
          <cell r="H196">
            <v>97100</v>
          </cell>
          <cell r="I196" t="str">
            <v>Private Management</v>
          </cell>
          <cell r="J196" t="str">
            <v/>
          </cell>
          <cell r="K196" t="str">
            <v/>
          </cell>
          <cell r="L196" t="str">
            <v/>
          </cell>
          <cell r="M196" t="str">
            <v/>
          </cell>
          <cell r="N196" t="str">
            <v>SA</v>
          </cell>
          <cell r="O196" t="str">
            <v>B036200</v>
          </cell>
          <cell r="P196" t="str">
            <v>NY005015300</v>
          </cell>
          <cell r="Q196" t="str">
            <v>FEDERAL</v>
          </cell>
        </row>
        <row r="197">
          <cell r="D197" t="str">
            <v>HUNTS POINT AVENUE REHAB</v>
          </cell>
          <cell r="E197" t="str">
            <v>BUILDING MANAGEMENT ASSOCIATES (PRIVATE - BX 1)</v>
          </cell>
          <cell r="F197">
            <v>13</v>
          </cell>
          <cell r="G197">
            <v>131</v>
          </cell>
          <cell r="H197">
            <v>154900</v>
          </cell>
          <cell r="I197" t="str">
            <v>Private Management</v>
          </cell>
          <cell r="J197" t="str">
            <v/>
          </cell>
          <cell r="K197" t="str">
            <v/>
          </cell>
          <cell r="L197" t="str">
            <v>Scattered</v>
          </cell>
          <cell r="M197" t="str">
            <v/>
          </cell>
          <cell r="N197" t="str">
            <v/>
          </cell>
          <cell r="O197" t="str">
            <v>B036700</v>
          </cell>
          <cell r="P197" t="str">
            <v>NY005015300</v>
          </cell>
          <cell r="Q197" t="str">
            <v>FEDERAL</v>
          </cell>
        </row>
        <row r="198">
          <cell r="D198" t="str">
            <v>HIGHBRIDGE REHABS (ANDERSON AVENUE)</v>
          </cell>
          <cell r="E198" t="str">
            <v>KRAUS MANAGEMENT (PRIVATE - BX 2)</v>
          </cell>
          <cell r="F198">
            <v>4</v>
          </cell>
          <cell r="G198">
            <v>135</v>
          </cell>
          <cell r="H198">
            <v>171504</v>
          </cell>
          <cell r="I198" t="str">
            <v>Private Management</v>
          </cell>
          <cell r="J198" t="str">
            <v/>
          </cell>
          <cell r="K198" t="str">
            <v/>
          </cell>
          <cell r="L198" t="str">
            <v>Scattered</v>
          </cell>
          <cell r="M198" t="str">
            <v/>
          </cell>
          <cell r="N198" t="str">
            <v/>
          </cell>
          <cell r="O198" t="str">
            <v>B037000</v>
          </cell>
          <cell r="P198" t="str">
            <v>NY005015310</v>
          </cell>
          <cell r="Q198" t="str">
            <v>FEDERAL</v>
          </cell>
        </row>
        <row r="199">
          <cell r="D199" t="str">
            <v>HIGHBRIDGE REHABS (NELSON AVENUE)</v>
          </cell>
          <cell r="E199" t="str">
            <v>KRAUS MANAGEMENT (PRIVATE - BX 2)</v>
          </cell>
          <cell r="F199">
            <v>3</v>
          </cell>
          <cell r="G199">
            <v>80</v>
          </cell>
          <cell r="H199">
            <v>104192</v>
          </cell>
          <cell r="I199" t="str">
            <v>Private Management</v>
          </cell>
          <cell r="J199" t="str">
            <v/>
          </cell>
          <cell r="K199" t="str">
            <v/>
          </cell>
          <cell r="L199" t="str">
            <v>Scattered</v>
          </cell>
          <cell r="M199" t="str">
            <v/>
          </cell>
          <cell r="N199" t="str">
            <v/>
          </cell>
          <cell r="O199" t="str">
            <v>B037100</v>
          </cell>
          <cell r="P199" t="str">
            <v>NY005015310</v>
          </cell>
          <cell r="Q199" t="str">
            <v>FEDERAL</v>
          </cell>
        </row>
        <row r="200">
          <cell r="D200" t="str">
            <v>WILLIAMSBURG</v>
          </cell>
          <cell r="E200" t="str">
            <v>WILLIAMSBURG</v>
          </cell>
          <cell r="F200">
            <v>21</v>
          </cell>
          <cell r="G200">
            <v>1628</v>
          </cell>
          <cell r="H200">
            <v>1487900</v>
          </cell>
          <cell r="I200" t="str">
            <v>Property Management</v>
          </cell>
          <cell r="J200" t="str">
            <v/>
          </cell>
          <cell r="K200" t="str">
            <v/>
          </cell>
          <cell r="L200" t="str">
            <v/>
          </cell>
          <cell r="M200" t="str">
            <v>Low-Rise Campus</v>
          </cell>
          <cell r="N200" t="str">
            <v/>
          </cell>
          <cell r="O200" t="str">
            <v>K000200</v>
          </cell>
          <cell r="P200" t="str">
            <v>NY005000020</v>
          </cell>
          <cell r="Q200" t="str">
            <v>FEDERAL</v>
          </cell>
        </row>
        <row r="201">
          <cell r="D201" t="str">
            <v>RED HOOK EAST</v>
          </cell>
          <cell r="E201" t="str">
            <v>RED HOOK EAST</v>
          </cell>
          <cell r="F201">
            <v>18</v>
          </cell>
          <cell r="G201">
            <v>1408</v>
          </cell>
          <cell r="H201">
            <v>1383300</v>
          </cell>
          <cell r="I201" t="str">
            <v>Property Management</v>
          </cell>
          <cell r="J201" t="str">
            <v/>
          </cell>
          <cell r="K201" t="str">
            <v/>
          </cell>
          <cell r="L201" t="str">
            <v/>
          </cell>
          <cell r="M201" t="str">
            <v>Low-Med Rise Campus</v>
          </cell>
          <cell r="N201" t="str">
            <v/>
          </cell>
          <cell r="O201" t="str">
            <v>K000400</v>
          </cell>
          <cell r="P201" t="str">
            <v>NY005000040</v>
          </cell>
          <cell r="Q201" t="str">
            <v>FEDERAL</v>
          </cell>
        </row>
        <row r="202">
          <cell r="D202" t="str">
            <v>KINGSBOROUGH</v>
          </cell>
          <cell r="E202" t="str">
            <v>KINGSBOROUGH</v>
          </cell>
          <cell r="F202">
            <v>16</v>
          </cell>
          <cell r="G202">
            <v>1156</v>
          </cell>
          <cell r="H202">
            <v>838000</v>
          </cell>
          <cell r="I202" t="str">
            <v>Property Management</v>
          </cell>
          <cell r="J202" t="str">
            <v/>
          </cell>
          <cell r="K202" t="str">
            <v/>
          </cell>
          <cell r="L202" t="str">
            <v/>
          </cell>
          <cell r="M202" t="str">
            <v>Med Rise Campus</v>
          </cell>
          <cell r="N202" t="str">
            <v/>
          </cell>
          <cell r="O202" t="str">
            <v>K001000</v>
          </cell>
          <cell r="P202" t="str">
            <v>NY005010100</v>
          </cell>
          <cell r="Q202" t="str">
            <v>FEDERAL</v>
          </cell>
        </row>
        <row r="203">
          <cell r="D203" t="str">
            <v>BREUKELEN</v>
          </cell>
          <cell r="E203" t="str">
            <v>BREUKELEN</v>
          </cell>
          <cell r="F203">
            <v>32</v>
          </cell>
          <cell r="G203">
            <v>1594</v>
          </cell>
          <cell r="H203">
            <v>1709000</v>
          </cell>
          <cell r="I203" t="str">
            <v>Property Management</v>
          </cell>
          <cell r="J203" t="str">
            <v/>
          </cell>
          <cell r="K203" t="str">
            <v/>
          </cell>
          <cell r="L203" t="str">
            <v/>
          </cell>
          <cell r="M203" t="str">
            <v>Low-Med Rise Campus</v>
          </cell>
          <cell r="N203" t="str">
            <v/>
          </cell>
          <cell r="O203" t="str">
            <v>K005600</v>
          </cell>
          <cell r="P203" t="str">
            <v>NY005000560</v>
          </cell>
          <cell r="Q203" t="str">
            <v>FEDERAL</v>
          </cell>
        </row>
        <row r="204">
          <cell r="D204" t="str">
            <v>BREVOORT</v>
          </cell>
          <cell r="E204" t="str">
            <v>BREVOORT</v>
          </cell>
          <cell r="F204">
            <v>14</v>
          </cell>
          <cell r="G204">
            <v>894</v>
          </cell>
          <cell r="H204">
            <v>887268</v>
          </cell>
          <cell r="I204" t="str">
            <v>Property Management</v>
          </cell>
          <cell r="J204" t="str">
            <v/>
          </cell>
          <cell r="K204" t="str">
            <v/>
          </cell>
          <cell r="L204" t="str">
            <v/>
          </cell>
          <cell r="M204" t="str">
            <v>Med Rise Campus</v>
          </cell>
          <cell r="N204" t="str">
            <v/>
          </cell>
          <cell r="O204" t="str">
            <v>K006500</v>
          </cell>
          <cell r="P204" t="str">
            <v>NY005000650</v>
          </cell>
          <cell r="Q204" t="str">
            <v>FEDERAL</v>
          </cell>
        </row>
        <row r="205">
          <cell r="D205" t="str">
            <v>VAN DYKE I</v>
          </cell>
          <cell r="E205" t="str">
            <v>VAN DYKE I</v>
          </cell>
          <cell r="F205">
            <v>23</v>
          </cell>
          <cell r="G205">
            <v>1603</v>
          </cell>
          <cell r="H205">
            <v>1575450</v>
          </cell>
          <cell r="I205" t="str">
            <v>NGO1</v>
          </cell>
          <cell r="J205" t="str">
            <v/>
          </cell>
          <cell r="K205" t="str">
            <v/>
          </cell>
          <cell r="L205" t="str">
            <v/>
          </cell>
          <cell r="M205" t="str">
            <v>Low-High Rise Campus</v>
          </cell>
          <cell r="N205" t="str">
            <v/>
          </cell>
          <cell r="O205" t="str">
            <v>K006100</v>
          </cell>
          <cell r="P205" t="str">
            <v>NY005000610</v>
          </cell>
          <cell r="Q205" t="str">
            <v>FEDERAL</v>
          </cell>
        </row>
        <row r="206">
          <cell r="D206" t="str">
            <v>COOPER PARK</v>
          </cell>
          <cell r="E206" t="str">
            <v>COOPER PARK</v>
          </cell>
          <cell r="F206">
            <v>11</v>
          </cell>
          <cell r="G206">
            <v>700</v>
          </cell>
          <cell r="H206">
            <v>635100</v>
          </cell>
          <cell r="I206" t="str">
            <v>Property Management</v>
          </cell>
          <cell r="J206" t="str">
            <v/>
          </cell>
          <cell r="K206" t="str">
            <v/>
          </cell>
          <cell r="L206" t="str">
            <v/>
          </cell>
          <cell r="M206" t="str">
            <v>Med Rise Campus</v>
          </cell>
          <cell r="N206" t="str">
            <v/>
          </cell>
          <cell r="O206" t="str">
            <v>K006900</v>
          </cell>
          <cell r="P206" t="str">
            <v>NY005000690</v>
          </cell>
          <cell r="Q206" t="str">
            <v>FEDERAL</v>
          </cell>
        </row>
        <row r="207">
          <cell r="D207" t="str">
            <v>GRAVESEND</v>
          </cell>
          <cell r="E207" t="str">
            <v>O'DWYER GARDENS</v>
          </cell>
          <cell r="F207">
            <v>15</v>
          </cell>
          <cell r="G207">
            <v>634</v>
          </cell>
          <cell r="H207">
            <v>688000</v>
          </cell>
          <cell r="I207" t="str">
            <v>Property Management</v>
          </cell>
          <cell r="J207" t="str">
            <v/>
          </cell>
          <cell r="K207" t="str">
            <v/>
          </cell>
          <cell r="L207" t="str">
            <v/>
          </cell>
          <cell r="M207" t="str">
            <v>Med Rise Campus</v>
          </cell>
          <cell r="N207" t="str">
            <v/>
          </cell>
          <cell r="O207" t="str">
            <v>K006800</v>
          </cell>
          <cell r="P207" t="str">
            <v>NY005011720</v>
          </cell>
          <cell r="Q207" t="str">
            <v>FEDERAL</v>
          </cell>
        </row>
        <row r="208">
          <cell r="D208" t="str">
            <v>ROOSEVELT I</v>
          </cell>
          <cell r="E208" t="str">
            <v>ROOSEVELT</v>
          </cell>
          <cell r="F208">
            <v>6</v>
          </cell>
          <cell r="G208">
            <v>761</v>
          </cell>
          <cell r="H208">
            <v>749000</v>
          </cell>
          <cell r="I208" t="str">
            <v>Property Management</v>
          </cell>
          <cell r="J208" t="str">
            <v/>
          </cell>
          <cell r="K208" t="str">
            <v/>
          </cell>
          <cell r="L208" t="str">
            <v/>
          </cell>
          <cell r="M208" t="str">
            <v>High Rise Campus</v>
          </cell>
          <cell r="N208" t="str">
            <v/>
          </cell>
          <cell r="O208" t="str">
            <v>K013500</v>
          </cell>
          <cell r="P208" t="str">
            <v>NY005011350</v>
          </cell>
          <cell r="Q208" t="str">
            <v>FEDERAL</v>
          </cell>
        </row>
        <row r="209">
          <cell r="D209" t="str">
            <v>RED HOOK WEST</v>
          </cell>
          <cell r="E209" t="str">
            <v>RED HOOK WEST</v>
          </cell>
          <cell r="F209">
            <v>15</v>
          </cell>
          <cell r="G209">
            <v>1470</v>
          </cell>
          <cell r="H209">
            <v>1345110</v>
          </cell>
          <cell r="I209" t="str">
            <v>Property Management</v>
          </cell>
          <cell r="J209" t="str">
            <v/>
          </cell>
          <cell r="K209" t="str">
            <v/>
          </cell>
          <cell r="L209" t="str">
            <v/>
          </cell>
          <cell r="M209" t="str">
            <v>Low-Med-High Rise Campus</v>
          </cell>
          <cell r="N209" t="str">
            <v/>
          </cell>
          <cell r="O209" t="str">
            <v>K007900</v>
          </cell>
          <cell r="P209" t="str">
            <v>NY005000790</v>
          </cell>
          <cell r="Q209" t="str">
            <v>FEDERAL</v>
          </cell>
        </row>
        <row r="210">
          <cell r="D210" t="str">
            <v>TILDEN</v>
          </cell>
          <cell r="E210" t="str">
            <v>TILDEN</v>
          </cell>
          <cell r="F210">
            <v>9</v>
          </cell>
          <cell r="G210">
            <v>998</v>
          </cell>
          <cell r="H210">
            <v>986300</v>
          </cell>
          <cell r="I210" t="str">
            <v>NGO1</v>
          </cell>
          <cell r="J210" t="str">
            <v/>
          </cell>
          <cell r="K210" t="str">
            <v/>
          </cell>
          <cell r="L210" t="str">
            <v/>
          </cell>
          <cell r="M210" t="str">
            <v>High Rise Campus</v>
          </cell>
          <cell r="N210" t="str">
            <v/>
          </cell>
          <cell r="O210" t="str">
            <v>K009600</v>
          </cell>
          <cell r="P210" t="str">
            <v>NY005000720</v>
          </cell>
          <cell r="Q210" t="str">
            <v>FEDERAL</v>
          </cell>
        </row>
        <row r="211">
          <cell r="D211" t="str">
            <v>PINK</v>
          </cell>
          <cell r="E211" t="str">
            <v>PINK</v>
          </cell>
          <cell r="F211">
            <v>24</v>
          </cell>
          <cell r="G211">
            <v>1500</v>
          </cell>
          <cell r="H211">
            <v>1527025</v>
          </cell>
          <cell r="I211" t="str">
            <v>Property Management</v>
          </cell>
          <cell r="J211" t="str">
            <v/>
          </cell>
          <cell r="K211" t="str">
            <v/>
          </cell>
          <cell r="L211" t="str">
            <v/>
          </cell>
          <cell r="M211" t="str">
            <v>Med Rise Campus</v>
          </cell>
          <cell r="N211" t="str">
            <v/>
          </cell>
          <cell r="O211" t="str">
            <v>K008900</v>
          </cell>
          <cell r="P211" t="str">
            <v>NY005000890</v>
          </cell>
          <cell r="Q211" t="str">
            <v>FEDERAL</v>
          </cell>
        </row>
        <row r="212">
          <cell r="D212" t="str">
            <v>TOMPKINS</v>
          </cell>
          <cell r="E212" t="str">
            <v>TOMPKINS</v>
          </cell>
          <cell r="F212">
            <v>9</v>
          </cell>
          <cell r="G212">
            <v>1045</v>
          </cell>
          <cell r="H212">
            <v>1143000</v>
          </cell>
          <cell r="I212" t="str">
            <v>Property Management</v>
          </cell>
          <cell r="J212" t="str">
            <v/>
          </cell>
          <cell r="K212" t="str">
            <v/>
          </cell>
          <cell r="L212" t="str">
            <v/>
          </cell>
          <cell r="M212" t="str">
            <v>Med-High Rise Campus</v>
          </cell>
          <cell r="N212" t="str">
            <v/>
          </cell>
          <cell r="O212" t="str">
            <v>K013100</v>
          </cell>
          <cell r="P212" t="str">
            <v>NY005011310</v>
          </cell>
          <cell r="Q212" t="str">
            <v>FEDERAL</v>
          </cell>
        </row>
        <row r="213">
          <cell r="D213" t="str">
            <v>LAFAYETTE</v>
          </cell>
          <cell r="E213" t="str">
            <v>LAFAYETTE</v>
          </cell>
          <cell r="F213">
            <v>7</v>
          </cell>
          <cell r="G213">
            <v>880</v>
          </cell>
          <cell r="H213">
            <v>995000</v>
          </cell>
          <cell r="I213" t="str">
            <v>Property Management</v>
          </cell>
          <cell r="J213" t="str">
            <v/>
          </cell>
          <cell r="K213" t="str">
            <v/>
          </cell>
          <cell r="L213" t="str">
            <v/>
          </cell>
          <cell r="M213" t="str">
            <v>High Rise Campus</v>
          </cell>
          <cell r="N213" t="str">
            <v/>
          </cell>
          <cell r="O213" t="str">
            <v>K012200</v>
          </cell>
          <cell r="P213" t="str">
            <v>NY005001220</v>
          </cell>
          <cell r="Q213" t="str">
            <v>FEDERAL</v>
          </cell>
        </row>
        <row r="214">
          <cell r="D214" t="str">
            <v>VAN DYKE II</v>
          </cell>
          <cell r="E214" t="str">
            <v>WOODSON</v>
          </cell>
          <cell r="F214">
            <v>1</v>
          </cell>
          <cell r="G214">
            <v>111</v>
          </cell>
          <cell r="H214">
            <v>141800</v>
          </cell>
          <cell r="I214" t="str">
            <v>NGO1</v>
          </cell>
          <cell r="J214" t="str">
            <v>Yes</v>
          </cell>
          <cell r="K214" t="str">
            <v>Stand Alone</v>
          </cell>
          <cell r="L214" t="str">
            <v/>
          </cell>
          <cell r="M214" t="str">
            <v/>
          </cell>
          <cell r="N214" t="str">
            <v>SA</v>
          </cell>
          <cell r="O214" t="str">
            <v>K014600</v>
          </cell>
          <cell r="P214" t="str">
            <v>NY005011680</v>
          </cell>
          <cell r="Q214" t="str">
            <v>FEDERAL</v>
          </cell>
        </row>
        <row r="215">
          <cell r="D215" t="str">
            <v>BEDFORD-STUYVESANT REHAB</v>
          </cell>
          <cell r="E215" t="str">
            <v>SUMNER</v>
          </cell>
          <cell r="F215">
            <v>3</v>
          </cell>
          <cell r="G215">
            <v>84</v>
          </cell>
          <cell r="H215">
            <v>104000</v>
          </cell>
          <cell r="I215" t="str">
            <v>Property Management</v>
          </cell>
          <cell r="J215" t="str">
            <v/>
          </cell>
          <cell r="K215" t="str">
            <v/>
          </cell>
          <cell r="L215" t="str">
            <v>Scattered</v>
          </cell>
          <cell r="M215" t="str">
            <v/>
          </cell>
          <cell r="N215" t="str">
            <v/>
          </cell>
          <cell r="O215" t="str">
            <v>K031100</v>
          </cell>
          <cell r="P215" t="str">
            <v>NY005010730</v>
          </cell>
          <cell r="Q215" t="str">
            <v>FEDERAL</v>
          </cell>
        </row>
        <row r="216">
          <cell r="D216" t="str">
            <v>303 VERNON AVENUE</v>
          </cell>
          <cell r="E216" t="str">
            <v>SUMNER</v>
          </cell>
          <cell r="F216">
            <v>1</v>
          </cell>
          <cell r="G216">
            <v>234</v>
          </cell>
          <cell r="H216">
            <v>237000</v>
          </cell>
          <cell r="I216" t="str">
            <v>Property Management</v>
          </cell>
          <cell r="J216" t="str">
            <v/>
          </cell>
          <cell r="K216" t="str">
            <v/>
          </cell>
          <cell r="L216" t="str">
            <v/>
          </cell>
          <cell r="M216" t="str">
            <v/>
          </cell>
          <cell r="N216" t="str">
            <v>SA</v>
          </cell>
          <cell r="O216" t="str">
            <v>K015600</v>
          </cell>
          <cell r="P216" t="str">
            <v>NY005010730</v>
          </cell>
          <cell r="Q216" t="str">
            <v>FEDERAL</v>
          </cell>
        </row>
        <row r="217">
          <cell r="D217" t="str">
            <v>KINGSBOROUGH EXTENSION</v>
          </cell>
          <cell r="E217" t="str">
            <v>KINGSBOROUGH</v>
          </cell>
          <cell r="F217">
            <v>1</v>
          </cell>
          <cell r="G217">
            <v>184</v>
          </cell>
          <cell r="H217">
            <v>137000</v>
          </cell>
          <cell r="I217" t="str">
            <v>Property Management</v>
          </cell>
          <cell r="J217" t="str">
            <v>Yes</v>
          </cell>
          <cell r="K217" t="str">
            <v>Stand Alone</v>
          </cell>
          <cell r="L217" t="str">
            <v/>
          </cell>
          <cell r="M217" t="str">
            <v/>
          </cell>
          <cell r="N217" t="str">
            <v>SA</v>
          </cell>
          <cell r="O217" t="str">
            <v>K016100</v>
          </cell>
          <cell r="P217" t="str">
            <v>NY005010100</v>
          </cell>
          <cell r="Q217" t="str">
            <v>FEDERAL</v>
          </cell>
        </row>
        <row r="218">
          <cell r="D218" t="str">
            <v>OCEAN HILL APARTMENTS</v>
          </cell>
          <cell r="E218" t="str">
            <v>OCEAN HILL APARTMENTS</v>
          </cell>
          <cell r="F218">
            <v>4</v>
          </cell>
          <cell r="G218">
            <v>238</v>
          </cell>
          <cell r="H218">
            <v>237400</v>
          </cell>
          <cell r="I218" t="str">
            <v>Property Management</v>
          </cell>
          <cell r="J218" t="str">
            <v/>
          </cell>
          <cell r="K218" t="str">
            <v/>
          </cell>
          <cell r="L218" t="str">
            <v/>
          </cell>
          <cell r="M218" t="str">
            <v>High Rise Campus</v>
          </cell>
          <cell r="N218" t="str">
            <v/>
          </cell>
          <cell r="O218" t="str">
            <v>K016200</v>
          </cell>
          <cell r="P218" t="str">
            <v>NY005011620</v>
          </cell>
          <cell r="Q218" t="str">
            <v>FEDERAL</v>
          </cell>
        </row>
        <row r="219">
          <cell r="D219" t="str">
            <v>WYCKOFF GARDENS</v>
          </cell>
          <cell r="E219" t="str">
            <v>WYCKOFF GARDENS</v>
          </cell>
          <cell r="F219">
            <v>3</v>
          </cell>
          <cell r="G219">
            <v>528</v>
          </cell>
          <cell r="H219">
            <v>526522</v>
          </cell>
          <cell r="I219" t="str">
            <v>Property Management</v>
          </cell>
          <cell r="J219" t="str">
            <v/>
          </cell>
          <cell r="K219" t="str">
            <v/>
          </cell>
          <cell r="L219" t="str">
            <v/>
          </cell>
          <cell r="M219" t="str">
            <v>High Rise Campus</v>
          </cell>
          <cell r="N219" t="str">
            <v/>
          </cell>
          <cell r="O219" t="str">
            <v>K016300</v>
          </cell>
          <cell r="P219" t="str">
            <v>NY005011630</v>
          </cell>
          <cell r="Q219" t="str">
            <v>FEDERAL</v>
          </cell>
        </row>
        <row r="220">
          <cell r="D220" t="str">
            <v>VANDALIA AVENUE</v>
          </cell>
          <cell r="E220" t="str">
            <v>PENNSYLVANIA-WORTMAN</v>
          </cell>
          <cell r="F220">
            <v>3</v>
          </cell>
          <cell r="G220">
            <v>287</v>
          </cell>
          <cell r="H220">
            <v>287200</v>
          </cell>
          <cell r="I220" t="str">
            <v>Property Management</v>
          </cell>
          <cell r="J220" t="str">
            <v>Yes</v>
          </cell>
          <cell r="K220" t="str">
            <v>High Rise Campus</v>
          </cell>
          <cell r="L220" t="str">
            <v/>
          </cell>
          <cell r="M220" t="str">
            <v>High Rise Campus</v>
          </cell>
          <cell r="N220" t="str">
            <v/>
          </cell>
          <cell r="O220" t="str">
            <v>K031500</v>
          </cell>
          <cell r="P220" t="str">
            <v>NY005011940</v>
          </cell>
          <cell r="Q220" t="str">
            <v>FEDERAL</v>
          </cell>
        </row>
        <row r="221">
          <cell r="D221" t="str">
            <v>SARATOGA VILLAGE</v>
          </cell>
          <cell r="E221" t="str">
            <v>OCEAN HILL APARTMENTS</v>
          </cell>
          <cell r="F221">
            <v>1</v>
          </cell>
          <cell r="G221">
            <v>125</v>
          </cell>
          <cell r="H221">
            <v>114500</v>
          </cell>
          <cell r="I221" t="str">
            <v>Property Management</v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  <cell r="N221" t="str">
            <v>SA</v>
          </cell>
          <cell r="O221" t="str">
            <v>K015800</v>
          </cell>
          <cell r="P221" t="str">
            <v>NY005011620</v>
          </cell>
          <cell r="Q221" t="str">
            <v>FEDERAL</v>
          </cell>
        </row>
        <row r="222">
          <cell r="D222" t="str">
            <v>HUGHES APARTMENTS</v>
          </cell>
          <cell r="E222" t="str">
            <v>HUGHES APARTMENTS</v>
          </cell>
          <cell r="F222">
            <v>4</v>
          </cell>
          <cell r="G222">
            <v>509</v>
          </cell>
          <cell r="H222">
            <v>506800</v>
          </cell>
          <cell r="I222" t="str">
            <v>NGO1</v>
          </cell>
          <cell r="J222" t="str">
            <v/>
          </cell>
          <cell r="K222" t="str">
            <v/>
          </cell>
          <cell r="L222" t="str">
            <v/>
          </cell>
          <cell r="M222" t="str">
            <v>High Rise Campus</v>
          </cell>
          <cell r="N222" t="str">
            <v/>
          </cell>
          <cell r="O222" t="str">
            <v>K016800</v>
          </cell>
          <cell r="P222" t="str">
            <v>NY005011680</v>
          </cell>
          <cell r="Q222" t="str">
            <v>FEDERAL</v>
          </cell>
        </row>
        <row r="223">
          <cell r="D223" t="str">
            <v>LOW HOUSES</v>
          </cell>
          <cell r="E223" t="str">
            <v>LOW HOUSES</v>
          </cell>
          <cell r="F223">
            <v>4</v>
          </cell>
          <cell r="G223">
            <v>534</v>
          </cell>
          <cell r="H223">
            <v>541000</v>
          </cell>
          <cell r="I223" t="str">
            <v>NGO1</v>
          </cell>
          <cell r="J223" t="str">
            <v/>
          </cell>
          <cell r="K223" t="str">
            <v/>
          </cell>
          <cell r="L223" t="str">
            <v/>
          </cell>
          <cell r="M223" t="str">
            <v>High Rise Campus</v>
          </cell>
          <cell r="N223" t="str">
            <v/>
          </cell>
          <cell r="O223" t="str">
            <v>K016900</v>
          </cell>
          <cell r="P223" t="str">
            <v>NY005011690</v>
          </cell>
          <cell r="Q223" t="str">
            <v>FEDERAL</v>
          </cell>
        </row>
        <row r="224">
          <cell r="D224" t="str">
            <v>SURFSIDE GARDENS</v>
          </cell>
          <cell r="E224" t="str">
            <v>SURFSIDE GARDENS</v>
          </cell>
          <cell r="F224">
            <v>5</v>
          </cell>
          <cell r="G224">
            <v>598</v>
          </cell>
          <cell r="H224">
            <v>553000</v>
          </cell>
          <cell r="I224" t="str">
            <v>Property Management</v>
          </cell>
          <cell r="J224" t="str">
            <v/>
          </cell>
          <cell r="K224" t="str">
            <v/>
          </cell>
          <cell r="L224" t="str">
            <v/>
          </cell>
          <cell r="M224" t="str">
            <v>High Rise Campus</v>
          </cell>
          <cell r="N224" t="str">
            <v/>
          </cell>
          <cell r="O224" t="str">
            <v>K017000</v>
          </cell>
          <cell r="P224" t="str">
            <v>NY005011700</v>
          </cell>
          <cell r="Q224" t="str">
            <v>FEDERAL</v>
          </cell>
        </row>
        <row r="225">
          <cell r="D225" t="str">
            <v>ROOSEVELT II</v>
          </cell>
          <cell r="E225" t="str">
            <v>ROOSEVELT</v>
          </cell>
          <cell r="F225">
            <v>3</v>
          </cell>
          <cell r="G225">
            <v>342</v>
          </cell>
          <cell r="H225">
            <v>325000</v>
          </cell>
          <cell r="I225" t="str">
            <v>Property Management</v>
          </cell>
          <cell r="J225" t="str">
            <v/>
          </cell>
          <cell r="K225" t="str">
            <v/>
          </cell>
          <cell r="L225" t="str">
            <v/>
          </cell>
          <cell r="M225" t="str">
            <v>High Rise Campus</v>
          </cell>
          <cell r="N225" t="str">
            <v/>
          </cell>
          <cell r="O225" t="str">
            <v>K017700</v>
          </cell>
          <cell r="P225" t="str">
            <v>NY005011350</v>
          </cell>
          <cell r="Q225" t="str">
            <v>FEDERAL</v>
          </cell>
        </row>
        <row r="226">
          <cell r="D226" t="str">
            <v>REID APARTMENTS</v>
          </cell>
          <cell r="E226" t="str">
            <v>REID APARTMENTS</v>
          </cell>
          <cell r="F226">
            <v>1</v>
          </cell>
          <cell r="G226">
            <v>227</v>
          </cell>
          <cell r="H226">
            <v>151250</v>
          </cell>
          <cell r="I226" t="str">
            <v>Property Management</v>
          </cell>
          <cell r="J226" t="str">
            <v>Yes</v>
          </cell>
          <cell r="K226" t="str">
            <v>Stand Alone</v>
          </cell>
          <cell r="L226" t="str">
            <v/>
          </cell>
          <cell r="M226" t="str">
            <v/>
          </cell>
          <cell r="N226" t="str">
            <v>SA</v>
          </cell>
          <cell r="O226" t="str">
            <v>K016700</v>
          </cell>
          <cell r="P226" t="str">
            <v>NY005011670</v>
          </cell>
          <cell r="Q226" t="str">
            <v>FEDERAL</v>
          </cell>
        </row>
        <row r="227">
          <cell r="D227" t="str">
            <v>WOODSON</v>
          </cell>
          <cell r="E227" t="str">
            <v>WOODSON</v>
          </cell>
          <cell r="F227">
            <v>2</v>
          </cell>
          <cell r="G227">
            <v>407</v>
          </cell>
          <cell r="H227">
            <v>276300</v>
          </cell>
          <cell r="I227" t="str">
            <v>NGO1</v>
          </cell>
          <cell r="J227" t="str">
            <v>Yes</v>
          </cell>
          <cell r="K227" t="str">
            <v>High Rise Campus</v>
          </cell>
          <cell r="L227" t="str">
            <v/>
          </cell>
          <cell r="M227" t="str">
            <v>High Rise Campus</v>
          </cell>
          <cell r="N227" t="str">
            <v/>
          </cell>
          <cell r="O227" t="str">
            <v>K018200</v>
          </cell>
          <cell r="P227" t="str">
            <v>NY005011680</v>
          </cell>
          <cell r="Q227" t="str">
            <v>FEDERAL</v>
          </cell>
        </row>
        <row r="228">
          <cell r="D228" t="str">
            <v>OCEAN HILL-BROWNSVILLE</v>
          </cell>
          <cell r="E228" t="str">
            <v>PARK ROCK CONSOLIDATED</v>
          </cell>
          <cell r="F228">
            <v>5</v>
          </cell>
          <cell r="G228">
            <v>125</v>
          </cell>
          <cell r="H228">
            <v>127100</v>
          </cell>
          <cell r="I228" t="str">
            <v>Property Management</v>
          </cell>
          <cell r="J228" t="str">
            <v/>
          </cell>
          <cell r="K228" t="str">
            <v/>
          </cell>
          <cell r="L228" t="str">
            <v>Scattered</v>
          </cell>
          <cell r="M228" t="str">
            <v/>
          </cell>
          <cell r="N228" t="str">
            <v/>
          </cell>
          <cell r="O228" t="str">
            <v>K031300</v>
          </cell>
          <cell r="P228" t="str">
            <v>NY005013510</v>
          </cell>
          <cell r="Q228" t="str">
            <v>FEDERAL</v>
          </cell>
        </row>
        <row r="229">
          <cell r="D229" t="str">
            <v>CAREY GARDENS</v>
          </cell>
          <cell r="E229" t="str">
            <v>CAREY GARDENS</v>
          </cell>
          <cell r="F229">
            <v>5</v>
          </cell>
          <cell r="G229">
            <v>682</v>
          </cell>
          <cell r="H229">
            <v>736900</v>
          </cell>
          <cell r="I229" t="str">
            <v>Property Management</v>
          </cell>
          <cell r="J229" t="str">
            <v/>
          </cell>
          <cell r="K229" t="str">
            <v/>
          </cell>
          <cell r="L229" t="str">
            <v/>
          </cell>
          <cell r="M229" t="str">
            <v>High Rise Campus</v>
          </cell>
          <cell r="N229" t="str">
            <v/>
          </cell>
          <cell r="O229" t="str">
            <v>K016600</v>
          </cell>
          <cell r="P229" t="str">
            <v>NY005011660</v>
          </cell>
          <cell r="Q229" t="str">
            <v>FEDERAL</v>
          </cell>
        </row>
        <row r="230">
          <cell r="D230" t="str">
            <v>PENNSYLVANIA AVENUE-WORTMAN AVENUE</v>
          </cell>
          <cell r="E230" t="str">
            <v>PENNSYLVANIA-WORTMAN</v>
          </cell>
          <cell r="F230">
            <v>4</v>
          </cell>
          <cell r="G230">
            <v>336</v>
          </cell>
          <cell r="H230">
            <v>322400</v>
          </cell>
          <cell r="I230" t="str">
            <v>Property Management</v>
          </cell>
          <cell r="J230" t="str">
            <v/>
          </cell>
          <cell r="K230" t="str">
            <v/>
          </cell>
          <cell r="L230" t="str">
            <v/>
          </cell>
          <cell r="M230" t="str">
            <v>Med-High Rise Campus</v>
          </cell>
          <cell r="N230" t="str">
            <v/>
          </cell>
          <cell r="O230" t="str">
            <v>K019400</v>
          </cell>
          <cell r="P230" t="str">
            <v>NY005011940</v>
          </cell>
          <cell r="Q230" t="str">
            <v>FEDERAL</v>
          </cell>
        </row>
        <row r="231">
          <cell r="D231" t="str">
            <v>572 WARREN STREET</v>
          </cell>
          <cell r="E231" t="str">
            <v>WYCKOFF GARDENS</v>
          </cell>
          <cell r="F231">
            <v>2</v>
          </cell>
          <cell r="G231">
            <v>200</v>
          </cell>
          <cell r="H231">
            <v>196130</v>
          </cell>
          <cell r="I231" t="str">
            <v>Property Management</v>
          </cell>
          <cell r="J231" t="str">
            <v/>
          </cell>
          <cell r="K231" t="str">
            <v/>
          </cell>
          <cell r="L231" t="str">
            <v/>
          </cell>
          <cell r="M231" t="str">
            <v/>
          </cell>
          <cell r="N231" t="str">
            <v>SA</v>
          </cell>
          <cell r="O231" t="str">
            <v>K019600</v>
          </cell>
          <cell r="P231" t="str">
            <v>NY005011630</v>
          </cell>
          <cell r="Q231" t="str">
            <v>FEDERAL</v>
          </cell>
        </row>
        <row r="232">
          <cell r="D232" t="str">
            <v>SHEEPSHEAD BAY</v>
          </cell>
          <cell r="E232" t="str">
            <v>SHEEPSHEAD BAY</v>
          </cell>
          <cell r="F232">
            <v>18</v>
          </cell>
          <cell r="G232">
            <v>1054</v>
          </cell>
          <cell r="H232">
            <v>1029200</v>
          </cell>
          <cell r="I232" t="str">
            <v>Property Management</v>
          </cell>
          <cell r="J232" t="str">
            <v/>
          </cell>
          <cell r="K232" t="str">
            <v/>
          </cell>
          <cell r="L232" t="str">
            <v/>
          </cell>
          <cell r="M232" t="str">
            <v>Med Rise Campus</v>
          </cell>
          <cell r="N232" t="str">
            <v/>
          </cell>
          <cell r="O232" t="str">
            <v>K003600</v>
          </cell>
          <cell r="P232" t="str">
            <v>NY005010360</v>
          </cell>
          <cell r="Q232" t="str">
            <v>FEDERAL</v>
          </cell>
        </row>
        <row r="233">
          <cell r="D233" t="str">
            <v>UNITY PLAZA (SITES 4-27)</v>
          </cell>
          <cell r="E233" t="str">
            <v>UNITY PLAZA</v>
          </cell>
          <cell r="F233">
            <v>5</v>
          </cell>
          <cell r="G233">
            <v>461</v>
          </cell>
          <cell r="H233">
            <v>504240</v>
          </cell>
          <cell r="I233" t="str">
            <v>NGO1</v>
          </cell>
          <cell r="J233" t="str">
            <v/>
          </cell>
          <cell r="K233" t="str">
            <v/>
          </cell>
          <cell r="L233" t="str">
            <v/>
          </cell>
          <cell r="M233" t="str">
            <v>Med Rise Campus</v>
          </cell>
          <cell r="N233" t="str">
            <v/>
          </cell>
          <cell r="O233" t="str">
            <v>K026100</v>
          </cell>
          <cell r="P233" t="str">
            <v>NY005012610</v>
          </cell>
          <cell r="Q233" t="str">
            <v>FEDERAL</v>
          </cell>
        </row>
        <row r="234">
          <cell r="D234" t="str">
            <v>FENIMORE-LEFFERTS</v>
          </cell>
          <cell r="E234" t="str">
            <v>REID APARTMENTS</v>
          </cell>
          <cell r="F234">
            <v>18</v>
          </cell>
          <cell r="G234">
            <v>36</v>
          </cell>
          <cell r="H234">
            <v>45740</v>
          </cell>
          <cell r="I234" t="str">
            <v>Property Management</v>
          </cell>
          <cell r="J234" t="str">
            <v/>
          </cell>
          <cell r="K234" t="str">
            <v/>
          </cell>
          <cell r="L234" t="str">
            <v>Scattered</v>
          </cell>
          <cell r="M234" t="str">
            <v/>
          </cell>
          <cell r="N234" t="str">
            <v/>
          </cell>
          <cell r="O234" t="str">
            <v>K020500</v>
          </cell>
          <cell r="P234" t="str">
            <v>NY005011670</v>
          </cell>
          <cell r="Q234" t="str">
            <v>FEDERAL</v>
          </cell>
        </row>
        <row r="235">
          <cell r="D235" t="str">
            <v>ARMSTRONG I</v>
          </cell>
          <cell r="E235" t="str">
            <v>ARMSTRONG I</v>
          </cell>
          <cell r="F235">
            <v>12</v>
          </cell>
          <cell r="G235">
            <v>369</v>
          </cell>
          <cell r="H235">
            <v>399300</v>
          </cell>
          <cell r="I235" t="str">
            <v>Property Management</v>
          </cell>
          <cell r="J235" t="str">
            <v/>
          </cell>
          <cell r="K235" t="str">
            <v/>
          </cell>
          <cell r="L235" t="str">
            <v>Scattered</v>
          </cell>
          <cell r="M235" t="str">
            <v/>
          </cell>
          <cell r="N235" t="str">
            <v/>
          </cell>
          <cell r="O235" t="str">
            <v>K021000</v>
          </cell>
          <cell r="P235" t="str">
            <v>NY005012100</v>
          </cell>
          <cell r="Q235" t="str">
            <v>FEDERAL</v>
          </cell>
        </row>
        <row r="236">
          <cell r="D236" t="str">
            <v>CONEY ISLAND I (SITES 4 &amp; 5)</v>
          </cell>
          <cell r="E236" t="str">
            <v>SURFSIDE GARDENS</v>
          </cell>
          <cell r="F236">
            <v>2</v>
          </cell>
          <cell r="G236">
            <v>375</v>
          </cell>
          <cell r="H236">
            <v>449110</v>
          </cell>
          <cell r="I236" t="str">
            <v>Property Management</v>
          </cell>
          <cell r="J236" t="str">
            <v/>
          </cell>
          <cell r="K236" t="str">
            <v/>
          </cell>
          <cell r="L236" t="str">
            <v/>
          </cell>
          <cell r="M236" t="str">
            <v/>
          </cell>
          <cell r="N236" t="str">
            <v>SA</v>
          </cell>
          <cell r="O236" t="str">
            <v>K021600</v>
          </cell>
          <cell r="P236" t="str">
            <v>NY005011700</v>
          </cell>
          <cell r="Q236" t="str">
            <v>FEDERAL</v>
          </cell>
        </row>
        <row r="237">
          <cell r="D237" t="str">
            <v>CROWN HEIGHTS</v>
          </cell>
          <cell r="E237" t="str">
            <v>PARK ROCK CONSOLIDATED</v>
          </cell>
          <cell r="F237">
            <v>8</v>
          </cell>
          <cell r="G237">
            <v>121</v>
          </cell>
          <cell r="H237">
            <v>140750</v>
          </cell>
          <cell r="I237" t="str">
            <v>Property Management</v>
          </cell>
          <cell r="J237" t="str">
            <v/>
          </cell>
          <cell r="K237" t="str">
            <v/>
          </cell>
          <cell r="L237" t="str">
            <v>Scattered</v>
          </cell>
          <cell r="M237" t="str">
            <v/>
          </cell>
          <cell r="N237" t="str">
            <v/>
          </cell>
          <cell r="O237" t="str">
            <v>K031200</v>
          </cell>
          <cell r="P237" t="str">
            <v>NY005013510</v>
          </cell>
          <cell r="Q237" t="str">
            <v>FEDERAL</v>
          </cell>
        </row>
        <row r="238">
          <cell r="D238" t="str">
            <v>CONEY ISLAND I (SITE 8)</v>
          </cell>
          <cell r="E238" t="str">
            <v>O'DWYER GARDENS</v>
          </cell>
          <cell r="F238">
            <v>1</v>
          </cell>
          <cell r="G238">
            <v>124</v>
          </cell>
          <cell r="H238">
            <v>83280</v>
          </cell>
          <cell r="I238" t="str">
            <v>Property Management</v>
          </cell>
          <cell r="J238" t="str">
            <v/>
          </cell>
          <cell r="K238" t="str">
            <v/>
          </cell>
          <cell r="L238" t="str">
            <v/>
          </cell>
          <cell r="M238" t="str">
            <v/>
          </cell>
          <cell r="N238" t="str">
            <v>SA</v>
          </cell>
          <cell r="O238" t="str">
            <v>K023800</v>
          </cell>
          <cell r="P238" t="str">
            <v>NY005011720</v>
          </cell>
          <cell r="Q238" t="str">
            <v>FEDERAL</v>
          </cell>
        </row>
        <row r="239">
          <cell r="D239" t="str">
            <v>CONEY ISLAND I (SITE 1B)</v>
          </cell>
          <cell r="E239" t="str">
            <v>CAREY GARDENS</v>
          </cell>
          <cell r="F239">
            <v>1</v>
          </cell>
          <cell r="G239">
            <v>192</v>
          </cell>
          <cell r="H239">
            <v>268000</v>
          </cell>
          <cell r="I239" t="str">
            <v>Property Management</v>
          </cell>
          <cell r="J239" t="str">
            <v/>
          </cell>
          <cell r="K239" t="str">
            <v/>
          </cell>
          <cell r="L239" t="str">
            <v/>
          </cell>
          <cell r="M239" t="str">
            <v/>
          </cell>
          <cell r="N239" t="str">
            <v>SA</v>
          </cell>
          <cell r="O239" t="str">
            <v>K023900</v>
          </cell>
          <cell r="P239" t="str">
            <v>NY005011660</v>
          </cell>
          <cell r="Q239" t="str">
            <v>FEDERAL</v>
          </cell>
        </row>
        <row r="240">
          <cell r="D240" t="str">
            <v>BROWN</v>
          </cell>
          <cell r="E240" t="str">
            <v>GARVEY</v>
          </cell>
          <cell r="F240">
            <v>2</v>
          </cell>
          <cell r="G240">
            <v>200</v>
          </cell>
          <cell r="H240">
            <v>162300</v>
          </cell>
          <cell r="I240" t="str">
            <v>Property Management</v>
          </cell>
          <cell r="J240" t="str">
            <v>Yes</v>
          </cell>
          <cell r="K240" t="str">
            <v>Stand Alone</v>
          </cell>
          <cell r="L240" t="str">
            <v/>
          </cell>
          <cell r="M240" t="str">
            <v/>
          </cell>
          <cell r="N240" t="str">
            <v>SA</v>
          </cell>
          <cell r="O240" t="str">
            <v>K032500</v>
          </cell>
          <cell r="P240" t="str">
            <v>NY005012520</v>
          </cell>
          <cell r="Q240" t="str">
            <v>FEDERAL</v>
          </cell>
        </row>
        <row r="241">
          <cell r="D241" t="str">
            <v>STUYVESANT GARDENS I</v>
          </cell>
          <cell r="E241" t="str">
            <v>STUYVESANT GARDENS I</v>
          </cell>
          <cell r="F241">
            <v>5</v>
          </cell>
          <cell r="G241">
            <v>329</v>
          </cell>
          <cell r="H241">
            <v>389000</v>
          </cell>
          <cell r="I241" t="str">
            <v>Property Management</v>
          </cell>
          <cell r="J241" t="str">
            <v/>
          </cell>
          <cell r="K241" t="str">
            <v/>
          </cell>
          <cell r="L241" t="str">
            <v>Scattered</v>
          </cell>
          <cell r="M241" t="str">
            <v/>
          </cell>
          <cell r="N241" t="str">
            <v/>
          </cell>
          <cell r="O241" t="str">
            <v>K022100</v>
          </cell>
          <cell r="P241" t="str">
            <v>NY005012210</v>
          </cell>
          <cell r="Q241" t="str">
            <v>FEDERAL</v>
          </cell>
        </row>
        <row r="242">
          <cell r="D242" t="str">
            <v>UNITY PLAZA (SITES 17,24,25A)</v>
          </cell>
          <cell r="E242" t="str">
            <v>UNITY PLAZA</v>
          </cell>
          <cell r="F242">
            <v>3</v>
          </cell>
          <cell r="G242">
            <v>167</v>
          </cell>
          <cell r="H242">
            <v>186600</v>
          </cell>
          <cell r="I242" t="str">
            <v>NGO1</v>
          </cell>
          <cell r="J242" t="str">
            <v/>
          </cell>
          <cell r="K242" t="str">
            <v/>
          </cell>
          <cell r="L242" t="str">
            <v/>
          </cell>
          <cell r="M242" t="str">
            <v>Med Rise Campus</v>
          </cell>
          <cell r="N242" t="str">
            <v/>
          </cell>
          <cell r="O242" t="str">
            <v>K024000</v>
          </cell>
          <cell r="P242" t="str">
            <v>NY005012610</v>
          </cell>
          <cell r="Q242" t="str">
            <v>FEDERAL</v>
          </cell>
        </row>
        <row r="243">
          <cell r="D243" t="str">
            <v>BORINQUEN PLAZA I</v>
          </cell>
          <cell r="E243" t="str">
            <v>BORINQUEN PLAZA I</v>
          </cell>
          <cell r="F243">
            <v>10</v>
          </cell>
          <cell r="G243">
            <v>509</v>
          </cell>
          <cell r="H243">
            <v>510300</v>
          </cell>
          <cell r="I243" t="str">
            <v>Property Management</v>
          </cell>
          <cell r="J243" t="str">
            <v/>
          </cell>
          <cell r="K243" t="str">
            <v/>
          </cell>
          <cell r="L243" t="str">
            <v/>
          </cell>
          <cell r="M243" t="str">
            <v>Med Rise Campus</v>
          </cell>
          <cell r="N243" t="str">
            <v/>
          </cell>
          <cell r="O243" t="str">
            <v>K024300</v>
          </cell>
          <cell r="P243" t="str">
            <v>NY005012430</v>
          </cell>
          <cell r="Q243" t="str">
            <v>FEDERAL</v>
          </cell>
        </row>
        <row r="244">
          <cell r="D244" t="str">
            <v>ARMSTRONG II</v>
          </cell>
          <cell r="E244" t="str">
            <v>ARMSTRONG I</v>
          </cell>
          <cell r="F244">
            <v>6</v>
          </cell>
          <cell r="G244">
            <v>247</v>
          </cell>
          <cell r="H244">
            <v>306100</v>
          </cell>
          <cell r="I244" t="str">
            <v>Property Management</v>
          </cell>
          <cell r="J244" t="str">
            <v/>
          </cell>
          <cell r="K244" t="str">
            <v/>
          </cell>
          <cell r="L244" t="str">
            <v>Scattered</v>
          </cell>
          <cell r="M244" t="str">
            <v/>
          </cell>
          <cell r="N244" t="str">
            <v/>
          </cell>
          <cell r="O244" t="str">
            <v>K022800</v>
          </cell>
          <cell r="P244" t="str">
            <v>NY005012100</v>
          </cell>
          <cell r="Q244" t="str">
            <v>FEDERAL</v>
          </cell>
        </row>
        <row r="245">
          <cell r="D245" t="str">
            <v>WEEKSVILLE GARDENS</v>
          </cell>
          <cell r="E245" t="str">
            <v>ALBANY</v>
          </cell>
          <cell r="F245">
            <v>2</v>
          </cell>
          <cell r="G245">
            <v>256</v>
          </cell>
          <cell r="H245">
            <v>300150</v>
          </cell>
          <cell r="I245" t="str">
            <v>Property Management</v>
          </cell>
          <cell r="J245" t="str">
            <v/>
          </cell>
          <cell r="K245" t="str">
            <v/>
          </cell>
          <cell r="L245" t="str">
            <v>Scattered</v>
          </cell>
          <cell r="M245" t="str">
            <v/>
          </cell>
          <cell r="N245" t="str">
            <v/>
          </cell>
          <cell r="O245" t="str">
            <v>K022900</v>
          </cell>
          <cell r="P245" t="str">
            <v>NY005010310</v>
          </cell>
          <cell r="Q245" t="str">
            <v>FEDERAL</v>
          </cell>
        </row>
        <row r="246">
          <cell r="D246" t="str">
            <v>TAYLOR STREET-WYTHE AVENUE</v>
          </cell>
          <cell r="E246" t="str">
            <v>TAYLOR STREET-WYTHE AVENUE</v>
          </cell>
          <cell r="F246">
            <v>6</v>
          </cell>
          <cell r="G246">
            <v>525</v>
          </cell>
          <cell r="H246">
            <v>631040</v>
          </cell>
          <cell r="I246" t="str">
            <v>NGO-Mixed Finance</v>
          </cell>
          <cell r="J246" t="str">
            <v/>
          </cell>
          <cell r="K246" t="str">
            <v/>
          </cell>
          <cell r="L246" t="str">
            <v/>
          </cell>
          <cell r="M246" t="str">
            <v>Med-High Rise Campus</v>
          </cell>
          <cell r="N246" t="str">
            <v/>
          </cell>
          <cell r="O246" t="str">
            <v>K023400</v>
          </cell>
          <cell r="P246" t="str">
            <v>NY005012340</v>
          </cell>
          <cell r="Q246" t="str">
            <v>FEDERAL</v>
          </cell>
        </row>
        <row r="247">
          <cell r="D247" t="str">
            <v>104-14 TAPSCOTT STREET</v>
          </cell>
          <cell r="E247" t="str">
            <v>REID APARTMENTS</v>
          </cell>
          <cell r="F247">
            <v>1</v>
          </cell>
          <cell r="G247">
            <v>30</v>
          </cell>
          <cell r="H247">
            <v>31000</v>
          </cell>
          <cell r="I247" t="str">
            <v>Property Management</v>
          </cell>
          <cell r="J247" t="str">
            <v/>
          </cell>
          <cell r="K247" t="str">
            <v/>
          </cell>
          <cell r="L247" t="str">
            <v/>
          </cell>
          <cell r="M247" t="str">
            <v/>
          </cell>
          <cell r="N247" t="str">
            <v>SA</v>
          </cell>
          <cell r="O247" t="str">
            <v>K024200</v>
          </cell>
          <cell r="P247" t="str">
            <v>NY005011670</v>
          </cell>
          <cell r="Q247" t="str">
            <v>FEDERAL</v>
          </cell>
        </row>
        <row r="248">
          <cell r="D248" t="str">
            <v>FIORENTINO PLAZA</v>
          </cell>
          <cell r="E248" t="str">
            <v>UNITY PLAZA</v>
          </cell>
          <cell r="F248">
            <v>8</v>
          </cell>
          <cell r="G248">
            <v>158</v>
          </cell>
          <cell r="H248">
            <v>224800</v>
          </cell>
          <cell r="I248" t="str">
            <v>NGO1</v>
          </cell>
          <cell r="J248" t="str">
            <v/>
          </cell>
          <cell r="K248" t="str">
            <v/>
          </cell>
          <cell r="L248" t="str">
            <v/>
          </cell>
          <cell r="M248" t="str">
            <v>Low Rise Campus</v>
          </cell>
          <cell r="N248" t="str">
            <v/>
          </cell>
          <cell r="O248" t="str">
            <v>K020700</v>
          </cell>
          <cell r="P248" t="str">
            <v>NY005012610</v>
          </cell>
          <cell r="Q248" t="str">
            <v>FEDERAL</v>
          </cell>
        </row>
        <row r="249">
          <cell r="D249" t="str">
            <v>EAST NEW YORK CITY LINE</v>
          </cell>
          <cell r="E249" t="str">
            <v>CYPRESS HILLS</v>
          </cell>
          <cell r="F249">
            <v>33</v>
          </cell>
          <cell r="G249">
            <v>66</v>
          </cell>
          <cell r="H249">
            <v>78990</v>
          </cell>
          <cell r="I249" t="str">
            <v>Property Management</v>
          </cell>
          <cell r="J249" t="str">
            <v/>
          </cell>
          <cell r="K249" t="str">
            <v/>
          </cell>
          <cell r="L249" t="str">
            <v>Scattered</v>
          </cell>
          <cell r="M249" t="str">
            <v/>
          </cell>
          <cell r="N249" t="str">
            <v/>
          </cell>
          <cell r="O249" t="str">
            <v>K026300</v>
          </cell>
          <cell r="P249" t="str">
            <v>NY005010700</v>
          </cell>
          <cell r="Q249" t="str">
            <v>FEDERAL</v>
          </cell>
        </row>
        <row r="250">
          <cell r="D250" t="str">
            <v>GARVEY (GROUP A)</v>
          </cell>
          <cell r="E250" t="str">
            <v>GARVEY</v>
          </cell>
          <cell r="F250">
            <v>4</v>
          </cell>
          <cell r="G250">
            <v>320</v>
          </cell>
          <cell r="H250">
            <v>384756</v>
          </cell>
          <cell r="I250" t="str">
            <v>Property Management</v>
          </cell>
          <cell r="J250" t="str">
            <v/>
          </cell>
          <cell r="K250" t="str">
            <v/>
          </cell>
          <cell r="L250" t="str">
            <v/>
          </cell>
          <cell r="M250" t="str">
            <v>High Rise Campus</v>
          </cell>
          <cell r="N250" t="str">
            <v/>
          </cell>
          <cell r="O250" t="str">
            <v>K025200</v>
          </cell>
          <cell r="P250" t="str">
            <v>NY005012520</v>
          </cell>
          <cell r="Q250" t="str">
            <v>FEDERAL</v>
          </cell>
        </row>
        <row r="251">
          <cell r="D251" t="str">
            <v>ATLANTIC TERMINAL SITE 4B</v>
          </cell>
          <cell r="E251" t="str">
            <v>WYCKOFF GARDENS</v>
          </cell>
          <cell r="F251">
            <v>1</v>
          </cell>
          <cell r="G251">
            <v>299</v>
          </cell>
          <cell r="H251">
            <v>271380</v>
          </cell>
          <cell r="I251" t="str">
            <v>Property Management</v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  <cell r="N251" t="str">
            <v>SA</v>
          </cell>
          <cell r="O251" t="str">
            <v>K025600</v>
          </cell>
          <cell r="P251" t="str">
            <v>NY005011630</v>
          </cell>
          <cell r="Q251" t="str">
            <v>FEDERAL</v>
          </cell>
        </row>
        <row r="252">
          <cell r="D252" t="str">
            <v>BORINQUEN PLAZA II</v>
          </cell>
          <cell r="E252" t="str">
            <v>BORINQUEN PLAZA I</v>
          </cell>
          <cell r="F252">
            <v>7</v>
          </cell>
          <cell r="G252">
            <v>425</v>
          </cell>
          <cell r="H252">
            <v>466200</v>
          </cell>
          <cell r="I252" t="str">
            <v>Property Management</v>
          </cell>
          <cell r="J252" t="str">
            <v/>
          </cell>
          <cell r="K252" t="str">
            <v/>
          </cell>
          <cell r="L252" t="str">
            <v/>
          </cell>
          <cell r="M252" t="str">
            <v>Med Rise Campus</v>
          </cell>
          <cell r="N252" t="str">
            <v/>
          </cell>
          <cell r="O252" t="str">
            <v>K027100</v>
          </cell>
          <cell r="P252" t="str">
            <v>NY005012430</v>
          </cell>
          <cell r="Q252" t="str">
            <v>FEDERAL</v>
          </cell>
        </row>
        <row r="253">
          <cell r="D253" t="str">
            <v>PALMETTO GARDENS</v>
          </cell>
          <cell r="E253" t="str">
            <v>HOPE GARDENS</v>
          </cell>
          <cell r="F253">
            <v>1</v>
          </cell>
          <cell r="G253">
            <v>115</v>
          </cell>
          <cell r="H253">
            <v>80000</v>
          </cell>
          <cell r="I253" t="str">
            <v>Property Management</v>
          </cell>
          <cell r="J253" t="str">
            <v>Yes</v>
          </cell>
          <cell r="K253" t="str">
            <v>Stand Alone</v>
          </cell>
          <cell r="L253" t="str">
            <v/>
          </cell>
          <cell r="M253" t="str">
            <v/>
          </cell>
          <cell r="N253" t="str">
            <v>SA</v>
          </cell>
          <cell r="O253" t="str">
            <v>K019500</v>
          </cell>
          <cell r="P253" t="str">
            <v>NY005012470</v>
          </cell>
          <cell r="Q253" t="str">
            <v>FEDERAL</v>
          </cell>
        </row>
        <row r="254">
          <cell r="D254" t="str">
            <v>MARLBORO</v>
          </cell>
          <cell r="E254" t="str">
            <v>MARLBORO</v>
          </cell>
          <cell r="F254">
            <v>30</v>
          </cell>
          <cell r="G254">
            <v>1765</v>
          </cell>
          <cell r="H254">
            <v>1829800</v>
          </cell>
          <cell r="I254" t="str">
            <v>NGO-Mixed Finance</v>
          </cell>
          <cell r="J254" t="str">
            <v/>
          </cell>
          <cell r="K254" t="str">
            <v/>
          </cell>
          <cell r="L254" t="str">
            <v/>
          </cell>
          <cell r="M254" t="str">
            <v>Med-High Rise Campus</v>
          </cell>
          <cell r="N254" t="str">
            <v/>
          </cell>
          <cell r="O254" t="str">
            <v>K008300</v>
          </cell>
          <cell r="P254" t="str">
            <v>NY005000830</v>
          </cell>
          <cell r="Q254" t="str">
            <v>MIXED FINANCE/LLC1</v>
          </cell>
        </row>
        <row r="255">
          <cell r="D255" t="str">
            <v>BUSHWICK</v>
          </cell>
          <cell r="E255" t="str">
            <v>BUSHWICK</v>
          </cell>
          <cell r="F255">
            <v>8</v>
          </cell>
          <cell r="G255">
            <v>1220</v>
          </cell>
          <cell r="H255">
            <v>1327600</v>
          </cell>
          <cell r="I255" t="str">
            <v>NGO-Mixed Finance</v>
          </cell>
          <cell r="J255" t="str">
            <v/>
          </cell>
          <cell r="K255" t="str">
            <v/>
          </cell>
          <cell r="L255" t="str">
            <v/>
          </cell>
          <cell r="M255" t="str">
            <v>High Rise Campus</v>
          </cell>
          <cell r="N255" t="str">
            <v/>
          </cell>
          <cell r="O255" t="str">
            <v>K008600</v>
          </cell>
          <cell r="P255" t="str">
            <v>NY005000860</v>
          </cell>
          <cell r="Q255" t="str">
            <v>MIXED FINANCE/LLC1</v>
          </cell>
        </row>
        <row r="256">
          <cell r="D256" t="str">
            <v>INDEPENDENCE</v>
          </cell>
          <cell r="E256" t="str">
            <v>TAYLOR STREET-WYTHE AVENUE</v>
          </cell>
          <cell r="F256">
            <v>6</v>
          </cell>
          <cell r="G256">
            <v>743</v>
          </cell>
          <cell r="H256">
            <v>737350</v>
          </cell>
          <cell r="I256" t="str">
            <v>NGO-Mixed Finance</v>
          </cell>
          <cell r="J256" t="str">
            <v/>
          </cell>
          <cell r="K256" t="str">
            <v/>
          </cell>
          <cell r="L256" t="str">
            <v/>
          </cell>
          <cell r="M256" t="str">
            <v>High Rise Campus</v>
          </cell>
          <cell r="N256" t="str">
            <v/>
          </cell>
          <cell r="O256" t="str">
            <v>K014000</v>
          </cell>
          <cell r="P256" t="str">
            <v>NY005001400</v>
          </cell>
          <cell r="Q256" t="str">
            <v>MIXED FINANCE/LLC2</v>
          </cell>
        </row>
        <row r="257">
          <cell r="D257" t="str">
            <v>WILLIAMS PLAZA</v>
          </cell>
          <cell r="E257" t="str">
            <v>WILLIAMS PLAZA</v>
          </cell>
          <cell r="F257">
            <v>5</v>
          </cell>
          <cell r="G257">
            <v>577</v>
          </cell>
          <cell r="H257">
            <v>605488</v>
          </cell>
          <cell r="I257" t="str">
            <v>NGO-Mixed Finance</v>
          </cell>
          <cell r="J257" t="str">
            <v/>
          </cell>
          <cell r="K257" t="str">
            <v/>
          </cell>
          <cell r="L257" t="str">
            <v/>
          </cell>
          <cell r="M257" t="str">
            <v>High Rise Campus</v>
          </cell>
          <cell r="N257" t="str">
            <v/>
          </cell>
          <cell r="O257" t="str">
            <v>K012800</v>
          </cell>
          <cell r="P257" t="str">
            <v>NY005001280</v>
          </cell>
          <cell r="Q257" t="str">
            <v>MIXED FINANCE/LLC2</v>
          </cell>
        </row>
        <row r="258">
          <cell r="D258" t="str">
            <v>LONG ISLAND BAPTIST HOUSES</v>
          </cell>
          <cell r="E258" t="str">
            <v>UNITY PLAZA</v>
          </cell>
          <cell r="F258">
            <v>4</v>
          </cell>
          <cell r="G258">
            <v>229</v>
          </cell>
          <cell r="H258">
            <v>253750</v>
          </cell>
          <cell r="I258" t="str">
            <v>NGO1</v>
          </cell>
          <cell r="J258" t="str">
            <v/>
          </cell>
          <cell r="K258" t="str">
            <v/>
          </cell>
          <cell r="L258" t="str">
            <v/>
          </cell>
          <cell r="M258" t="str">
            <v>Med Rise Campus</v>
          </cell>
          <cell r="N258" t="str">
            <v/>
          </cell>
          <cell r="O258" t="str">
            <v>K027600</v>
          </cell>
          <cell r="P258" t="str">
            <v>NY005012610</v>
          </cell>
          <cell r="Q258" t="str">
            <v>FEDERAL</v>
          </cell>
        </row>
        <row r="259">
          <cell r="D259" t="str">
            <v>RUTLAND TOWERS</v>
          </cell>
          <cell r="E259" t="str">
            <v>REID APARTMENTS</v>
          </cell>
          <cell r="F259">
            <v>1</v>
          </cell>
          <cell r="G259">
            <v>61</v>
          </cell>
          <cell r="H259">
            <v>60700</v>
          </cell>
          <cell r="I259" t="str">
            <v>Property Management</v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  <cell r="N259" t="str">
            <v>SA</v>
          </cell>
          <cell r="O259" t="str">
            <v>K028200</v>
          </cell>
          <cell r="P259" t="str">
            <v>NY005011670</v>
          </cell>
          <cell r="Q259" t="str">
            <v>FEDERAL</v>
          </cell>
        </row>
        <row r="260">
          <cell r="D260" t="str">
            <v>WHITMAN</v>
          </cell>
          <cell r="E260" t="str">
            <v>WHITMAN</v>
          </cell>
          <cell r="F260">
            <v>18</v>
          </cell>
          <cell r="G260">
            <v>1651</v>
          </cell>
          <cell r="H260">
            <v>1349100</v>
          </cell>
          <cell r="I260" t="str">
            <v>Property Management</v>
          </cell>
          <cell r="J260" t="str">
            <v/>
          </cell>
          <cell r="K260" t="str">
            <v/>
          </cell>
          <cell r="L260" t="str">
            <v/>
          </cell>
          <cell r="M260" t="str">
            <v>Med-High Rise Campus</v>
          </cell>
          <cell r="N260" t="str">
            <v/>
          </cell>
          <cell r="O260" t="str">
            <v>K051400</v>
          </cell>
          <cell r="P260" t="str">
            <v>NY005005140</v>
          </cell>
          <cell r="Q260" t="str">
            <v>FEDERAL</v>
          </cell>
        </row>
        <row r="261">
          <cell r="D261" t="str">
            <v>INGERSOLL</v>
          </cell>
          <cell r="E261" t="str">
            <v>INGERSOLL</v>
          </cell>
          <cell r="F261">
            <v>21</v>
          </cell>
          <cell r="G261">
            <v>1826</v>
          </cell>
          <cell r="H261">
            <v>1521000</v>
          </cell>
          <cell r="I261" t="str">
            <v>Property Management</v>
          </cell>
          <cell r="J261" t="str">
            <v/>
          </cell>
          <cell r="K261" t="str">
            <v/>
          </cell>
          <cell r="L261" t="str">
            <v/>
          </cell>
          <cell r="M261" t="str">
            <v>Med-High Rise Campus</v>
          </cell>
          <cell r="N261" t="str">
            <v/>
          </cell>
          <cell r="O261" t="str">
            <v>K001400</v>
          </cell>
          <cell r="P261" t="str">
            <v>NY005000140</v>
          </cell>
          <cell r="Q261" t="str">
            <v>FEDERAL</v>
          </cell>
        </row>
        <row r="262">
          <cell r="D262" t="str">
            <v>BROWNSVILLE</v>
          </cell>
          <cell r="E262" t="str">
            <v>BROWNSVILLE</v>
          </cell>
          <cell r="F262">
            <v>27</v>
          </cell>
          <cell r="G262">
            <v>1337</v>
          </cell>
          <cell r="H262">
            <v>1233950</v>
          </cell>
          <cell r="I262" t="str">
            <v>NGO1</v>
          </cell>
          <cell r="J262" t="str">
            <v/>
          </cell>
          <cell r="K262" t="str">
            <v/>
          </cell>
          <cell r="L262" t="str">
            <v/>
          </cell>
          <cell r="M262" t="str">
            <v>Med-High Rise Campus</v>
          </cell>
          <cell r="N262" t="str">
            <v/>
          </cell>
          <cell r="O262" t="str">
            <v>K001600</v>
          </cell>
          <cell r="P262" t="str">
            <v>NY005000160</v>
          </cell>
          <cell r="Q262" t="str">
            <v>FEDERAL</v>
          </cell>
        </row>
        <row r="263">
          <cell r="D263" t="str">
            <v>MARCY</v>
          </cell>
          <cell r="E263" t="str">
            <v>MARCY</v>
          </cell>
          <cell r="F263">
            <v>28</v>
          </cell>
          <cell r="G263">
            <v>1714</v>
          </cell>
          <cell r="H263">
            <v>1636248</v>
          </cell>
          <cell r="I263" t="str">
            <v>Property Management</v>
          </cell>
          <cell r="J263" t="str">
            <v/>
          </cell>
          <cell r="K263" t="str">
            <v/>
          </cell>
          <cell r="L263" t="str">
            <v/>
          </cell>
          <cell r="M263" t="str">
            <v>Med Rise Campus</v>
          </cell>
          <cell r="N263" t="str">
            <v/>
          </cell>
          <cell r="O263" t="str">
            <v>K002100</v>
          </cell>
          <cell r="P263" t="str">
            <v>NY005000210</v>
          </cell>
          <cell r="Q263" t="str">
            <v>FEDERAL</v>
          </cell>
        </row>
        <row r="264">
          <cell r="D264" t="str">
            <v>GOWANUS</v>
          </cell>
          <cell r="E264" t="str">
            <v>GOWANUS</v>
          </cell>
          <cell r="F264">
            <v>15</v>
          </cell>
          <cell r="G264">
            <v>1136</v>
          </cell>
          <cell r="H264">
            <v>1065928</v>
          </cell>
          <cell r="I264" t="str">
            <v>Property Management</v>
          </cell>
          <cell r="J264" t="str">
            <v/>
          </cell>
          <cell r="K264" t="str">
            <v/>
          </cell>
          <cell r="L264" t="str">
            <v/>
          </cell>
          <cell r="M264" t="str">
            <v>Low-High Rise Campus</v>
          </cell>
          <cell r="N264" t="str">
            <v/>
          </cell>
          <cell r="O264" t="str">
            <v>K002500</v>
          </cell>
          <cell r="P264" t="str">
            <v>NY005000250</v>
          </cell>
          <cell r="Q264" t="str">
            <v>FEDERAL</v>
          </cell>
        </row>
        <row r="265">
          <cell r="D265" t="str">
            <v>ALBANY</v>
          </cell>
          <cell r="E265" t="str">
            <v>ALBANY</v>
          </cell>
          <cell r="F265">
            <v>6</v>
          </cell>
          <cell r="G265">
            <v>825</v>
          </cell>
          <cell r="H265">
            <v>753400</v>
          </cell>
          <cell r="I265" t="str">
            <v>Property Management</v>
          </cell>
          <cell r="J265" t="str">
            <v/>
          </cell>
          <cell r="K265" t="str">
            <v/>
          </cell>
          <cell r="L265" t="str">
            <v/>
          </cell>
          <cell r="M265" t="str">
            <v>High Rise Campus</v>
          </cell>
          <cell r="N265" t="str">
            <v/>
          </cell>
          <cell r="O265" t="str">
            <v>K003100</v>
          </cell>
          <cell r="P265" t="str">
            <v>NY005010310</v>
          </cell>
          <cell r="Q265" t="str">
            <v>FEDERAL</v>
          </cell>
        </row>
        <row r="266">
          <cell r="D266" t="str">
            <v>ALBANY II</v>
          </cell>
          <cell r="E266" t="str">
            <v>ALBANY</v>
          </cell>
          <cell r="F266">
            <v>3</v>
          </cell>
          <cell r="G266">
            <v>400</v>
          </cell>
          <cell r="H266">
            <v>375000</v>
          </cell>
          <cell r="I266" t="str">
            <v>Property Management</v>
          </cell>
          <cell r="J266" t="str">
            <v/>
          </cell>
          <cell r="K266" t="str">
            <v/>
          </cell>
          <cell r="L266" t="str">
            <v/>
          </cell>
          <cell r="M266" t="str">
            <v>High Rise Campus</v>
          </cell>
          <cell r="N266" t="str">
            <v/>
          </cell>
          <cell r="O266" t="str">
            <v>K008500</v>
          </cell>
          <cell r="P266" t="str">
            <v>NY005010310</v>
          </cell>
          <cell r="Q266" t="str">
            <v>FEDERAL</v>
          </cell>
        </row>
        <row r="267">
          <cell r="D267" t="str">
            <v>FARRAGUT</v>
          </cell>
          <cell r="E267" t="str">
            <v>FARRAGUT</v>
          </cell>
          <cell r="F267">
            <v>10</v>
          </cell>
          <cell r="G267">
            <v>1389</v>
          </cell>
          <cell r="H267">
            <v>1319660</v>
          </cell>
          <cell r="I267" t="str">
            <v>Property Management</v>
          </cell>
          <cell r="J267" t="str">
            <v/>
          </cell>
          <cell r="K267" t="str">
            <v/>
          </cell>
          <cell r="L267" t="str">
            <v/>
          </cell>
          <cell r="M267" t="str">
            <v>High Rise Campus</v>
          </cell>
          <cell r="N267" t="str">
            <v/>
          </cell>
          <cell r="O267" t="str">
            <v>K002900</v>
          </cell>
          <cell r="P267" t="str">
            <v>NY005000290</v>
          </cell>
          <cell r="Q267" t="str">
            <v>FEDERAL</v>
          </cell>
        </row>
        <row r="268">
          <cell r="D268" t="str">
            <v>CYPRESS HILLS</v>
          </cell>
          <cell r="E268" t="str">
            <v>CYPRESS HILLS</v>
          </cell>
          <cell r="F268">
            <v>15</v>
          </cell>
          <cell r="G268">
            <v>1441</v>
          </cell>
          <cell r="H268">
            <v>1324500</v>
          </cell>
          <cell r="I268" t="str">
            <v>Property Management</v>
          </cell>
          <cell r="J268" t="str">
            <v/>
          </cell>
          <cell r="K268" t="str">
            <v/>
          </cell>
          <cell r="L268" t="str">
            <v/>
          </cell>
          <cell r="M268" t="str">
            <v>Med Rise Campus</v>
          </cell>
          <cell r="N268" t="str">
            <v/>
          </cell>
          <cell r="O268" t="str">
            <v>K007000</v>
          </cell>
          <cell r="P268" t="str">
            <v>NY005010700</v>
          </cell>
          <cell r="Q268" t="str">
            <v>FEDERAL</v>
          </cell>
        </row>
        <row r="269">
          <cell r="D269" t="str">
            <v>SUMNER</v>
          </cell>
          <cell r="E269" t="str">
            <v>SUMNER</v>
          </cell>
          <cell r="F269">
            <v>13</v>
          </cell>
          <cell r="G269">
            <v>1098</v>
          </cell>
          <cell r="H269">
            <v>1045000</v>
          </cell>
          <cell r="I269" t="str">
            <v>Property Management</v>
          </cell>
          <cell r="J269" t="str">
            <v/>
          </cell>
          <cell r="K269" t="str">
            <v/>
          </cell>
          <cell r="L269" t="str">
            <v/>
          </cell>
          <cell r="M269" t="str">
            <v>Med-High Rise Campus</v>
          </cell>
          <cell r="N269" t="str">
            <v/>
          </cell>
          <cell r="O269" t="str">
            <v>K007300</v>
          </cell>
          <cell r="P269" t="str">
            <v>NY005010730</v>
          </cell>
          <cell r="Q269" t="str">
            <v>FEDERAL</v>
          </cell>
        </row>
        <row r="270">
          <cell r="D270" t="str">
            <v>HOPE GARDENS</v>
          </cell>
          <cell r="E270" t="str">
            <v>HOPE GARDENS</v>
          </cell>
          <cell r="F270">
            <v>5</v>
          </cell>
          <cell r="G270">
            <v>324</v>
          </cell>
          <cell r="H270">
            <v>391488</v>
          </cell>
          <cell r="I270" t="str">
            <v>Property Management</v>
          </cell>
          <cell r="J270" t="str">
            <v/>
          </cell>
          <cell r="K270" t="str">
            <v/>
          </cell>
          <cell r="L270" t="str">
            <v/>
          </cell>
          <cell r="M270" t="str">
            <v>Med-High Rise Campus</v>
          </cell>
          <cell r="N270" t="str">
            <v/>
          </cell>
          <cell r="O270" t="str">
            <v>K024700</v>
          </cell>
          <cell r="P270" t="str">
            <v>NY005012470</v>
          </cell>
          <cell r="Q270" t="str">
            <v>FEDERAL</v>
          </cell>
        </row>
        <row r="271">
          <cell r="D271" t="str">
            <v>HOWARD AVENUE-PARK PLACE</v>
          </cell>
          <cell r="E271" t="str">
            <v>PARK ROCK CONSOLIDATED</v>
          </cell>
          <cell r="F271">
            <v>8</v>
          </cell>
          <cell r="G271">
            <v>155</v>
          </cell>
          <cell r="H271">
            <v>176700</v>
          </cell>
          <cell r="I271" t="str">
            <v>Property Management</v>
          </cell>
          <cell r="J271" t="str">
            <v/>
          </cell>
          <cell r="K271" t="str">
            <v/>
          </cell>
          <cell r="L271" t="str">
            <v>Scattered</v>
          </cell>
          <cell r="M271" t="str">
            <v/>
          </cell>
          <cell r="N271" t="str">
            <v/>
          </cell>
          <cell r="O271" t="str">
            <v>K036500</v>
          </cell>
          <cell r="P271" t="str">
            <v>NY005013510</v>
          </cell>
          <cell r="Q271" t="str">
            <v>FEDERAL</v>
          </cell>
        </row>
        <row r="272">
          <cell r="D272" t="str">
            <v>BUSHWICK II (GROUPS A &amp; C)</v>
          </cell>
          <cell r="E272" t="str">
            <v>HOPE GARDENS</v>
          </cell>
          <cell r="F272">
            <v>25</v>
          </cell>
          <cell r="G272">
            <v>299</v>
          </cell>
          <cell r="H272">
            <v>330300</v>
          </cell>
          <cell r="I272" t="str">
            <v>Property Management</v>
          </cell>
          <cell r="J272" t="str">
            <v/>
          </cell>
          <cell r="K272" t="str">
            <v/>
          </cell>
          <cell r="L272" t="str">
            <v>Scattered</v>
          </cell>
          <cell r="M272" t="str">
            <v/>
          </cell>
          <cell r="N272" t="str">
            <v/>
          </cell>
          <cell r="O272" t="str">
            <v>K030200</v>
          </cell>
          <cell r="P272" t="str">
            <v>NY005012470</v>
          </cell>
          <cell r="Q272" t="str">
            <v>FEDERAL</v>
          </cell>
        </row>
        <row r="273">
          <cell r="D273" t="str">
            <v>BUSHWICK II (GROUPS B &amp; D)</v>
          </cell>
          <cell r="E273" t="str">
            <v>HOPE GARDENS</v>
          </cell>
          <cell r="F273">
            <v>26</v>
          </cell>
          <cell r="G273">
            <v>300</v>
          </cell>
          <cell r="H273">
            <v>338850</v>
          </cell>
          <cell r="I273" t="str">
            <v>Property Management</v>
          </cell>
          <cell r="J273" t="str">
            <v/>
          </cell>
          <cell r="K273" t="str">
            <v/>
          </cell>
          <cell r="L273" t="str">
            <v>Scattered</v>
          </cell>
          <cell r="M273" t="str">
            <v/>
          </cell>
          <cell r="N273" t="str">
            <v/>
          </cell>
          <cell r="O273" t="str">
            <v>K030300</v>
          </cell>
          <cell r="P273" t="str">
            <v>NY005012470</v>
          </cell>
          <cell r="Q273" t="str">
            <v>FEDERAL</v>
          </cell>
        </row>
        <row r="274">
          <cell r="D274" t="str">
            <v>HOWARD</v>
          </cell>
          <cell r="E274" t="str">
            <v>HOWARD</v>
          </cell>
          <cell r="F274">
            <v>10</v>
          </cell>
          <cell r="G274">
            <v>814</v>
          </cell>
          <cell r="H274">
            <v>748500</v>
          </cell>
          <cell r="I274" t="str">
            <v>NGO1</v>
          </cell>
          <cell r="J274" t="str">
            <v/>
          </cell>
          <cell r="K274" t="str">
            <v/>
          </cell>
          <cell r="L274" t="str">
            <v/>
          </cell>
          <cell r="M274" t="str">
            <v>Med-High Rise Campus</v>
          </cell>
          <cell r="N274" t="str">
            <v/>
          </cell>
          <cell r="O274" t="str">
            <v>K007200</v>
          </cell>
          <cell r="P274" t="str">
            <v>NY005000720</v>
          </cell>
          <cell r="Q274" t="str">
            <v>FEDERAL</v>
          </cell>
        </row>
        <row r="275">
          <cell r="D275" t="str">
            <v>GLENMORE PLAZA</v>
          </cell>
          <cell r="E275" t="str">
            <v>LOW HOUSES</v>
          </cell>
          <cell r="F275">
            <v>4</v>
          </cell>
          <cell r="G275">
            <v>439</v>
          </cell>
          <cell r="H275">
            <v>450000</v>
          </cell>
          <cell r="I275" t="str">
            <v>NGO1</v>
          </cell>
          <cell r="J275" t="str">
            <v/>
          </cell>
          <cell r="K275" t="str">
            <v/>
          </cell>
          <cell r="L275" t="str">
            <v/>
          </cell>
          <cell r="M275" t="str">
            <v>High Rise Campus</v>
          </cell>
          <cell r="N275" t="str">
            <v/>
          </cell>
          <cell r="O275" t="str">
            <v>K017100</v>
          </cell>
          <cell r="P275" t="str">
            <v>NY005011690</v>
          </cell>
          <cell r="Q275" t="str">
            <v>FEDERAL</v>
          </cell>
        </row>
        <row r="276">
          <cell r="D276" t="str">
            <v>O'DWYER GARDENS</v>
          </cell>
          <cell r="E276" t="str">
            <v>O'DWYER GARDENS</v>
          </cell>
          <cell r="F276">
            <v>7</v>
          </cell>
          <cell r="G276">
            <v>572</v>
          </cell>
          <cell r="H276">
            <v>564650</v>
          </cell>
          <cell r="I276" t="str">
            <v>Property Management</v>
          </cell>
          <cell r="J276" t="str">
            <v/>
          </cell>
          <cell r="K276" t="str">
            <v/>
          </cell>
          <cell r="L276" t="str">
            <v/>
          </cell>
          <cell r="M276" t="str">
            <v>High Rise Campus</v>
          </cell>
          <cell r="N276" t="str">
            <v/>
          </cell>
          <cell r="O276" t="str">
            <v>K017200</v>
          </cell>
          <cell r="P276" t="str">
            <v>NY005011720</v>
          </cell>
          <cell r="Q276" t="str">
            <v>FEDERAL</v>
          </cell>
        </row>
        <row r="277">
          <cell r="D277" t="str">
            <v>GLENWOOD</v>
          </cell>
          <cell r="E277" t="str">
            <v>GLENWOOD</v>
          </cell>
          <cell r="F277">
            <v>20</v>
          </cell>
          <cell r="G277">
            <v>1187</v>
          </cell>
          <cell r="H277">
            <v>1197700</v>
          </cell>
          <cell r="I277" t="str">
            <v>Property Management</v>
          </cell>
          <cell r="J277" t="str">
            <v/>
          </cell>
          <cell r="K277" t="str">
            <v/>
          </cell>
          <cell r="L277" t="str">
            <v/>
          </cell>
          <cell r="M277" t="str">
            <v>Med Rise Campus</v>
          </cell>
          <cell r="N277" t="str">
            <v/>
          </cell>
          <cell r="O277" t="str">
            <v>K004400</v>
          </cell>
          <cell r="P277" t="str">
            <v>NY005000440</v>
          </cell>
          <cell r="Q277" t="str">
            <v>FEDERAL</v>
          </cell>
        </row>
        <row r="278">
          <cell r="D278" t="str">
            <v>NOSTRAND</v>
          </cell>
          <cell r="E278" t="str">
            <v>SHEEPSHEAD BAY</v>
          </cell>
          <cell r="F278">
            <v>17</v>
          </cell>
          <cell r="G278">
            <v>1147</v>
          </cell>
          <cell r="H278">
            <v>1129800</v>
          </cell>
          <cell r="I278" t="str">
            <v>Property Management</v>
          </cell>
          <cell r="J278" t="str">
            <v/>
          </cell>
          <cell r="K278" t="str">
            <v/>
          </cell>
          <cell r="L278" t="str">
            <v/>
          </cell>
          <cell r="M278" t="str">
            <v>Med Rise Campus</v>
          </cell>
          <cell r="N278" t="str">
            <v/>
          </cell>
          <cell r="O278" t="str">
            <v>K004300</v>
          </cell>
          <cell r="P278" t="str">
            <v>NY005010360</v>
          </cell>
          <cell r="Q278" t="str">
            <v>FEDERAL</v>
          </cell>
        </row>
        <row r="279">
          <cell r="D279" t="str">
            <v>HABER</v>
          </cell>
          <cell r="E279" t="str">
            <v>CAREY GARDENS</v>
          </cell>
          <cell r="F279">
            <v>3</v>
          </cell>
          <cell r="G279">
            <v>380</v>
          </cell>
          <cell r="H279">
            <v>338000</v>
          </cell>
          <cell r="I279" t="str">
            <v>Property Management</v>
          </cell>
          <cell r="J279" t="str">
            <v>Yes</v>
          </cell>
          <cell r="K279" t="str">
            <v>High Rise Campus</v>
          </cell>
          <cell r="L279" t="str">
            <v/>
          </cell>
          <cell r="M279" t="str">
            <v>High Rise Campus</v>
          </cell>
          <cell r="N279" t="str">
            <v/>
          </cell>
          <cell r="O279" t="str">
            <v>K014200</v>
          </cell>
          <cell r="P279" t="str">
            <v>NY005011660</v>
          </cell>
          <cell r="Q279" t="str">
            <v>FEDERAL</v>
          </cell>
        </row>
        <row r="280">
          <cell r="D280" t="str">
            <v>BOULEVARD</v>
          </cell>
          <cell r="E280" t="str">
            <v>BOULEVARD</v>
          </cell>
          <cell r="F280">
            <v>19</v>
          </cell>
          <cell r="G280">
            <v>1424</v>
          </cell>
          <cell r="H280">
            <v>1476675</v>
          </cell>
          <cell r="I280" t="str">
            <v>NGO-Mixed Finance</v>
          </cell>
          <cell r="J280" t="str">
            <v/>
          </cell>
          <cell r="K280" t="str">
            <v/>
          </cell>
          <cell r="L280" t="str">
            <v/>
          </cell>
          <cell r="M280" t="str">
            <v>Med-High Rise Campus</v>
          </cell>
          <cell r="N280" t="str">
            <v/>
          </cell>
          <cell r="O280" t="str">
            <v>K004600</v>
          </cell>
          <cell r="P280" t="str">
            <v>NY005000460</v>
          </cell>
          <cell r="Q280" t="str">
            <v>MIXED FINANCE/LLC2</v>
          </cell>
        </row>
        <row r="281">
          <cell r="D281" t="str">
            <v>BAY VIEW</v>
          </cell>
          <cell r="E281" t="str">
            <v>BAY VIEW</v>
          </cell>
          <cell r="F281">
            <v>25</v>
          </cell>
          <cell r="G281">
            <v>1609</v>
          </cell>
          <cell r="H281">
            <v>1795600</v>
          </cell>
          <cell r="I281" t="str">
            <v>NGO-Mixed Finance</v>
          </cell>
          <cell r="J281" t="str">
            <v/>
          </cell>
          <cell r="K281" t="str">
            <v/>
          </cell>
          <cell r="L281" t="str">
            <v/>
          </cell>
          <cell r="M281" t="str">
            <v>Med Rise Campus</v>
          </cell>
          <cell r="N281" t="str">
            <v/>
          </cell>
          <cell r="O281" t="str">
            <v>K009200</v>
          </cell>
          <cell r="P281" t="str">
            <v>NY005000920</v>
          </cell>
          <cell r="Q281" t="str">
            <v>MIXED FINANCE/LLC1</v>
          </cell>
        </row>
        <row r="282">
          <cell r="D282" t="str">
            <v>CONEY ISLAND</v>
          </cell>
          <cell r="E282" t="str">
            <v>SURFSIDE GARDENS</v>
          </cell>
          <cell r="F282">
            <v>5</v>
          </cell>
          <cell r="G282">
            <v>534</v>
          </cell>
          <cell r="H282">
            <v>567000</v>
          </cell>
          <cell r="I282" t="str">
            <v>Property Management</v>
          </cell>
          <cell r="J282" t="str">
            <v/>
          </cell>
          <cell r="K282" t="str">
            <v/>
          </cell>
          <cell r="L282" t="str">
            <v/>
          </cell>
          <cell r="M282" t="str">
            <v>High Rise Campus</v>
          </cell>
          <cell r="N282" t="str">
            <v/>
          </cell>
          <cell r="O282" t="str">
            <v>K009400</v>
          </cell>
          <cell r="P282" t="str">
            <v>NY005011700</v>
          </cell>
          <cell r="Q282" t="str">
            <v>FEDERAL</v>
          </cell>
        </row>
        <row r="283">
          <cell r="D283" t="str">
            <v>LINDEN</v>
          </cell>
          <cell r="E283" t="str">
            <v>LINDEN</v>
          </cell>
          <cell r="F283">
            <v>21</v>
          </cell>
          <cell r="G283">
            <v>1586</v>
          </cell>
          <cell r="H283">
            <v>1640631</v>
          </cell>
          <cell r="I283" t="str">
            <v>NGO-Mixed Finance</v>
          </cell>
          <cell r="J283" t="str">
            <v/>
          </cell>
          <cell r="K283" t="str">
            <v/>
          </cell>
          <cell r="L283" t="str">
            <v/>
          </cell>
          <cell r="M283" t="str">
            <v>Med-High Rise Campus</v>
          </cell>
          <cell r="N283" t="str">
            <v/>
          </cell>
          <cell r="O283" t="str">
            <v>K009500</v>
          </cell>
          <cell r="P283" t="str">
            <v>NY005000950</v>
          </cell>
          <cell r="Q283" t="str">
            <v>MIXED FINANCE/LLC2</v>
          </cell>
        </row>
        <row r="284">
          <cell r="D284" t="str">
            <v>HYLAN</v>
          </cell>
          <cell r="E284" t="str">
            <v>BUSHWICK</v>
          </cell>
          <cell r="F284">
            <v>1</v>
          </cell>
          <cell r="G284">
            <v>209</v>
          </cell>
          <cell r="H284">
            <v>224400</v>
          </cell>
          <cell r="I284" t="str">
            <v>Property Management</v>
          </cell>
          <cell r="J284" t="str">
            <v/>
          </cell>
          <cell r="K284" t="str">
            <v/>
          </cell>
          <cell r="L284" t="str">
            <v/>
          </cell>
          <cell r="M284" t="str">
            <v/>
          </cell>
          <cell r="N284" t="str">
            <v>SA</v>
          </cell>
          <cell r="O284" t="str">
            <v>K010900</v>
          </cell>
          <cell r="P284" t="str">
            <v>NY005010860</v>
          </cell>
          <cell r="Q284" t="str">
            <v>FEDERAL</v>
          </cell>
        </row>
        <row r="285">
          <cell r="D285" t="str">
            <v>STUYVESANT GARDENS II</v>
          </cell>
          <cell r="E285" t="str">
            <v>STUYVESANT GARDENS I</v>
          </cell>
          <cell r="F285">
            <v>1</v>
          </cell>
          <cell r="G285">
            <v>150</v>
          </cell>
          <cell r="H285">
            <v>121000</v>
          </cell>
          <cell r="I285" t="str">
            <v>Property Management</v>
          </cell>
          <cell r="J285" t="str">
            <v>Yes</v>
          </cell>
          <cell r="K285" t="str">
            <v>Stand Alone</v>
          </cell>
          <cell r="L285" t="str">
            <v/>
          </cell>
          <cell r="M285" t="str">
            <v/>
          </cell>
          <cell r="N285" t="str">
            <v>SA</v>
          </cell>
          <cell r="O285" t="str">
            <v>K033300</v>
          </cell>
          <cell r="P285" t="str">
            <v>NY005012210</v>
          </cell>
          <cell r="Q285" t="str">
            <v>FEDERAL</v>
          </cell>
        </row>
        <row r="286">
          <cell r="D286" t="str">
            <v>BUSHWICK II CDA (GROUP E)</v>
          </cell>
          <cell r="E286" t="str">
            <v>HOPE GARDENS</v>
          </cell>
          <cell r="F286">
            <v>5</v>
          </cell>
          <cell r="G286">
            <v>276</v>
          </cell>
          <cell r="H286">
            <v>255050</v>
          </cell>
          <cell r="I286" t="str">
            <v>Property Management</v>
          </cell>
          <cell r="J286" t="str">
            <v/>
          </cell>
          <cell r="K286" t="str">
            <v/>
          </cell>
          <cell r="L286" t="str">
            <v>Scattered</v>
          </cell>
          <cell r="M286" t="str">
            <v/>
          </cell>
          <cell r="N286" t="str">
            <v/>
          </cell>
          <cell r="O286" t="str">
            <v>K032400</v>
          </cell>
          <cell r="P286" t="str">
            <v>NY005012470</v>
          </cell>
          <cell r="Q286" t="str">
            <v>FEDERAL</v>
          </cell>
        </row>
        <row r="287">
          <cell r="D287" t="str">
            <v>BELMONT-SUTTER AREA</v>
          </cell>
          <cell r="E287" t="str">
            <v>BOULEVARD</v>
          </cell>
          <cell r="F287">
            <v>3</v>
          </cell>
          <cell r="G287">
            <v>72</v>
          </cell>
          <cell r="H287">
            <v>109166</v>
          </cell>
          <cell r="I287" t="str">
            <v>NGO-Mixed Finance</v>
          </cell>
          <cell r="J287" t="str">
            <v/>
          </cell>
          <cell r="K287" t="str">
            <v/>
          </cell>
          <cell r="L287" t="str">
            <v>Scattered</v>
          </cell>
          <cell r="M287" t="str">
            <v/>
          </cell>
          <cell r="N287" t="str">
            <v/>
          </cell>
          <cell r="O287" t="str">
            <v>K034500</v>
          </cell>
          <cell r="P287" t="str">
            <v>NY005010460</v>
          </cell>
          <cell r="Q287" t="str">
            <v>FEDERAL</v>
          </cell>
        </row>
        <row r="288">
          <cell r="D288" t="str">
            <v>LENOX ROAD-ROCKAWAY PARKWAY</v>
          </cell>
          <cell r="E288" t="str">
            <v>REID APARTMENTS</v>
          </cell>
          <cell r="F288">
            <v>3</v>
          </cell>
          <cell r="G288">
            <v>74</v>
          </cell>
          <cell r="H288">
            <v>77900</v>
          </cell>
          <cell r="I288" t="str">
            <v>Property Management</v>
          </cell>
          <cell r="J288" t="str">
            <v/>
          </cell>
          <cell r="K288" t="str">
            <v/>
          </cell>
          <cell r="L288" t="str">
            <v>Scattered</v>
          </cell>
          <cell r="M288" t="str">
            <v/>
          </cell>
          <cell r="N288" t="str">
            <v/>
          </cell>
          <cell r="O288" t="str">
            <v>K034800</v>
          </cell>
          <cell r="P288" t="str">
            <v>NY005011670</v>
          </cell>
          <cell r="Q288" t="str">
            <v>FEDERAL</v>
          </cell>
        </row>
        <row r="289">
          <cell r="D289" t="str">
            <v>PARK ROCK REHAB</v>
          </cell>
          <cell r="E289" t="str">
            <v>PARK ROCK CONSOLIDATED</v>
          </cell>
          <cell r="F289">
            <v>9</v>
          </cell>
          <cell r="G289">
            <v>134</v>
          </cell>
          <cell r="H289">
            <v>147600</v>
          </cell>
          <cell r="I289" t="str">
            <v>Property Management</v>
          </cell>
          <cell r="J289" t="str">
            <v/>
          </cell>
          <cell r="K289" t="str">
            <v/>
          </cell>
          <cell r="L289" t="str">
            <v>Scattered</v>
          </cell>
          <cell r="M289" t="str">
            <v/>
          </cell>
          <cell r="N289" t="str">
            <v/>
          </cell>
          <cell r="O289" t="str">
            <v>K035100</v>
          </cell>
          <cell r="P289" t="str">
            <v>NY005013510</v>
          </cell>
          <cell r="Q289" t="str">
            <v>FEDERAL</v>
          </cell>
        </row>
        <row r="290">
          <cell r="D290" t="str">
            <v>RALPH AVENUE REHAB</v>
          </cell>
          <cell r="E290" t="str">
            <v>REID APARTMENTS</v>
          </cell>
          <cell r="F290">
            <v>5</v>
          </cell>
          <cell r="G290">
            <v>118</v>
          </cell>
          <cell r="H290">
            <v>130200</v>
          </cell>
          <cell r="I290" t="str">
            <v>Property Management</v>
          </cell>
          <cell r="J290" t="str">
            <v/>
          </cell>
          <cell r="K290" t="str">
            <v/>
          </cell>
          <cell r="L290" t="str">
            <v>Scattered</v>
          </cell>
          <cell r="M290" t="str">
            <v/>
          </cell>
          <cell r="N290" t="str">
            <v/>
          </cell>
          <cell r="O290" t="str">
            <v>K035200</v>
          </cell>
          <cell r="P290" t="str">
            <v>NY005011670</v>
          </cell>
          <cell r="Q290" t="str">
            <v>FEDERAL</v>
          </cell>
        </row>
        <row r="291">
          <cell r="D291" t="str">
            <v>TAPSCOTT STREET REHAB</v>
          </cell>
          <cell r="E291" t="str">
            <v>REID APARTMENTS</v>
          </cell>
          <cell r="F291">
            <v>8</v>
          </cell>
          <cell r="G291">
            <v>155</v>
          </cell>
          <cell r="H291">
            <v>166070</v>
          </cell>
          <cell r="I291" t="str">
            <v>Property Management</v>
          </cell>
          <cell r="J291" t="str">
            <v/>
          </cell>
          <cell r="K291" t="str">
            <v/>
          </cell>
          <cell r="L291" t="str">
            <v>Scattered</v>
          </cell>
          <cell r="M291" t="str">
            <v/>
          </cell>
          <cell r="N291" t="str">
            <v/>
          </cell>
          <cell r="O291" t="str">
            <v>K035400</v>
          </cell>
          <cell r="P291" t="str">
            <v>NY005011670</v>
          </cell>
          <cell r="Q291" t="str">
            <v>FEDERAL</v>
          </cell>
        </row>
        <row r="292">
          <cell r="D292" t="str">
            <v>BERRY STREET-SOUTH 9TH STREET</v>
          </cell>
          <cell r="E292" t="str">
            <v>TOMPKINS</v>
          </cell>
          <cell r="F292">
            <v>4</v>
          </cell>
          <cell r="G292">
            <v>150</v>
          </cell>
          <cell r="H292">
            <v>161000</v>
          </cell>
          <cell r="I292" t="str">
            <v>Property Management</v>
          </cell>
          <cell r="J292" t="str">
            <v/>
          </cell>
          <cell r="K292" t="str">
            <v/>
          </cell>
          <cell r="L292" t="str">
            <v>Scattered</v>
          </cell>
          <cell r="M292" t="str">
            <v/>
          </cell>
          <cell r="N292" t="str">
            <v/>
          </cell>
          <cell r="O292" t="str">
            <v>K035700</v>
          </cell>
          <cell r="P292" t="str">
            <v>NY005011310</v>
          </cell>
          <cell r="Q292" t="str">
            <v>FEDERAL</v>
          </cell>
        </row>
        <row r="293">
          <cell r="D293" t="str">
            <v>HOWARD AVENUE</v>
          </cell>
          <cell r="E293" t="str">
            <v>PARK ROCK CONSOLIDATED</v>
          </cell>
          <cell r="F293">
            <v>5</v>
          </cell>
          <cell r="G293">
            <v>148</v>
          </cell>
          <cell r="H293">
            <v>156250</v>
          </cell>
          <cell r="I293" t="str">
            <v>Property Management</v>
          </cell>
          <cell r="J293" t="str">
            <v/>
          </cell>
          <cell r="K293" t="str">
            <v/>
          </cell>
          <cell r="L293" t="str">
            <v>Scattered</v>
          </cell>
          <cell r="M293" t="str">
            <v/>
          </cell>
          <cell r="N293" t="str">
            <v/>
          </cell>
          <cell r="O293" t="str">
            <v>K033900</v>
          </cell>
          <cell r="P293" t="str">
            <v>NY005013510</v>
          </cell>
          <cell r="Q293" t="str">
            <v>FEDERAL</v>
          </cell>
        </row>
        <row r="294">
          <cell r="D294" t="str">
            <v>STERLING PLACE REHABS (SAINT JOHNS-STERLING)</v>
          </cell>
          <cell r="E294" t="str">
            <v>PARK ROCK CONSOLIDATED</v>
          </cell>
          <cell r="F294">
            <v>5</v>
          </cell>
          <cell r="G294">
            <v>83</v>
          </cell>
          <cell r="H294">
            <v>114450</v>
          </cell>
          <cell r="I294" t="str">
            <v>Property Management</v>
          </cell>
          <cell r="J294" t="str">
            <v/>
          </cell>
          <cell r="K294" t="str">
            <v/>
          </cell>
          <cell r="L294" t="str">
            <v>Scattered</v>
          </cell>
          <cell r="M294" t="str">
            <v/>
          </cell>
          <cell r="N294" t="str">
            <v/>
          </cell>
          <cell r="O294" t="str">
            <v>K036600</v>
          </cell>
          <cell r="P294" t="str">
            <v>NY005013510</v>
          </cell>
          <cell r="Q294" t="str">
            <v>FEDERAL</v>
          </cell>
        </row>
        <row r="295">
          <cell r="D295" t="str">
            <v>MARCY AVENUE-GREENE AVENUE SITE A</v>
          </cell>
          <cell r="E295" t="str">
            <v>KRAUS MANAGEMENT (PRIVATE - M/B 1)</v>
          </cell>
          <cell r="F295">
            <v>2</v>
          </cell>
          <cell r="G295">
            <v>48</v>
          </cell>
          <cell r="H295">
            <v>72025</v>
          </cell>
          <cell r="I295" t="str">
            <v>Private Management</v>
          </cell>
          <cell r="J295" t="str">
            <v/>
          </cell>
          <cell r="K295" t="str">
            <v/>
          </cell>
          <cell r="L295" t="str">
            <v>Scattered</v>
          </cell>
          <cell r="M295" t="str">
            <v/>
          </cell>
          <cell r="N295" t="str">
            <v/>
          </cell>
          <cell r="O295" t="str">
            <v>K036300</v>
          </cell>
          <cell r="P295" t="str">
            <v>NY005013590</v>
          </cell>
          <cell r="Q295" t="str">
            <v>FEDERAL</v>
          </cell>
        </row>
        <row r="296">
          <cell r="D296" t="str">
            <v>MARCY AVENUE-GREENE AVENUE SITE B</v>
          </cell>
          <cell r="E296" t="str">
            <v>KRAUS MANAGEMENT (PRIVATE - M/B 1)</v>
          </cell>
          <cell r="F296">
            <v>1</v>
          </cell>
          <cell r="G296">
            <v>30</v>
          </cell>
          <cell r="H296">
            <v>41075</v>
          </cell>
          <cell r="I296" t="str">
            <v>Private Management</v>
          </cell>
          <cell r="J296" t="str">
            <v/>
          </cell>
          <cell r="K296" t="str">
            <v/>
          </cell>
          <cell r="L296" t="str">
            <v/>
          </cell>
          <cell r="M296" t="str">
            <v/>
          </cell>
          <cell r="N296" t="str">
            <v>SA</v>
          </cell>
          <cell r="O296" t="str">
            <v>K035800</v>
          </cell>
          <cell r="P296" t="str">
            <v>NY005013590</v>
          </cell>
          <cell r="Q296" t="str">
            <v>FEDERAL</v>
          </cell>
        </row>
        <row r="297">
          <cell r="D297" t="str">
            <v>SUTTER AVENUE-UNION STREET</v>
          </cell>
          <cell r="E297" t="str">
            <v>REID APARTMENTS</v>
          </cell>
          <cell r="F297">
            <v>3</v>
          </cell>
          <cell r="G297">
            <v>100</v>
          </cell>
          <cell r="H297">
            <v>110100</v>
          </cell>
          <cell r="I297" t="str">
            <v>Property Management</v>
          </cell>
          <cell r="J297" t="str">
            <v/>
          </cell>
          <cell r="K297" t="str">
            <v/>
          </cell>
          <cell r="L297" t="str">
            <v>Scattered</v>
          </cell>
          <cell r="M297" t="str">
            <v/>
          </cell>
          <cell r="N297" t="str">
            <v/>
          </cell>
          <cell r="O297" t="str">
            <v>K036900</v>
          </cell>
          <cell r="P297" t="str">
            <v>NY005011670</v>
          </cell>
          <cell r="Q297" t="str">
            <v>FEDERAL</v>
          </cell>
        </row>
        <row r="298">
          <cell r="D298" t="str">
            <v>STERLING PLACE REHABS (STERLING-BUFFALO)</v>
          </cell>
          <cell r="E298" t="str">
            <v>PARK ROCK CONSOLIDATED</v>
          </cell>
          <cell r="F298">
            <v>7</v>
          </cell>
          <cell r="G298">
            <v>125</v>
          </cell>
          <cell r="H298">
            <v>146070</v>
          </cell>
          <cell r="I298" t="str">
            <v>Property Management</v>
          </cell>
          <cell r="J298" t="str">
            <v/>
          </cell>
          <cell r="K298" t="str">
            <v/>
          </cell>
          <cell r="L298" t="str">
            <v>Scattered</v>
          </cell>
          <cell r="M298" t="str">
            <v/>
          </cell>
          <cell r="N298" t="str">
            <v/>
          </cell>
          <cell r="O298" t="str">
            <v>K036800</v>
          </cell>
          <cell r="P298" t="str">
            <v>NY005013510</v>
          </cell>
          <cell r="Q298" t="str">
            <v>FEDERAL</v>
          </cell>
        </row>
        <row r="299">
          <cell r="D299" t="str">
            <v>SOUTH JAMAICA I</v>
          </cell>
          <cell r="E299" t="str">
            <v>SOUTH JAMAICA I</v>
          </cell>
          <cell r="F299">
            <v>11</v>
          </cell>
          <cell r="G299">
            <v>448</v>
          </cell>
          <cell r="H299">
            <v>341600</v>
          </cell>
          <cell r="I299" t="str">
            <v>NGO-Queens/SI</v>
          </cell>
          <cell r="J299" t="str">
            <v/>
          </cell>
          <cell r="K299" t="str">
            <v/>
          </cell>
          <cell r="L299" t="str">
            <v/>
          </cell>
          <cell r="M299" t="str">
            <v>Low-Rise Campus</v>
          </cell>
          <cell r="N299" t="str">
            <v/>
          </cell>
          <cell r="O299" t="str">
            <v>Q000800</v>
          </cell>
          <cell r="P299" t="str">
            <v>NY005010080</v>
          </cell>
          <cell r="Q299" t="str">
            <v>FEDERAL</v>
          </cell>
        </row>
        <row r="300">
          <cell r="D300" t="str">
            <v>SOUTH JAMAICA II</v>
          </cell>
          <cell r="E300" t="str">
            <v>SOUTH JAMAICA I</v>
          </cell>
          <cell r="F300">
            <v>16</v>
          </cell>
          <cell r="G300">
            <v>599</v>
          </cell>
          <cell r="H300">
            <v>658918</v>
          </cell>
          <cell r="I300" t="str">
            <v>NGO-Queens/SI</v>
          </cell>
          <cell r="J300" t="str">
            <v/>
          </cell>
          <cell r="K300" t="str">
            <v/>
          </cell>
          <cell r="L300" t="str">
            <v/>
          </cell>
          <cell r="M300" t="str">
            <v>Low-Med Rise Campus</v>
          </cell>
          <cell r="N300" t="str">
            <v/>
          </cell>
          <cell r="O300" t="str">
            <v>Q006600</v>
          </cell>
          <cell r="P300" t="str">
            <v>NY005010080</v>
          </cell>
          <cell r="Q300" t="str">
            <v>FEDERAL</v>
          </cell>
        </row>
        <row r="301">
          <cell r="D301" t="str">
            <v>HAMMEL</v>
          </cell>
          <cell r="E301" t="str">
            <v>HAMMEL</v>
          </cell>
          <cell r="F301">
            <v>14</v>
          </cell>
          <cell r="G301">
            <v>711</v>
          </cell>
          <cell r="H301">
            <v>815950</v>
          </cell>
          <cell r="I301" t="str">
            <v>NGO-Queens/SI</v>
          </cell>
          <cell r="J301" t="str">
            <v/>
          </cell>
          <cell r="K301" t="str">
            <v/>
          </cell>
          <cell r="L301" t="str">
            <v/>
          </cell>
          <cell r="M301" t="str">
            <v>Med Rise Campus</v>
          </cell>
          <cell r="N301" t="str">
            <v/>
          </cell>
          <cell r="O301" t="str">
            <v>Q007500</v>
          </cell>
          <cell r="P301" t="str">
            <v>NY005010750</v>
          </cell>
          <cell r="Q301" t="str">
            <v>FEDERAL</v>
          </cell>
        </row>
        <row r="302">
          <cell r="D302" t="str">
            <v>BAISLEY PARK</v>
          </cell>
          <cell r="E302" t="str">
            <v>BAISLEY PARK</v>
          </cell>
          <cell r="F302">
            <v>6</v>
          </cell>
          <cell r="G302">
            <v>381</v>
          </cell>
          <cell r="H302">
            <v>402700</v>
          </cell>
          <cell r="I302" t="str">
            <v>NGO-Queens/SI</v>
          </cell>
          <cell r="J302" t="str">
            <v/>
          </cell>
          <cell r="K302" t="str">
            <v/>
          </cell>
          <cell r="L302" t="str">
            <v/>
          </cell>
          <cell r="M302" t="str">
            <v>Med Rise Campus</v>
          </cell>
          <cell r="N302" t="str">
            <v/>
          </cell>
          <cell r="O302" t="str">
            <v>Q009100</v>
          </cell>
          <cell r="P302" t="str">
            <v>NY005010910</v>
          </cell>
          <cell r="Q302" t="str">
            <v>FEDERAL</v>
          </cell>
        </row>
        <row r="303">
          <cell r="D303" t="str">
            <v>CARLETON MANOR</v>
          </cell>
          <cell r="E303" t="str">
            <v>HAMMEL</v>
          </cell>
          <cell r="F303">
            <v>1</v>
          </cell>
          <cell r="G303">
            <v>169</v>
          </cell>
          <cell r="H303">
            <v>312100</v>
          </cell>
          <cell r="I303" t="str">
            <v>NGO-Queens/SI</v>
          </cell>
          <cell r="J303" t="str">
            <v/>
          </cell>
          <cell r="K303" t="str">
            <v/>
          </cell>
          <cell r="L303" t="str">
            <v/>
          </cell>
          <cell r="M303" t="str">
            <v/>
          </cell>
          <cell r="N303" t="str">
            <v>SA</v>
          </cell>
          <cell r="O303" t="str">
            <v>Q016400</v>
          </cell>
          <cell r="P303" t="str">
            <v>NY005010750</v>
          </cell>
          <cell r="Q303" t="str">
            <v>FEDERAL</v>
          </cell>
        </row>
        <row r="304">
          <cell r="D304" t="str">
            <v>BEACH 41ST STREET-BEACH CHANNEL DRIVE</v>
          </cell>
          <cell r="E304" t="str">
            <v>BEACH 41ST STREET-BEACH CHANNEL DRIVE</v>
          </cell>
          <cell r="F304">
            <v>5</v>
          </cell>
          <cell r="G304">
            <v>712</v>
          </cell>
          <cell r="H304">
            <v>688239</v>
          </cell>
          <cell r="I304" t="str">
            <v>NGO-Queens/SI</v>
          </cell>
          <cell r="J304" t="str">
            <v/>
          </cell>
          <cell r="K304" t="str">
            <v/>
          </cell>
          <cell r="L304" t="str">
            <v/>
          </cell>
          <cell r="M304" t="str">
            <v>High Rise Campus</v>
          </cell>
          <cell r="N304" t="str">
            <v/>
          </cell>
          <cell r="O304" t="str">
            <v>Q016500</v>
          </cell>
          <cell r="P304" t="str">
            <v>NY005001650</v>
          </cell>
          <cell r="Q304" t="str">
            <v>FEDERAL</v>
          </cell>
        </row>
        <row r="305">
          <cell r="D305" t="str">
            <v>LATIMER GARDENS</v>
          </cell>
          <cell r="E305" t="str">
            <v>LATIMER GARDENS</v>
          </cell>
          <cell r="F305">
            <v>4</v>
          </cell>
          <cell r="G305">
            <v>423</v>
          </cell>
          <cell r="H305">
            <v>396100</v>
          </cell>
          <cell r="I305" t="str">
            <v>NGO-Queens/SI</v>
          </cell>
          <cell r="J305" t="str">
            <v/>
          </cell>
          <cell r="K305" t="str">
            <v/>
          </cell>
          <cell r="L305" t="str">
            <v/>
          </cell>
          <cell r="M305" t="str">
            <v>High Rise Campus</v>
          </cell>
          <cell r="N305" t="str">
            <v/>
          </cell>
          <cell r="O305" t="str">
            <v>Q018600</v>
          </cell>
          <cell r="P305" t="str">
            <v>NY005011860</v>
          </cell>
          <cell r="Q305" t="str">
            <v>FEDERAL</v>
          </cell>
        </row>
        <row r="306">
          <cell r="D306" t="str">
            <v>INTERNATIONAL TOWER</v>
          </cell>
          <cell r="E306" t="str">
            <v>BAISLEY PARK</v>
          </cell>
          <cell r="F306">
            <v>1</v>
          </cell>
          <cell r="G306">
            <v>145</v>
          </cell>
          <cell r="H306">
            <v>134200</v>
          </cell>
          <cell r="I306" t="str">
            <v>NGO-Queens/SI</v>
          </cell>
          <cell r="J306" t="str">
            <v>Yes</v>
          </cell>
          <cell r="K306" t="str">
            <v>Stand Alone</v>
          </cell>
          <cell r="L306" t="str">
            <v/>
          </cell>
          <cell r="M306" t="str">
            <v/>
          </cell>
          <cell r="N306" t="str">
            <v>SA</v>
          </cell>
          <cell r="O306" t="str">
            <v>Q031600</v>
          </cell>
          <cell r="P306" t="str">
            <v>NY005010910</v>
          </cell>
          <cell r="Q306" t="str">
            <v>FEDERAL</v>
          </cell>
        </row>
        <row r="307">
          <cell r="D307" t="str">
            <v>REHAB PROGRAM (COLLEGE POINT)</v>
          </cell>
          <cell r="E307" t="str">
            <v>LATIMER GARDENS</v>
          </cell>
          <cell r="F307">
            <v>1</v>
          </cell>
          <cell r="G307">
            <v>13</v>
          </cell>
          <cell r="H307">
            <v>9000</v>
          </cell>
          <cell r="I307" t="str">
            <v>NGO-Queens/SI</v>
          </cell>
          <cell r="J307" t="str">
            <v>Yes</v>
          </cell>
          <cell r="K307" t="str">
            <v>Stand Alone</v>
          </cell>
          <cell r="L307" t="str">
            <v/>
          </cell>
          <cell r="M307" t="str">
            <v/>
          </cell>
          <cell r="N307" t="str">
            <v>SA</v>
          </cell>
          <cell r="O307" t="str">
            <v>Q014300</v>
          </cell>
          <cell r="P307" t="str">
            <v>NY005011860</v>
          </cell>
          <cell r="Q307" t="str">
            <v>FEDERAL</v>
          </cell>
        </row>
        <row r="308">
          <cell r="D308" t="str">
            <v>FOREST HILLS COOP (108TH STREET-62ND DRIVE)</v>
          </cell>
          <cell r="E308" t="str">
            <v>KRAUS MANAGEMENT (PRIVATE - Q 1)</v>
          </cell>
          <cell r="F308">
            <v>4</v>
          </cell>
          <cell r="G308">
            <v>430</v>
          </cell>
          <cell r="H308">
            <v>441650</v>
          </cell>
          <cell r="I308" t="str">
            <v>Private Management</v>
          </cell>
          <cell r="J308" t="str">
            <v/>
          </cell>
          <cell r="K308" t="str">
            <v/>
          </cell>
          <cell r="L308" t="str">
            <v/>
          </cell>
          <cell r="M308" t="str">
            <v>High Rise Campus</v>
          </cell>
          <cell r="N308" t="str">
            <v/>
          </cell>
          <cell r="O308" t="str">
            <v>Q020000</v>
          </cell>
          <cell r="P308" t="str">
            <v>NY005002000</v>
          </cell>
          <cell r="Q308" t="str">
            <v>FEDERAL</v>
          </cell>
        </row>
        <row r="309">
          <cell r="D309" t="str">
            <v>WOODSIDE</v>
          </cell>
          <cell r="E309" t="str">
            <v>WOODSIDE</v>
          </cell>
          <cell r="F309">
            <v>20</v>
          </cell>
          <cell r="G309">
            <v>1356</v>
          </cell>
          <cell r="H309">
            <v>1267370</v>
          </cell>
          <cell r="I309" t="str">
            <v>NGO-Queens/SI</v>
          </cell>
          <cell r="J309" t="str">
            <v/>
          </cell>
          <cell r="K309" t="str">
            <v/>
          </cell>
          <cell r="L309" t="str">
            <v/>
          </cell>
          <cell r="M309" t="str">
            <v>Med Rise Campus</v>
          </cell>
          <cell r="N309" t="str">
            <v/>
          </cell>
          <cell r="O309" t="str">
            <v>Q003300</v>
          </cell>
          <cell r="P309" t="str">
            <v>NY005000330</v>
          </cell>
          <cell r="Q309" t="str">
            <v>FEDERAL</v>
          </cell>
        </row>
        <row r="310">
          <cell r="D310" t="str">
            <v>CONLON LIHFE TOWER</v>
          </cell>
          <cell r="E310" t="str">
            <v>BAISLEY PARK</v>
          </cell>
          <cell r="F310">
            <v>1</v>
          </cell>
          <cell r="G310">
            <v>214</v>
          </cell>
          <cell r="H310">
            <v>156200</v>
          </cell>
          <cell r="I310" t="str">
            <v>NGO-Queens/SI</v>
          </cell>
          <cell r="J310" t="str">
            <v>Yes</v>
          </cell>
          <cell r="K310" t="str">
            <v>Stand Alone</v>
          </cell>
          <cell r="L310" t="str">
            <v/>
          </cell>
          <cell r="M310" t="str">
            <v/>
          </cell>
          <cell r="N310" t="str">
            <v>SA</v>
          </cell>
          <cell r="O310" t="str">
            <v>Q023200</v>
          </cell>
          <cell r="P310" t="str">
            <v>NY005010910</v>
          </cell>
          <cell r="Q310" t="str">
            <v>FEDERAL</v>
          </cell>
        </row>
        <row r="311">
          <cell r="D311" t="str">
            <v>RAVENSWOOD</v>
          </cell>
          <cell r="E311" t="str">
            <v>RAVENSWOOD</v>
          </cell>
          <cell r="F311">
            <v>31</v>
          </cell>
          <cell r="G311">
            <v>2160</v>
          </cell>
          <cell r="H311">
            <v>2197500</v>
          </cell>
          <cell r="I311" t="str">
            <v>NGO-Queens/SI</v>
          </cell>
          <cell r="J311" t="str">
            <v/>
          </cell>
          <cell r="K311" t="str">
            <v/>
          </cell>
          <cell r="L311" t="str">
            <v/>
          </cell>
          <cell r="M311" t="str">
            <v>Med-High Rise Campus</v>
          </cell>
          <cell r="N311" t="str">
            <v/>
          </cell>
          <cell r="O311" t="str">
            <v>Q004800</v>
          </cell>
          <cell r="P311" t="str">
            <v>NY005000480</v>
          </cell>
          <cell r="Q311" t="str">
            <v>FEDERAL</v>
          </cell>
        </row>
        <row r="312">
          <cell r="D312" t="str">
            <v>LEAVITT STREET-34TH AVENUE</v>
          </cell>
          <cell r="E312" t="str">
            <v>LATIMER GARDENS</v>
          </cell>
          <cell r="F312">
            <v>1</v>
          </cell>
          <cell r="G312">
            <v>83</v>
          </cell>
          <cell r="H312">
            <v>61500</v>
          </cell>
          <cell r="I312" t="str">
            <v>NGO-Queens/SI</v>
          </cell>
          <cell r="J312" t="str">
            <v>Yes</v>
          </cell>
          <cell r="K312" t="str">
            <v>Stand Alone</v>
          </cell>
          <cell r="L312" t="str">
            <v/>
          </cell>
          <cell r="M312" t="str">
            <v/>
          </cell>
          <cell r="N312" t="str">
            <v>SA</v>
          </cell>
          <cell r="O312" t="str">
            <v>Q020100</v>
          </cell>
          <cell r="P312" t="str">
            <v>NY005011860</v>
          </cell>
          <cell r="Q312" t="str">
            <v>FEDERAL</v>
          </cell>
        </row>
        <row r="313">
          <cell r="D313" t="str">
            <v>QUEENSBRIDGE NORTH</v>
          </cell>
          <cell r="E313" t="str">
            <v>QUEENSBRIDGE NORTH</v>
          </cell>
          <cell r="F313">
            <v>14</v>
          </cell>
          <cell r="G313">
            <v>1541</v>
          </cell>
          <cell r="H313">
            <v>1249000</v>
          </cell>
          <cell r="I313" t="str">
            <v>NGO-Queens/SI</v>
          </cell>
          <cell r="J313" t="str">
            <v/>
          </cell>
          <cell r="K313" t="str">
            <v/>
          </cell>
          <cell r="L313" t="str">
            <v/>
          </cell>
          <cell r="M313" t="str">
            <v>Med Rise Campus</v>
          </cell>
          <cell r="N313" t="str">
            <v/>
          </cell>
          <cell r="O313" t="str">
            <v>Q050500</v>
          </cell>
          <cell r="P313" t="str">
            <v>NY005005050</v>
          </cell>
          <cell r="Q313" t="str">
            <v>FEDERAL</v>
          </cell>
        </row>
        <row r="314">
          <cell r="D314" t="str">
            <v>SHELTON HOUSE</v>
          </cell>
          <cell r="E314" t="str">
            <v>BAISLEY PARK</v>
          </cell>
          <cell r="F314">
            <v>1</v>
          </cell>
          <cell r="G314">
            <v>153</v>
          </cell>
          <cell r="H314">
            <v>137100</v>
          </cell>
          <cell r="I314" t="str">
            <v>NGO-Queens/SI</v>
          </cell>
          <cell r="J314" t="str">
            <v>Yes</v>
          </cell>
          <cell r="K314" t="str">
            <v>Stand Alone</v>
          </cell>
          <cell r="L314" t="str">
            <v/>
          </cell>
          <cell r="M314" t="str">
            <v/>
          </cell>
          <cell r="N314" t="str">
            <v>SA</v>
          </cell>
          <cell r="O314" t="str">
            <v>Q027900</v>
          </cell>
          <cell r="P314" t="str">
            <v>NY005010910</v>
          </cell>
          <cell r="Q314" t="str">
            <v>FEDERAL</v>
          </cell>
        </row>
        <row r="315">
          <cell r="D315" t="str">
            <v>ASTORIA</v>
          </cell>
          <cell r="E315" t="str">
            <v>ASTORIA</v>
          </cell>
          <cell r="F315">
            <v>23</v>
          </cell>
          <cell r="G315">
            <v>1104</v>
          </cell>
          <cell r="H315">
            <v>1211610</v>
          </cell>
          <cell r="I315" t="str">
            <v>NGO-Queens/SI</v>
          </cell>
          <cell r="J315" t="str">
            <v/>
          </cell>
          <cell r="K315" t="str">
            <v/>
          </cell>
          <cell r="L315" t="str">
            <v/>
          </cell>
          <cell r="M315" t="str">
            <v>Med-High Rise Campus</v>
          </cell>
          <cell r="N315" t="str">
            <v/>
          </cell>
          <cell r="O315" t="str">
            <v>Q002600</v>
          </cell>
          <cell r="P315" t="str">
            <v>NY005000260</v>
          </cell>
          <cell r="Q315" t="str">
            <v>FEDERAL</v>
          </cell>
        </row>
        <row r="316">
          <cell r="D316" t="str">
            <v>BLAND</v>
          </cell>
          <cell r="E316" t="str">
            <v>LATIMER GARDENS</v>
          </cell>
          <cell r="F316">
            <v>5</v>
          </cell>
          <cell r="G316">
            <v>399</v>
          </cell>
          <cell r="H316">
            <v>432500</v>
          </cell>
          <cell r="I316" t="str">
            <v>NGO-Queens/SI</v>
          </cell>
          <cell r="J316" t="str">
            <v/>
          </cell>
          <cell r="K316" t="str">
            <v/>
          </cell>
          <cell r="L316" t="str">
            <v/>
          </cell>
          <cell r="M316" t="str">
            <v>High Rise Campus</v>
          </cell>
          <cell r="N316" t="str">
            <v/>
          </cell>
          <cell r="O316" t="str">
            <v>Q005400</v>
          </cell>
          <cell r="P316" t="str">
            <v>NY005011860</v>
          </cell>
          <cell r="Q316" t="str">
            <v>FEDERAL</v>
          </cell>
        </row>
        <row r="317">
          <cell r="D317" t="str">
            <v>REDFERN</v>
          </cell>
          <cell r="E317" t="str">
            <v>REDFERN</v>
          </cell>
          <cell r="F317">
            <v>9</v>
          </cell>
          <cell r="G317">
            <v>603</v>
          </cell>
          <cell r="H317">
            <v>627580</v>
          </cell>
          <cell r="I317" t="str">
            <v>NGO-Queens/SI</v>
          </cell>
          <cell r="J317" t="str">
            <v/>
          </cell>
          <cell r="K317" t="str">
            <v/>
          </cell>
          <cell r="L317" t="str">
            <v/>
          </cell>
          <cell r="M317" t="str">
            <v>Med-High Rise Campus</v>
          </cell>
          <cell r="N317" t="str">
            <v/>
          </cell>
          <cell r="O317" t="str">
            <v>Q005500</v>
          </cell>
          <cell r="P317" t="str">
            <v>NY005000550</v>
          </cell>
          <cell r="Q317" t="str">
            <v>FEDERAL</v>
          </cell>
        </row>
        <row r="318">
          <cell r="D318" t="str">
            <v>OCEAN BAY APARTMENTS (BAYSIDE)</v>
          </cell>
          <cell r="E318" t="str">
            <v>OCEAN BAY APARTMENTS</v>
          </cell>
          <cell r="F318">
            <v>24</v>
          </cell>
          <cell r="G318">
            <v>1392</v>
          </cell>
          <cell r="H318">
            <v>1529100</v>
          </cell>
          <cell r="I318" t="str">
            <v>RAD</v>
          </cell>
          <cell r="J318" t="str">
            <v/>
          </cell>
          <cell r="K318" t="str">
            <v/>
          </cell>
          <cell r="L318" t="str">
            <v/>
          </cell>
          <cell r="M318" t="str">
            <v>Med-High Rise Campus</v>
          </cell>
          <cell r="N318" t="str">
            <v/>
          </cell>
          <cell r="O318" t="str">
            <v>Q009800</v>
          </cell>
          <cell r="P318" t="str">
            <v>NY005010980</v>
          </cell>
          <cell r="Q318" t="str">
            <v>FEDERAL</v>
          </cell>
        </row>
        <row r="319">
          <cell r="D319" t="str">
            <v>OCEAN BAY APARTMENTS (OCEANSIDE)</v>
          </cell>
          <cell r="E319" t="str">
            <v>BEACH 41ST STREET-BEACH CHANNEL DRIVE</v>
          </cell>
          <cell r="F319">
            <v>7</v>
          </cell>
          <cell r="G319">
            <v>417</v>
          </cell>
          <cell r="H319">
            <v>390000</v>
          </cell>
          <cell r="I319" t="str">
            <v>NGO-Queens/SI</v>
          </cell>
          <cell r="J319" t="str">
            <v/>
          </cell>
          <cell r="K319" t="str">
            <v/>
          </cell>
          <cell r="L319" t="str">
            <v/>
          </cell>
          <cell r="M319" t="str">
            <v>Med Rise Campus</v>
          </cell>
          <cell r="N319" t="str">
            <v/>
          </cell>
          <cell r="O319" t="str">
            <v>Q005100</v>
          </cell>
          <cell r="P319" t="str">
            <v>NY005010980</v>
          </cell>
          <cell r="Q319" t="str">
            <v>FEDERAL</v>
          </cell>
        </row>
        <row r="320">
          <cell r="D320" t="str">
            <v>POMONOK</v>
          </cell>
          <cell r="E320" t="str">
            <v>POMONOK</v>
          </cell>
          <cell r="F320">
            <v>35</v>
          </cell>
          <cell r="G320">
            <v>2069</v>
          </cell>
          <cell r="H320">
            <v>2232000</v>
          </cell>
          <cell r="I320" t="str">
            <v>NGO-Queens/SI</v>
          </cell>
          <cell r="J320" t="str">
            <v/>
          </cell>
          <cell r="K320" t="str">
            <v/>
          </cell>
          <cell r="L320" t="str">
            <v/>
          </cell>
          <cell r="M320" t="str">
            <v>Low-Med Rise Campus</v>
          </cell>
          <cell r="N320" t="str">
            <v/>
          </cell>
          <cell r="O320" t="str">
            <v>Q005300</v>
          </cell>
          <cell r="P320" t="str">
            <v>NY005000530</v>
          </cell>
          <cell r="Q320" t="str">
            <v>FEDERAL</v>
          </cell>
        </row>
        <row r="321">
          <cell r="D321" t="str">
            <v>QUEENSBRIDGE SOUTH</v>
          </cell>
          <cell r="E321" t="str">
            <v>QUEENSBRIDGE SOUTH</v>
          </cell>
          <cell r="F321">
            <v>15</v>
          </cell>
          <cell r="G321">
            <v>1604</v>
          </cell>
          <cell r="H321">
            <v>1289029</v>
          </cell>
          <cell r="I321" t="str">
            <v>NGO-Queens/SI</v>
          </cell>
          <cell r="J321" t="str">
            <v/>
          </cell>
          <cell r="K321" t="str">
            <v/>
          </cell>
          <cell r="L321" t="str">
            <v/>
          </cell>
          <cell r="M321" t="str">
            <v>Med Rise Campus</v>
          </cell>
          <cell r="N321" t="str">
            <v/>
          </cell>
          <cell r="O321" t="str">
            <v>Q000500</v>
          </cell>
          <cell r="P321" t="str">
            <v>NY005000050</v>
          </cell>
          <cell r="Q321" t="str">
            <v>FEDERAL</v>
          </cell>
        </row>
        <row r="322">
          <cell r="D322" t="str">
            <v>MARINER'S HARBOR</v>
          </cell>
          <cell r="E322" t="str">
            <v>MARINER'S HARBOR</v>
          </cell>
          <cell r="F322">
            <v>22</v>
          </cell>
          <cell r="G322">
            <v>606</v>
          </cell>
          <cell r="H322">
            <v>627795</v>
          </cell>
          <cell r="I322" t="str">
            <v>NGO-Queens/SI</v>
          </cell>
          <cell r="J322" t="str">
            <v/>
          </cell>
          <cell r="K322" t="str">
            <v/>
          </cell>
          <cell r="L322" t="str">
            <v/>
          </cell>
          <cell r="M322" t="str">
            <v>Low-Med Rise Campus</v>
          </cell>
          <cell r="N322" t="str">
            <v/>
          </cell>
          <cell r="O322" t="str">
            <v>S007700</v>
          </cell>
          <cell r="P322" t="str">
            <v>NY005000770</v>
          </cell>
          <cell r="Q322" t="str">
            <v>FEDERAL</v>
          </cell>
        </row>
        <row r="323">
          <cell r="D323" t="str">
            <v>RICHMOND TERRACE</v>
          </cell>
          <cell r="E323" t="str">
            <v>RICHMOND TERRACE</v>
          </cell>
          <cell r="F323">
            <v>7</v>
          </cell>
          <cell r="G323">
            <v>488</v>
          </cell>
          <cell r="H323">
            <v>503660</v>
          </cell>
          <cell r="I323" t="str">
            <v>NGO-Queens/SI</v>
          </cell>
          <cell r="J323" t="str">
            <v/>
          </cell>
          <cell r="K323" t="str">
            <v/>
          </cell>
          <cell r="L323" t="str">
            <v/>
          </cell>
          <cell r="M323" t="str">
            <v>Med Rise Campus</v>
          </cell>
          <cell r="N323" t="str">
            <v/>
          </cell>
          <cell r="O323" t="str">
            <v>S011700</v>
          </cell>
          <cell r="P323" t="str">
            <v>NY005011170</v>
          </cell>
          <cell r="Q323" t="str">
            <v>FEDERAL</v>
          </cell>
        </row>
        <row r="324">
          <cell r="D324" t="str">
            <v>WEST BRIGHTON I</v>
          </cell>
          <cell r="E324" t="str">
            <v>WEST BRIGHTON I</v>
          </cell>
          <cell r="F324">
            <v>9</v>
          </cell>
          <cell r="G324">
            <v>488</v>
          </cell>
          <cell r="H324">
            <v>534910</v>
          </cell>
          <cell r="I324" t="str">
            <v>NGO-Queens/SI</v>
          </cell>
          <cell r="J324" t="str">
            <v/>
          </cell>
          <cell r="K324" t="str">
            <v/>
          </cell>
          <cell r="L324" t="str">
            <v/>
          </cell>
          <cell r="M324" t="str">
            <v>Med Rise Campus</v>
          </cell>
          <cell r="N324" t="str">
            <v/>
          </cell>
          <cell r="O324" t="str">
            <v>S011600</v>
          </cell>
          <cell r="P324" t="str">
            <v>NY005010130</v>
          </cell>
          <cell r="Q324" t="str">
            <v>FEDERAL</v>
          </cell>
        </row>
        <row r="325">
          <cell r="D325" t="str">
            <v>WEST BRIGHTON II</v>
          </cell>
          <cell r="E325" t="str">
            <v>WEST BRIGHTON I</v>
          </cell>
          <cell r="F325">
            <v>8</v>
          </cell>
          <cell r="G325">
            <v>144</v>
          </cell>
          <cell r="H325">
            <v>74100</v>
          </cell>
          <cell r="I325" t="str">
            <v>NGO-Queens/SI</v>
          </cell>
          <cell r="J325" t="str">
            <v>Yes</v>
          </cell>
          <cell r="K325" t="str">
            <v>Scattered</v>
          </cell>
          <cell r="L325" t="str">
            <v>Scattered</v>
          </cell>
          <cell r="M325" t="str">
            <v/>
          </cell>
          <cell r="N325" t="str">
            <v/>
          </cell>
          <cell r="O325" t="str">
            <v>S017500</v>
          </cell>
          <cell r="P325" t="str">
            <v>NY005010130</v>
          </cell>
          <cell r="Q325" t="str">
            <v>FEDERAL</v>
          </cell>
        </row>
        <row r="326">
          <cell r="D326" t="str">
            <v>NEW LANE AREA</v>
          </cell>
          <cell r="E326" t="str">
            <v>SOUTH BEACH</v>
          </cell>
          <cell r="F326">
            <v>1</v>
          </cell>
          <cell r="G326">
            <v>276</v>
          </cell>
          <cell r="H326">
            <v>227520</v>
          </cell>
          <cell r="I326" t="str">
            <v>NGO-Queens/SI</v>
          </cell>
          <cell r="J326" t="str">
            <v>Yes</v>
          </cell>
          <cell r="K326" t="str">
            <v>Stand Alone</v>
          </cell>
          <cell r="L326" t="str">
            <v/>
          </cell>
          <cell r="M326" t="str">
            <v/>
          </cell>
          <cell r="N326" t="str">
            <v>SA</v>
          </cell>
          <cell r="O326" t="str">
            <v>S031400</v>
          </cell>
          <cell r="P326" t="str">
            <v>NY005010350</v>
          </cell>
          <cell r="Q326" t="str">
            <v>FEDERAL</v>
          </cell>
        </row>
        <row r="327">
          <cell r="D327" t="str">
            <v>SOUTH BEACH</v>
          </cell>
          <cell r="E327" t="str">
            <v>SOUTH BEACH</v>
          </cell>
          <cell r="F327">
            <v>8</v>
          </cell>
          <cell r="G327">
            <v>421</v>
          </cell>
          <cell r="H327">
            <v>445670</v>
          </cell>
          <cell r="I327" t="str">
            <v>NGO-Queens/SI</v>
          </cell>
          <cell r="J327" t="str">
            <v/>
          </cell>
          <cell r="K327" t="str">
            <v/>
          </cell>
          <cell r="L327" t="str">
            <v/>
          </cell>
          <cell r="M327" t="str">
            <v>Med Rise Campus</v>
          </cell>
          <cell r="N327" t="str">
            <v/>
          </cell>
          <cell r="O327" t="str">
            <v>S003500</v>
          </cell>
          <cell r="P327" t="str">
            <v>NY005010350</v>
          </cell>
          <cell r="Q327" t="str">
            <v>FEDERAL</v>
          </cell>
        </row>
        <row r="328">
          <cell r="D328" t="str">
            <v>CASSIDY-LAFAYETTE</v>
          </cell>
          <cell r="E328" t="str">
            <v>RICHMOND TERRACE</v>
          </cell>
          <cell r="F328">
            <v>5</v>
          </cell>
          <cell r="G328">
            <v>378</v>
          </cell>
          <cell r="H328">
            <v>251380</v>
          </cell>
          <cell r="I328" t="str">
            <v>NGO-Queens/SI</v>
          </cell>
          <cell r="J328" t="str">
            <v>Yes</v>
          </cell>
          <cell r="K328" t="str">
            <v>Med Rise Campus</v>
          </cell>
          <cell r="L328" t="str">
            <v/>
          </cell>
          <cell r="M328" t="str">
            <v>Med Rise Campus</v>
          </cell>
          <cell r="N328" t="str">
            <v/>
          </cell>
          <cell r="O328" t="str">
            <v>S020600</v>
          </cell>
          <cell r="P328" t="str">
            <v>NY005011170</v>
          </cell>
          <cell r="Q328" t="str">
            <v>FEDERAL</v>
          </cell>
        </row>
        <row r="329">
          <cell r="D329" t="str">
            <v>STAPLETON</v>
          </cell>
          <cell r="E329" t="str">
            <v>STAPLETON</v>
          </cell>
          <cell r="F329">
            <v>7</v>
          </cell>
          <cell r="G329">
            <v>693</v>
          </cell>
          <cell r="H329">
            <v>736450</v>
          </cell>
          <cell r="I329" t="str">
            <v>NGO-Mixed Finance</v>
          </cell>
          <cell r="J329" t="str">
            <v/>
          </cell>
          <cell r="K329" t="str">
            <v/>
          </cell>
          <cell r="L329" t="str">
            <v/>
          </cell>
          <cell r="M329" t="str">
            <v>High Rise Campus</v>
          </cell>
          <cell r="N329" t="str">
            <v/>
          </cell>
          <cell r="O329" t="str">
            <v>S011400</v>
          </cell>
          <cell r="P329" t="str">
            <v>NY005001140</v>
          </cell>
          <cell r="Q329" t="str">
            <v>MIXED FINANCE/LLC1</v>
          </cell>
        </row>
        <row r="330">
          <cell r="D330" t="str">
            <v>TODT HILL</v>
          </cell>
          <cell r="E330" t="str">
            <v>BERRY</v>
          </cell>
          <cell r="F330">
            <v>7</v>
          </cell>
          <cell r="G330">
            <v>502</v>
          </cell>
          <cell r="H330">
            <v>490530</v>
          </cell>
          <cell r="I330" t="str">
            <v>NGO-Queens/SI</v>
          </cell>
          <cell r="J330" t="str">
            <v/>
          </cell>
          <cell r="K330" t="str">
            <v/>
          </cell>
          <cell r="L330" t="str">
            <v/>
          </cell>
          <cell r="M330" t="str">
            <v>Med Rise Campus</v>
          </cell>
          <cell r="N330" t="str">
            <v/>
          </cell>
          <cell r="O330" t="str">
            <v>S004200</v>
          </cell>
          <cell r="P330" t="str">
            <v>NY005000520</v>
          </cell>
          <cell r="Q330" t="str">
            <v>FEDERAL</v>
          </cell>
        </row>
        <row r="331">
          <cell r="D331" t="str">
            <v>BERRY</v>
          </cell>
          <cell r="E331" t="str">
            <v>BERRY</v>
          </cell>
          <cell r="F331">
            <v>9</v>
          </cell>
          <cell r="G331">
            <v>506</v>
          </cell>
          <cell r="H331">
            <v>486056</v>
          </cell>
          <cell r="I331" t="str">
            <v>NGO-Queens/SI</v>
          </cell>
          <cell r="J331" t="str">
            <v/>
          </cell>
          <cell r="K331" t="str">
            <v/>
          </cell>
          <cell r="L331" t="str">
            <v/>
          </cell>
          <cell r="M331" t="str">
            <v>Med Rise Campus</v>
          </cell>
          <cell r="N331" t="str">
            <v/>
          </cell>
          <cell r="O331" t="str">
            <v>S005200</v>
          </cell>
          <cell r="P331" t="str">
            <v>NY005000520</v>
          </cell>
          <cell r="Q331" t="str">
            <v>FEDERAL</v>
          </cell>
        </row>
        <row r="332">
          <cell r="D332" t="str">
            <v>FHA REPOSSESSED HOUSES (GROUP I)</v>
          </cell>
          <cell r="E332" t="str">
            <v>BAISLEY PARK</v>
          </cell>
          <cell r="F332">
            <v>4</v>
          </cell>
          <cell r="G332">
            <v>24</v>
          </cell>
          <cell r="H332">
            <v>1600</v>
          </cell>
          <cell r="I332" t="str">
            <v>NGO-Queens/SI</v>
          </cell>
          <cell r="J332" t="str">
            <v/>
          </cell>
          <cell r="K332" t="str">
            <v/>
          </cell>
          <cell r="L332" t="str">
            <v/>
          </cell>
          <cell r="M332" t="str">
            <v/>
          </cell>
          <cell r="N332" t="str">
            <v/>
          </cell>
          <cell r="O332" t="str">
            <v>Q020900</v>
          </cell>
          <cell r="P332" t="str">
            <v>NY005012090</v>
          </cell>
          <cell r="Q332" t="str">
            <v>FEDERAL</v>
          </cell>
        </row>
        <row r="333">
          <cell r="D333" t="str">
            <v>FHA REPOSSESSED HOUSES (GROUP II)</v>
          </cell>
          <cell r="E333" t="str">
            <v>BAISELY PARK</v>
          </cell>
          <cell r="F333">
            <v>3</v>
          </cell>
          <cell r="G333">
            <v>11</v>
          </cell>
          <cell r="I333" t="str">
            <v>NGO-Queens/SI</v>
          </cell>
          <cell r="J333" t="str">
            <v/>
          </cell>
          <cell r="K333" t="str">
            <v/>
          </cell>
          <cell r="L333" t="str">
            <v/>
          </cell>
          <cell r="M333" t="str">
            <v/>
          </cell>
          <cell r="N333" t="str">
            <v/>
          </cell>
          <cell r="O333" t="str">
            <v>Q021200</v>
          </cell>
          <cell r="P333" t="str">
            <v>NY005012090</v>
          </cell>
          <cell r="Q333" t="str">
            <v>FEDERAL</v>
          </cell>
        </row>
        <row r="334">
          <cell r="D334" t="str">
            <v>FHA REPOSSESSED HOUSES (GROUP III)</v>
          </cell>
          <cell r="E334" t="str">
            <v>BAISLEY PARK</v>
          </cell>
          <cell r="F334">
            <v>2</v>
          </cell>
          <cell r="G334">
            <v>13</v>
          </cell>
          <cell r="I334" t="str">
            <v>NGO-Queens/SI</v>
          </cell>
          <cell r="J334" t="str">
            <v/>
          </cell>
          <cell r="K334" t="str">
            <v/>
          </cell>
          <cell r="L334" t="str">
            <v/>
          </cell>
          <cell r="M334" t="str">
            <v/>
          </cell>
          <cell r="N334" t="str">
            <v/>
          </cell>
          <cell r="O334" t="str">
            <v>Q021300</v>
          </cell>
          <cell r="P334" t="str">
            <v>NY005012090</v>
          </cell>
          <cell r="Q334" t="str">
            <v>FEDERAL</v>
          </cell>
        </row>
        <row r="335">
          <cell r="D335" t="str">
            <v>FHA REPOSSESSED HOUSES (GROUP IV)</v>
          </cell>
          <cell r="E335" t="str">
            <v>BAISLEY PARK</v>
          </cell>
          <cell r="F335">
            <v>1</v>
          </cell>
          <cell r="G335">
            <v>17</v>
          </cell>
          <cell r="I335" t="str">
            <v>NGO-Queens/SI</v>
          </cell>
          <cell r="J335" t="str">
            <v/>
          </cell>
          <cell r="K335" t="str">
            <v/>
          </cell>
          <cell r="L335" t="str">
            <v/>
          </cell>
          <cell r="M335" t="str">
            <v/>
          </cell>
          <cell r="N335" t="str">
            <v/>
          </cell>
          <cell r="O335" t="str">
            <v>Q022600</v>
          </cell>
          <cell r="P335" t="str">
            <v>NY005012090</v>
          </cell>
          <cell r="Q335" t="str">
            <v>FEDERAL</v>
          </cell>
        </row>
        <row r="336">
          <cell r="D336" t="str">
            <v>FHA REPOSSESSED HOUSES (GROUP IX)</v>
          </cell>
          <cell r="E336" t="str">
            <v>BAISLEY PARK</v>
          </cell>
          <cell r="F336">
            <v>15</v>
          </cell>
          <cell r="G336">
            <v>21</v>
          </cell>
          <cell r="H336">
            <v>29985</v>
          </cell>
          <cell r="I336" t="str">
            <v>NGO-Queens/SI</v>
          </cell>
          <cell r="J336" t="str">
            <v/>
          </cell>
          <cell r="K336" t="str">
            <v/>
          </cell>
          <cell r="L336" t="str">
            <v/>
          </cell>
          <cell r="M336" t="str">
            <v/>
          </cell>
          <cell r="N336" t="str">
            <v/>
          </cell>
          <cell r="O336" t="str">
            <v>Q028300</v>
          </cell>
          <cell r="P336" t="str">
            <v>NY005012090</v>
          </cell>
          <cell r="Q336" t="str">
            <v>FEDERAL</v>
          </cell>
        </row>
        <row r="337">
          <cell r="D337" t="str">
            <v>FHA REPOSSESSED HOUSES (GROUP VI)</v>
          </cell>
          <cell r="E337" t="str">
            <v>BAISLEY PARK</v>
          </cell>
          <cell r="F337">
            <v>3</v>
          </cell>
          <cell r="G337">
            <v>8</v>
          </cell>
          <cell r="I337" t="str">
            <v>NGO-Queens/SI</v>
          </cell>
          <cell r="J337" t="str">
            <v/>
          </cell>
          <cell r="K337" t="str">
            <v/>
          </cell>
          <cell r="L337" t="str">
            <v/>
          </cell>
          <cell r="M337" t="str">
            <v/>
          </cell>
          <cell r="N337" t="str">
            <v/>
          </cell>
          <cell r="O337" t="str">
            <v>Q027300</v>
          </cell>
          <cell r="P337" t="str">
            <v>NY005012090</v>
          </cell>
          <cell r="Q337" t="str">
            <v>FEDERAL</v>
          </cell>
        </row>
        <row r="338">
          <cell r="D338" t="str">
            <v>FHA REPOSSESSED HOUSES (GROUP VII)</v>
          </cell>
          <cell r="E338" t="str">
            <v>BAISLEY PARK</v>
          </cell>
          <cell r="F338">
            <v>1</v>
          </cell>
          <cell r="G338">
            <v>10</v>
          </cell>
          <cell r="I338" t="str">
            <v>NGO-Queens/SI</v>
          </cell>
          <cell r="J338" t="str">
            <v/>
          </cell>
          <cell r="K338" t="str">
            <v/>
          </cell>
          <cell r="L338" t="str">
            <v/>
          </cell>
          <cell r="M338" t="str">
            <v/>
          </cell>
          <cell r="N338" t="str">
            <v/>
          </cell>
          <cell r="O338" t="str">
            <v>Q027400</v>
          </cell>
          <cell r="P338" t="str">
            <v>NY005012090</v>
          </cell>
          <cell r="Q338" t="str">
            <v>FEDERAL</v>
          </cell>
        </row>
        <row r="339">
          <cell r="D339" t="str">
            <v>FHA REPOSSESSED HOUSES (GROUP V)</v>
          </cell>
          <cell r="E339" t="str">
            <v>BAISLEY PARK</v>
          </cell>
          <cell r="F339">
            <v>4</v>
          </cell>
          <cell r="G339">
            <v>39</v>
          </cell>
          <cell r="H339">
            <v>4750</v>
          </cell>
          <cell r="I339" t="str">
            <v>NGO-Queens/SI</v>
          </cell>
          <cell r="J339" t="str">
            <v/>
          </cell>
          <cell r="K339" t="str">
            <v/>
          </cell>
          <cell r="L339" t="str">
            <v/>
          </cell>
          <cell r="M339" t="str">
            <v/>
          </cell>
          <cell r="N339" t="str">
            <v/>
          </cell>
          <cell r="O339" t="str">
            <v>Q026000</v>
          </cell>
          <cell r="P339" t="str">
            <v>NY005012090</v>
          </cell>
          <cell r="Q339" t="str">
            <v>FEDERAL</v>
          </cell>
        </row>
        <row r="340">
          <cell r="D340" t="str">
            <v>FHA REPOSSESSED HOUSES (GROUP VIII)</v>
          </cell>
          <cell r="E340" t="str">
            <v>BAISLEY PARK</v>
          </cell>
          <cell r="F340">
            <v>1</v>
          </cell>
          <cell r="G340">
            <v>8</v>
          </cell>
          <cell r="I340" t="str">
            <v>NGO-Queens/SI</v>
          </cell>
          <cell r="J340" t="str">
            <v/>
          </cell>
          <cell r="K340" t="str">
            <v/>
          </cell>
          <cell r="L340" t="str">
            <v/>
          </cell>
          <cell r="M340" t="str">
            <v/>
          </cell>
          <cell r="N340" t="str">
            <v/>
          </cell>
          <cell r="O340" t="str">
            <v>Q027500</v>
          </cell>
          <cell r="P340" t="str">
            <v>NY005012090</v>
          </cell>
          <cell r="Q340" t="str">
            <v>FEDERAL</v>
          </cell>
        </row>
        <row r="341">
          <cell r="D341" t="str">
            <v>FHA REPOSSESSED HOUSES (GROUP X)</v>
          </cell>
          <cell r="E341" t="str">
            <v>BAISLEY PARK</v>
          </cell>
          <cell r="F341">
            <v>2</v>
          </cell>
          <cell r="G341">
            <v>27</v>
          </cell>
          <cell r="I341" t="str">
            <v>NGO-Queens/SI</v>
          </cell>
          <cell r="J341" t="str">
            <v/>
          </cell>
          <cell r="K341" t="str">
            <v/>
          </cell>
          <cell r="L341" t="str">
            <v/>
          </cell>
          <cell r="M341" t="str">
            <v/>
          </cell>
          <cell r="N341" t="str">
            <v/>
          </cell>
          <cell r="O341" t="str">
            <v>Q028400</v>
          </cell>
          <cell r="P341" t="str">
            <v>NY005012090</v>
          </cell>
          <cell r="Q341" t="str">
            <v>FEDERAL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C Categories"/>
      <sheetName val="Chart 01"/>
      <sheetName val="Sheet1"/>
    </sheetNames>
    <sheetDataSet>
      <sheetData sheetId="0"/>
      <sheetData sheetId="1">
        <row r="2">
          <cell r="A2" t="str">
            <v>CHELSEA</v>
          </cell>
          <cell r="B2"/>
          <cell r="C2"/>
          <cell r="D2" t="str">
            <v>YES</v>
          </cell>
          <cell r="E2"/>
          <cell r="F2"/>
          <cell r="G2"/>
        </row>
        <row r="3">
          <cell r="A3" t="str">
            <v>CHELSEA ADDITION</v>
          </cell>
          <cell r="B3"/>
          <cell r="C3"/>
          <cell r="D3" t="str">
            <v>YES</v>
          </cell>
          <cell r="E3"/>
          <cell r="F3"/>
          <cell r="G3"/>
        </row>
        <row r="4">
          <cell r="A4" t="str">
            <v>ELLIOTT</v>
          </cell>
          <cell r="B4"/>
          <cell r="C4"/>
          <cell r="D4" t="str">
            <v>YES</v>
          </cell>
          <cell r="E4" t="str">
            <v xml:space="preserve"> </v>
          </cell>
          <cell r="F4"/>
          <cell r="G4"/>
        </row>
        <row r="5">
          <cell r="A5" t="str">
            <v>FULTON</v>
          </cell>
          <cell r="B5"/>
          <cell r="C5"/>
          <cell r="D5" t="str">
            <v>YES</v>
          </cell>
          <cell r="E5"/>
          <cell r="F5"/>
          <cell r="G5"/>
        </row>
        <row r="6">
          <cell r="A6" t="str">
            <v>HARBORVIEW TERRACE</v>
          </cell>
          <cell r="B6"/>
          <cell r="C6"/>
          <cell r="D6" t="str">
            <v>YES</v>
          </cell>
          <cell r="E6"/>
          <cell r="F6"/>
          <cell r="G6"/>
        </row>
        <row r="7">
          <cell r="A7" t="str">
            <v>LA GUARDIA</v>
          </cell>
          <cell r="B7"/>
          <cell r="C7"/>
          <cell r="D7" t="str">
            <v>YES</v>
          </cell>
          <cell r="E7"/>
          <cell r="F7"/>
          <cell r="G7"/>
        </row>
        <row r="8">
          <cell r="A8" t="str">
            <v>LA GUARDIA ADDITION</v>
          </cell>
          <cell r="B8"/>
          <cell r="C8"/>
          <cell r="D8" t="str">
            <v>YES</v>
          </cell>
          <cell r="E8"/>
          <cell r="F8"/>
          <cell r="G8"/>
        </row>
        <row r="9">
          <cell r="A9" t="str">
            <v>131 SAINT NICHOLAS AVENUE</v>
          </cell>
          <cell r="B9" t="str">
            <v>EPC</v>
          </cell>
          <cell r="C9"/>
          <cell r="D9"/>
          <cell r="E9" t="str">
            <v>YES</v>
          </cell>
          <cell r="F9"/>
          <cell r="G9"/>
        </row>
        <row r="10">
          <cell r="A10" t="str">
            <v>344 EAST 28TH STREET</v>
          </cell>
          <cell r="B10" t="str">
            <v>EPC</v>
          </cell>
          <cell r="C10"/>
          <cell r="D10"/>
          <cell r="E10" t="str">
            <v>YES</v>
          </cell>
          <cell r="F10"/>
          <cell r="G10"/>
        </row>
        <row r="11">
          <cell r="A11" t="str">
            <v>830 AMSTERDAM AVENUE</v>
          </cell>
          <cell r="B11"/>
          <cell r="C11"/>
          <cell r="D11"/>
          <cell r="E11" t="str">
            <v>YES</v>
          </cell>
          <cell r="F11"/>
          <cell r="G11"/>
        </row>
        <row r="12">
          <cell r="A12" t="str">
            <v>AMSTERDAM</v>
          </cell>
          <cell r="B12" t="str">
            <v>State</v>
          </cell>
          <cell r="C12"/>
          <cell r="D12"/>
          <cell r="E12" t="str">
            <v>YES</v>
          </cell>
          <cell r="F12"/>
          <cell r="G12"/>
        </row>
        <row r="13">
          <cell r="A13" t="str">
            <v>BARUCH</v>
          </cell>
          <cell r="B13"/>
          <cell r="C13"/>
          <cell r="D13"/>
          <cell r="E13" t="str">
            <v>YES</v>
          </cell>
          <cell r="F13"/>
          <cell r="G13"/>
        </row>
        <row r="14">
          <cell r="A14" t="str">
            <v>BLAND</v>
          </cell>
          <cell r="B14"/>
          <cell r="C14"/>
          <cell r="D14"/>
          <cell r="E14" t="str">
            <v>YES</v>
          </cell>
          <cell r="F14"/>
          <cell r="G14"/>
        </row>
        <row r="15">
          <cell r="A15" t="str">
            <v>BREVOORT</v>
          </cell>
          <cell r="B15"/>
          <cell r="C15"/>
          <cell r="D15"/>
          <cell r="E15" t="str">
            <v>YES</v>
          </cell>
          <cell r="F15"/>
          <cell r="G15"/>
        </row>
        <row r="16">
          <cell r="A16" t="str">
            <v>BRONX RIVER</v>
          </cell>
          <cell r="B16"/>
          <cell r="C16"/>
          <cell r="D16"/>
          <cell r="E16" t="str">
            <v>YES</v>
          </cell>
          <cell r="F16"/>
          <cell r="G16"/>
        </row>
        <row r="17">
          <cell r="A17" t="str">
            <v>CASTLE HILL</v>
          </cell>
          <cell r="B17" t="str">
            <v>EPC</v>
          </cell>
          <cell r="C17"/>
          <cell r="D17"/>
          <cell r="E17" t="str">
            <v>YES</v>
          </cell>
          <cell r="F17"/>
          <cell r="G17"/>
        </row>
        <row r="18">
          <cell r="A18" t="str">
            <v>COOPER PARK</v>
          </cell>
          <cell r="B18" t="str">
            <v>EPC</v>
          </cell>
          <cell r="C18"/>
          <cell r="D18"/>
          <cell r="E18" t="str">
            <v>YES</v>
          </cell>
          <cell r="F18"/>
          <cell r="G18"/>
        </row>
        <row r="19">
          <cell r="A19" t="str">
            <v>DYCKMAN</v>
          </cell>
          <cell r="B19"/>
          <cell r="C19"/>
          <cell r="D19"/>
          <cell r="E19" t="str">
            <v>YES</v>
          </cell>
          <cell r="F19"/>
          <cell r="G19"/>
        </row>
        <row r="20">
          <cell r="A20" t="str">
            <v>GLENMORE PLAZA</v>
          </cell>
          <cell r="B20" t="str">
            <v>EPC</v>
          </cell>
          <cell r="C20"/>
          <cell r="D20"/>
          <cell r="E20" t="str">
            <v>YES</v>
          </cell>
          <cell r="F20"/>
          <cell r="G20"/>
        </row>
        <row r="21">
          <cell r="A21" t="str">
            <v>GRANT</v>
          </cell>
          <cell r="B21"/>
          <cell r="C21"/>
          <cell r="D21"/>
          <cell r="E21" t="str">
            <v>YES</v>
          </cell>
          <cell r="F21"/>
          <cell r="G21"/>
        </row>
        <row r="22">
          <cell r="A22" t="str">
            <v>GRAVESEND</v>
          </cell>
          <cell r="B22" t="str">
            <v>EPC</v>
          </cell>
          <cell r="C22"/>
          <cell r="D22"/>
          <cell r="E22" t="str">
            <v>YES</v>
          </cell>
          <cell r="F22"/>
          <cell r="G22"/>
        </row>
        <row r="23">
          <cell r="A23" t="str">
            <v>GUN HILL</v>
          </cell>
          <cell r="B23"/>
          <cell r="C23"/>
          <cell r="D23"/>
          <cell r="E23" t="str">
            <v>YES</v>
          </cell>
          <cell r="F23"/>
          <cell r="G23"/>
        </row>
        <row r="24">
          <cell r="A24" t="str">
            <v>HAMMEL</v>
          </cell>
          <cell r="B24" t="str">
            <v>EPC</v>
          </cell>
          <cell r="C24"/>
          <cell r="D24"/>
          <cell r="E24" t="str">
            <v>YES</v>
          </cell>
          <cell r="F24"/>
          <cell r="G24"/>
        </row>
        <row r="25">
          <cell r="A25" t="str">
            <v>HIGHBRIDGE GARDENS</v>
          </cell>
          <cell r="B25"/>
          <cell r="C25"/>
          <cell r="D25"/>
          <cell r="E25" t="str">
            <v>YES</v>
          </cell>
          <cell r="F25"/>
          <cell r="G25"/>
        </row>
        <row r="26">
          <cell r="A26" t="str">
            <v>KINGSBOROUGH</v>
          </cell>
          <cell r="B26" t="str">
            <v>EPC</v>
          </cell>
          <cell r="C26"/>
          <cell r="D26"/>
          <cell r="E26" t="str">
            <v>YES</v>
          </cell>
          <cell r="F26"/>
          <cell r="G26"/>
        </row>
        <row r="27">
          <cell r="A27" t="str">
            <v>LINCOLN</v>
          </cell>
          <cell r="B27"/>
          <cell r="C27"/>
          <cell r="D27"/>
          <cell r="E27" t="str">
            <v>YES</v>
          </cell>
          <cell r="F27"/>
          <cell r="G27"/>
        </row>
        <row r="28">
          <cell r="A28" t="str">
            <v>MARBLE HILL</v>
          </cell>
          <cell r="B28"/>
          <cell r="C28"/>
          <cell r="D28"/>
          <cell r="E28" t="str">
            <v>YES</v>
          </cell>
          <cell r="F28"/>
          <cell r="G28"/>
        </row>
        <row r="29">
          <cell r="A29" t="str">
            <v>MARLBORO</v>
          </cell>
          <cell r="B29"/>
          <cell r="C29"/>
          <cell r="D29"/>
          <cell r="E29" t="str">
            <v>YES</v>
          </cell>
          <cell r="F29"/>
          <cell r="G29"/>
        </row>
        <row r="30">
          <cell r="A30" t="str">
            <v>MILL BROOK</v>
          </cell>
          <cell r="B30"/>
          <cell r="C30"/>
          <cell r="D30"/>
          <cell r="E30" t="str">
            <v>YES</v>
          </cell>
          <cell r="F30"/>
          <cell r="G30"/>
        </row>
        <row r="31">
          <cell r="A31" t="str">
            <v>MILL BROOK EXTENSION</v>
          </cell>
          <cell r="B31"/>
          <cell r="C31"/>
          <cell r="D31"/>
          <cell r="E31" t="str">
            <v>YES</v>
          </cell>
          <cell r="F31"/>
          <cell r="G31"/>
        </row>
        <row r="32">
          <cell r="A32" t="str">
            <v>MITCHEL</v>
          </cell>
          <cell r="B32"/>
          <cell r="C32"/>
          <cell r="D32"/>
          <cell r="E32" t="str">
            <v>YES</v>
          </cell>
          <cell r="F32"/>
          <cell r="G32"/>
        </row>
        <row r="33">
          <cell r="A33" t="str">
            <v>MONROE</v>
          </cell>
          <cell r="B33"/>
          <cell r="C33"/>
          <cell r="D33"/>
          <cell r="E33" t="str">
            <v>YES</v>
          </cell>
          <cell r="F33"/>
          <cell r="G33"/>
        </row>
        <row r="34">
          <cell r="A34" t="str">
            <v>PARKSIDE</v>
          </cell>
          <cell r="B34"/>
          <cell r="C34"/>
          <cell r="D34"/>
          <cell r="E34" t="str">
            <v>YES</v>
          </cell>
          <cell r="F34"/>
          <cell r="G34"/>
        </row>
        <row r="35">
          <cell r="A35" t="str">
            <v>POLO GROUNDS TOWERS</v>
          </cell>
          <cell r="B35"/>
          <cell r="C35"/>
          <cell r="D35"/>
          <cell r="E35" t="str">
            <v>YES</v>
          </cell>
          <cell r="F35"/>
          <cell r="G35"/>
        </row>
        <row r="36">
          <cell r="A36" t="str">
            <v>QUEENSBRIDGE NORTH</v>
          </cell>
          <cell r="B36"/>
          <cell r="C36"/>
          <cell r="D36"/>
          <cell r="E36" t="str">
            <v>YES</v>
          </cell>
          <cell r="F36"/>
          <cell r="G36"/>
        </row>
        <row r="37">
          <cell r="A37" t="str">
            <v>RANGEL</v>
          </cell>
          <cell r="B37" t="str">
            <v>EPC</v>
          </cell>
          <cell r="C37"/>
          <cell r="D37"/>
          <cell r="E37" t="str">
            <v>YES</v>
          </cell>
          <cell r="F37"/>
          <cell r="G37"/>
        </row>
        <row r="38">
          <cell r="A38" t="str">
            <v>RAVENSWOOD</v>
          </cell>
          <cell r="B38"/>
          <cell r="C38"/>
          <cell r="D38"/>
          <cell r="E38" t="str">
            <v>YES</v>
          </cell>
          <cell r="F38"/>
          <cell r="G38"/>
        </row>
        <row r="39">
          <cell r="A39" t="str">
            <v>REHAB PROGRAM (DOUGLASS REHABS)</v>
          </cell>
          <cell r="B39"/>
          <cell r="C39"/>
          <cell r="D39"/>
          <cell r="E39" t="str">
            <v>YES</v>
          </cell>
          <cell r="F39"/>
          <cell r="G39"/>
        </row>
        <row r="40">
          <cell r="A40" t="str">
            <v>RICHMOND TERRACE</v>
          </cell>
          <cell r="B40"/>
          <cell r="C40"/>
          <cell r="D40"/>
          <cell r="E40" t="str">
            <v>YES</v>
          </cell>
          <cell r="F40"/>
          <cell r="G40"/>
        </row>
        <row r="41">
          <cell r="A41" t="str">
            <v>RIIS</v>
          </cell>
          <cell r="B41"/>
          <cell r="C41"/>
          <cell r="D41"/>
          <cell r="E41" t="str">
            <v>YES</v>
          </cell>
          <cell r="F41"/>
          <cell r="G41"/>
        </row>
        <row r="42">
          <cell r="A42" t="str">
            <v>RIIS II</v>
          </cell>
          <cell r="B42"/>
          <cell r="C42"/>
          <cell r="D42"/>
          <cell r="E42" t="str">
            <v>YES</v>
          </cell>
          <cell r="F42"/>
          <cell r="G42"/>
        </row>
        <row r="43">
          <cell r="A43" t="str">
            <v>SAINT NICHOLAS</v>
          </cell>
          <cell r="B43" t="str">
            <v>EPC</v>
          </cell>
          <cell r="C43"/>
          <cell r="D43"/>
          <cell r="E43" t="str">
            <v>YES</v>
          </cell>
          <cell r="F43"/>
          <cell r="G43"/>
        </row>
        <row r="44">
          <cell r="A44" t="str">
            <v>SEDGWICK</v>
          </cell>
          <cell r="B44"/>
          <cell r="C44"/>
          <cell r="D44"/>
          <cell r="E44" t="str">
            <v>YES</v>
          </cell>
          <cell r="F44"/>
          <cell r="G44"/>
        </row>
        <row r="45">
          <cell r="A45" t="str">
            <v>SEWARD PARK EXTENSION</v>
          </cell>
          <cell r="B45"/>
          <cell r="C45"/>
          <cell r="D45"/>
          <cell r="E45" t="str">
            <v>YES</v>
          </cell>
          <cell r="F45"/>
          <cell r="G45"/>
        </row>
        <row r="46">
          <cell r="A46" t="str">
            <v>SMITH</v>
          </cell>
          <cell r="B46" t="str">
            <v>EPC</v>
          </cell>
          <cell r="C46"/>
          <cell r="D46"/>
          <cell r="E46" t="str">
            <v>YES</v>
          </cell>
          <cell r="F46"/>
          <cell r="G46"/>
        </row>
        <row r="47">
          <cell r="A47" t="str">
            <v>SOUTH BEACH</v>
          </cell>
          <cell r="B47"/>
          <cell r="C47"/>
          <cell r="D47"/>
          <cell r="E47" t="str">
            <v>YES</v>
          </cell>
          <cell r="F47"/>
          <cell r="G47"/>
        </row>
        <row r="48">
          <cell r="A48" t="str">
            <v>STAPLETON</v>
          </cell>
          <cell r="B48"/>
          <cell r="C48"/>
          <cell r="D48"/>
          <cell r="E48" t="str">
            <v>YES</v>
          </cell>
          <cell r="F48"/>
          <cell r="G48"/>
        </row>
        <row r="49">
          <cell r="A49" t="str">
            <v>STRAUS</v>
          </cell>
          <cell r="B49"/>
          <cell r="C49"/>
          <cell r="D49"/>
          <cell r="E49" t="str">
            <v>YES</v>
          </cell>
          <cell r="F49"/>
          <cell r="G49"/>
        </row>
        <row r="50">
          <cell r="A50" t="str">
            <v>SUMNER</v>
          </cell>
          <cell r="B50" t="str">
            <v>EPC</v>
          </cell>
          <cell r="C50"/>
          <cell r="D50"/>
          <cell r="E50" t="str">
            <v>YES</v>
          </cell>
          <cell r="F50"/>
          <cell r="G50"/>
        </row>
        <row r="51">
          <cell r="A51" t="str">
            <v>SURFSIDE GARDENS</v>
          </cell>
          <cell r="B51"/>
          <cell r="C51"/>
          <cell r="D51"/>
          <cell r="E51" t="str">
            <v>YES</v>
          </cell>
          <cell r="F51"/>
          <cell r="G51"/>
        </row>
        <row r="52">
          <cell r="A52" t="str">
            <v>TODT HILL</v>
          </cell>
          <cell r="B52"/>
          <cell r="C52"/>
          <cell r="D52"/>
          <cell r="E52" t="str">
            <v>YES</v>
          </cell>
          <cell r="F52"/>
          <cell r="G52"/>
        </row>
        <row r="53">
          <cell r="A53" t="str">
            <v>WALD</v>
          </cell>
          <cell r="B53" t="str">
            <v>EPC</v>
          </cell>
          <cell r="C53"/>
          <cell r="D53"/>
          <cell r="E53" t="str">
            <v>YES</v>
          </cell>
          <cell r="F53"/>
          <cell r="G53"/>
        </row>
        <row r="54">
          <cell r="A54" t="str">
            <v>WEBSTER</v>
          </cell>
          <cell r="B54"/>
          <cell r="C54"/>
          <cell r="D54"/>
          <cell r="E54" t="str">
            <v>YES</v>
          </cell>
          <cell r="F54"/>
          <cell r="G54"/>
        </row>
        <row r="55">
          <cell r="A55" t="str">
            <v>WILSON</v>
          </cell>
          <cell r="B55"/>
          <cell r="C55"/>
          <cell r="D55"/>
          <cell r="E55" t="str">
            <v>YES</v>
          </cell>
          <cell r="F55"/>
          <cell r="G55"/>
        </row>
        <row r="56">
          <cell r="A56" t="str">
            <v>WOODSIDE</v>
          </cell>
          <cell r="B56"/>
          <cell r="C56"/>
          <cell r="D56"/>
          <cell r="E56" t="str">
            <v>YES</v>
          </cell>
          <cell r="F56"/>
          <cell r="G56"/>
        </row>
        <row r="57">
          <cell r="A57" t="str">
            <v>WSUR (SITE A) 120 WEST 94TH STREET</v>
          </cell>
          <cell r="B57"/>
          <cell r="C57"/>
          <cell r="D57"/>
          <cell r="E57" t="str">
            <v>YES</v>
          </cell>
          <cell r="F57"/>
          <cell r="G57"/>
        </row>
        <row r="58">
          <cell r="A58" t="str">
            <v>BORINQUEN PLAZA II</v>
          </cell>
          <cell r="B58"/>
          <cell r="C58"/>
          <cell r="D58"/>
          <cell r="E58"/>
          <cell r="F58" t="str">
            <v>YES</v>
          </cell>
          <cell r="G58"/>
        </row>
        <row r="59">
          <cell r="A59" t="str">
            <v>EAGLE AVENUE-EAST 163RD STREET</v>
          </cell>
          <cell r="B59"/>
          <cell r="C59"/>
          <cell r="D59"/>
          <cell r="E59"/>
          <cell r="F59" t="str">
            <v>YES</v>
          </cell>
          <cell r="G59"/>
        </row>
        <row r="60">
          <cell r="A60" t="str">
            <v>HUNTS POINT AVENUE REHAB</v>
          </cell>
          <cell r="B60"/>
          <cell r="C60"/>
          <cell r="D60"/>
          <cell r="E60"/>
          <cell r="F60" t="str">
            <v>YES</v>
          </cell>
          <cell r="G60"/>
        </row>
        <row r="61">
          <cell r="A61" t="str">
            <v>REHAB PROGRAM (COLLEGE POINT)</v>
          </cell>
          <cell r="B61"/>
          <cell r="C61"/>
          <cell r="D61"/>
          <cell r="E61"/>
          <cell r="F61" t="str">
            <v>YES</v>
          </cell>
          <cell r="G61"/>
        </row>
        <row r="62">
          <cell r="A62" t="str">
            <v>REHAB PROGRAM (TAFT REHABS)</v>
          </cell>
          <cell r="B62"/>
          <cell r="C62"/>
          <cell r="D62"/>
          <cell r="E62"/>
          <cell r="F62" t="str">
            <v>YES</v>
          </cell>
          <cell r="G62"/>
        </row>
        <row r="63">
          <cell r="A63" t="str">
            <v>STUYVESANT GARDENS I</v>
          </cell>
          <cell r="B63"/>
          <cell r="C63"/>
          <cell r="D63"/>
          <cell r="E63"/>
          <cell r="F63" t="str">
            <v>YES</v>
          </cell>
          <cell r="G63"/>
        </row>
        <row r="64">
          <cell r="A64" t="str">
            <v>UNIVERSITY AVENUE REHAB</v>
          </cell>
          <cell r="B64"/>
          <cell r="C64"/>
          <cell r="D64"/>
          <cell r="E64"/>
          <cell r="F64" t="str">
            <v>YES</v>
          </cell>
          <cell r="G64"/>
        </row>
        <row r="65">
          <cell r="A65" t="str">
            <v>104-14 TAPSCOTT STREET</v>
          </cell>
          <cell r="B65"/>
          <cell r="C65">
            <v>2021</v>
          </cell>
          <cell r="D65"/>
          <cell r="E65"/>
          <cell r="F65"/>
          <cell r="G65"/>
        </row>
        <row r="66">
          <cell r="A66" t="str">
            <v>1162-1176 WASHINGTON AVENUE</v>
          </cell>
          <cell r="B66"/>
          <cell r="C66">
            <v>2025</v>
          </cell>
          <cell r="D66"/>
          <cell r="E66"/>
          <cell r="F66"/>
          <cell r="G66"/>
        </row>
        <row r="67">
          <cell r="A67" t="str">
            <v>1471 WATSON AVENUE</v>
          </cell>
          <cell r="B67"/>
          <cell r="C67">
            <v>2021</v>
          </cell>
          <cell r="D67"/>
          <cell r="E67"/>
          <cell r="F67"/>
          <cell r="G67"/>
        </row>
        <row r="68">
          <cell r="A68" t="str">
            <v>ALBANY</v>
          </cell>
          <cell r="B68"/>
          <cell r="C68">
            <v>2025</v>
          </cell>
          <cell r="D68"/>
          <cell r="E68" t="str">
            <v>YES</v>
          </cell>
          <cell r="F68"/>
          <cell r="G68"/>
        </row>
        <row r="69">
          <cell r="A69" t="str">
            <v>ALBANY II</v>
          </cell>
          <cell r="B69"/>
          <cell r="C69">
            <v>2025</v>
          </cell>
          <cell r="D69"/>
          <cell r="E69" t="str">
            <v>YES</v>
          </cell>
          <cell r="F69"/>
          <cell r="G69"/>
        </row>
        <row r="70">
          <cell r="A70" t="str">
            <v>ASTORIA</v>
          </cell>
          <cell r="B70"/>
          <cell r="C70">
            <v>2024</v>
          </cell>
          <cell r="D70"/>
          <cell r="E70" t="str">
            <v>YES</v>
          </cell>
          <cell r="F70"/>
          <cell r="G70"/>
        </row>
        <row r="71">
          <cell r="A71" t="str">
            <v>AUDUBON</v>
          </cell>
          <cell r="B71"/>
          <cell r="C71">
            <v>2020</v>
          </cell>
          <cell r="D71"/>
          <cell r="E71"/>
          <cell r="F71"/>
          <cell r="G71"/>
        </row>
        <row r="72">
          <cell r="A72" t="str">
            <v>BAYCHESTER</v>
          </cell>
          <cell r="B72"/>
          <cell r="C72">
            <v>2018</v>
          </cell>
          <cell r="D72"/>
          <cell r="E72"/>
          <cell r="F72"/>
          <cell r="G72"/>
        </row>
        <row r="73">
          <cell r="A73" t="str">
            <v>BETANCES I</v>
          </cell>
          <cell r="B73"/>
          <cell r="C73">
            <v>2018</v>
          </cell>
          <cell r="D73"/>
          <cell r="E73"/>
          <cell r="F73"/>
          <cell r="G73"/>
        </row>
        <row r="74">
          <cell r="A74" t="str">
            <v>BETANCES II, 13</v>
          </cell>
          <cell r="B74"/>
          <cell r="C74">
            <v>2018</v>
          </cell>
          <cell r="D74"/>
          <cell r="E74"/>
          <cell r="F74"/>
          <cell r="G74"/>
        </row>
        <row r="75">
          <cell r="A75" t="str">
            <v>BETANCES II, 18</v>
          </cell>
          <cell r="B75"/>
          <cell r="C75">
            <v>2018</v>
          </cell>
          <cell r="D75"/>
          <cell r="E75"/>
          <cell r="F75"/>
          <cell r="G75"/>
        </row>
        <row r="76">
          <cell r="A76" t="str">
            <v>BETANCES II, 9A</v>
          </cell>
          <cell r="B76"/>
          <cell r="C76">
            <v>2018</v>
          </cell>
          <cell r="D76"/>
          <cell r="E76"/>
          <cell r="F76"/>
          <cell r="G76"/>
        </row>
        <row r="77">
          <cell r="A77" t="str">
            <v>BETANCES III, 13</v>
          </cell>
          <cell r="B77"/>
          <cell r="C77">
            <v>2018</v>
          </cell>
          <cell r="D77"/>
          <cell r="E77"/>
          <cell r="F77"/>
          <cell r="G77"/>
        </row>
        <row r="78">
          <cell r="A78" t="str">
            <v>BETANCES III, 18</v>
          </cell>
          <cell r="B78"/>
          <cell r="C78">
            <v>2018</v>
          </cell>
          <cell r="D78"/>
          <cell r="E78"/>
          <cell r="F78"/>
          <cell r="G78"/>
        </row>
        <row r="79">
          <cell r="A79" t="str">
            <v>BETANCES III, 9A</v>
          </cell>
          <cell r="B79"/>
          <cell r="C79">
            <v>2018</v>
          </cell>
          <cell r="D79"/>
          <cell r="E79"/>
          <cell r="F79"/>
          <cell r="G79"/>
        </row>
        <row r="80">
          <cell r="A80" t="str">
            <v>BETANCES IV</v>
          </cell>
          <cell r="B80"/>
          <cell r="C80">
            <v>2018</v>
          </cell>
          <cell r="D80"/>
          <cell r="E80"/>
          <cell r="F80"/>
          <cell r="G80"/>
        </row>
        <row r="81">
          <cell r="A81" t="str">
            <v>BETANCES V</v>
          </cell>
          <cell r="B81"/>
          <cell r="C81">
            <v>2018</v>
          </cell>
          <cell r="D81"/>
          <cell r="E81"/>
          <cell r="F81"/>
          <cell r="G81"/>
        </row>
        <row r="82">
          <cell r="A82" t="str">
            <v>BETANCES VI</v>
          </cell>
          <cell r="B82"/>
          <cell r="C82">
            <v>2018</v>
          </cell>
          <cell r="D82"/>
          <cell r="E82"/>
          <cell r="F82"/>
          <cell r="G82"/>
        </row>
        <row r="83">
          <cell r="A83" t="str">
            <v>BETHUNE GARDENS</v>
          </cell>
          <cell r="B83"/>
          <cell r="C83">
            <v>2020</v>
          </cell>
          <cell r="D83"/>
          <cell r="E83"/>
          <cell r="F83"/>
          <cell r="G83"/>
        </row>
        <row r="84">
          <cell r="A84" t="str">
            <v>BOSTON ROAD PLAZA</v>
          </cell>
          <cell r="B84"/>
          <cell r="C84">
            <v>2022</v>
          </cell>
          <cell r="D84"/>
          <cell r="E84"/>
          <cell r="F84"/>
          <cell r="G84"/>
        </row>
        <row r="85">
          <cell r="A85" t="str">
            <v>BOULEVARD</v>
          </cell>
          <cell r="B85"/>
          <cell r="C85">
            <v>2020</v>
          </cell>
          <cell r="D85"/>
          <cell r="E85"/>
          <cell r="F85"/>
          <cell r="G85"/>
        </row>
        <row r="86">
          <cell r="A86" t="str">
            <v>BRACETTI PLAZA</v>
          </cell>
          <cell r="B86"/>
          <cell r="C86">
            <v>2026</v>
          </cell>
          <cell r="D86"/>
          <cell r="E86"/>
          <cell r="F86"/>
          <cell r="G86"/>
        </row>
        <row r="87">
          <cell r="A87" t="str">
            <v>BREUKELEN</v>
          </cell>
          <cell r="B87"/>
          <cell r="C87">
            <v>2021</v>
          </cell>
          <cell r="D87"/>
          <cell r="E87" t="str">
            <v>YES</v>
          </cell>
          <cell r="F87"/>
          <cell r="G87"/>
        </row>
        <row r="88">
          <cell r="A88" t="str">
            <v>BUSHWICK II CDA (GROUP E)</v>
          </cell>
          <cell r="B88"/>
          <cell r="C88">
            <v>2019</v>
          </cell>
          <cell r="D88"/>
          <cell r="E88"/>
          <cell r="F88"/>
          <cell r="G88"/>
        </row>
        <row r="89">
          <cell r="A89" t="str">
            <v>CAMPOS PLAZA II</v>
          </cell>
          <cell r="B89"/>
          <cell r="C89">
            <v>2026</v>
          </cell>
          <cell r="D89" t="str">
            <v>YES</v>
          </cell>
          <cell r="E89"/>
          <cell r="F89"/>
          <cell r="G89"/>
        </row>
        <row r="90">
          <cell r="A90" t="str">
            <v>CLAREMONT PARKWAY-FRANKLIN AVENUE</v>
          </cell>
          <cell r="B90"/>
          <cell r="C90">
            <v>2026</v>
          </cell>
          <cell r="D90"/>
          <cell r="E90"/>
          <cell r="F90"/>
          <cell r="G90"/>
        </row>
        <row r="91">
          <cell r="A91" t="str">
            <v>CLAREMONT REHAB (GROUP 2)</v>
          </cell>
          <cell r="B91"/>
          <cell r="C91">
            <v>2025</v>
          </cell>
          <cell r="D91"/>
          <cell r="E91"/>
          <cell r="F91"/>
          <cell r="G91"/>
        </row>
        <row r="92">
          <cell r="A92" t="str">
            <v>CLAREMONT REHAB (GROUP 3)</v>
          </cell>
          <cell r="B92"/>
          <cell r="C92">
            <v>2025</v>
          </cell>
          <cell r="D92"/>
          <cell r="E92"/>
          <cell r="F92"/>
          <cell r="G92"/>
        </row>
        <row r="93">
          <cell r="A93" t="str">
            <v>CLAREMONT REHAB (GROUP 4)</v>
          </cell>
          <cell r="B93"/>
          <cell r="C93">
            <v>2025</v>
          </cell>
          <cell r="D93"/>
          <cell r="E93" t="str">
            <v>YES</v>
          </cell>
          <cell r="F93"/>
          <cell r="G93"/>
        </row>
        <row r="94">
          <cell r="A94" t="str">
            <v>CLAREMONT REHAB (GROUP 5)</v>
          </cell>
          <cell r="B94"/>
          <cell r="C94">
            <v>2025</v>
          </cell>
          <cell r="D94"/>
          <cell r="E94"/>
          <cell r="F94"/>
          <cell r="G94"/>
        </row>
        <row r="95">
          <cell r="A95" t="str">
            <v>CLASON POINT GARDENS</v>
          </cell>
          <cell r="B95"/>
          <cell r="C95">
            <v>2024</v>
          </cell>
          <cell r="D95"/>
          <cell r="E95" t="str">
            <v>YES</v>
          </cell>
          <cell r="F95"/>
          <cell r="G95"/>
        </row>
        <row r="96">
          <cell r="A96" t="str">
            <v>COLLEGE AVENUE-EAST 165TH STREET</v>
          </cell>
          <cell r="B96"/>
          <cell r="C96">
            <v>2025</v>
          </cell>
          <cell r="D96"/>
          <cell r="E96"/>
          <cell r="F96"/>
          <cell r="G96"/>
        </row>
        <row r="97">
          <cell r="A97" t="str">
            <v>CORSI HOUSES</v>
          </cell>
          <cell r="B97"/>
          <cell r="C97">
            <v>2026</v>
          </cell>
          <cell r="D97"/>
          <cell r="E97"/>
          <cell r="F97"/>
          <cell r="G97"/>
        </row>
        <row r="98">
          <cell r="A98" t="str">
            <v>CROWN HEIGHTS</v>
          </cell>
          <cell r="B98"/>
          <cell r="C98">
            <v>2025</v>
          </cell>
          <cell r="D98"/>
          <cell r="E98"/>
          <cell r="F98"/>
          <cell r="G98"/>
        </row>
        <row r="99">
          <cell r="A99" t="str">
            <v>CYPRESS HILLS</v>
          </cell>
          <cell r="B99"/>
          <cell r="C99">
            <v>2023</v>
          </cell>
          <cell r="D99"/>
          <cell r="E99"/>
          <cell r="F99"/>
          <cell r="G99"/>
        </row>
        <row r="100">
          <cell r="A100" t="str">
            <v>DAVIDSON</v>
          </cell>
          <cell r="B100"/>
          <cell r="C100">
            <v>2026</v>
          </cell>
          <cell r="D100"/>
          <cell r="E100"/>
          <cell r="F100"/>
          <cell r="G100"/>
        </row>
        <row r="101">
          <cell r="A101" t="str">
            <v>EAST 152ND STREET-COURTLANDT AVENUE</v>
          </cell>
          <cell r="B101"/>
          <cell r="C101">
            <v>2023</v>
          </cell>
          <cell r="D101"/>
          <cell r="E101"/>
          <cell r="F101"/>
          <cell r="G101"/>
        </row>
        <row r="102">
          <cell r="A102" t="str">
            <v>EAST NEW YORK CITY LINE</v>
          </cell>
          <cell r="B102"/>
          <cell r="C102">
            <v>2023</v>
          </cell>
          <cell r="D102"/>
          <cell r="E102"/>
          <cell r="F102"/>
          <cell r="G102"/>
        </row>
        <row r="103">
          <cell r="A103" t="str">
            <v>EAST RIVER</v>
          </cell>
          <cell r="B103"/>
          <cell r="C103">
            <v>2024</v>
          </cell>
          <cell r="D103"/>
          <cell r="E103" t="str">
            <v>YES</v>
          </cell>
          <cell r="F103"/>
          <cell r="G103"/>
        </row>
        <row r="104">
          <cell r="A104" t="str">
            <v>EASTCHESTER GARDENS</v>
          </cell>
          <cell r="B104"/>
          <cell r="C104">
            <v>2026</v>
          </cell>
          <cell r="D104"/>
          <cell r="E104" t="str">
            <v>YES</v>
          </cell>
          <cell r="F104"/>
          <cell r="G104"/>
        </row>
        <row r="105">
          <cell r="A105" t="str">
            <v>EDENWALD</v>
          </cell>
          <cell r="B105"/>
          <cell r="C105">
            <v>2022</v>
          </cell>
          <cell r="D105"/>
          <cell r="E105"/>
          <cell r="F105"/>
          <cell r="G105"/>
        </row>
        <row r="106">
          <cell r="A106" t="str">
            <v>FARRAGUT</v>
          </cell>
          <cell r="B106"/>
          <cell r="C106">
            <v>2027</v>
          </cell>
          <cell r="D106"/>
          <cell r="E106"/>
          <cell r="F106"/>
          <cell r="G106"/>
        </row>
        <row r="107">
          <cell r="A107" t="str">
            <v>FENIMORE-LEFFERTS</v>
          </cell>
          <cell r="B107"/>
          <cell r="C107">
            <v>2021</v>
          </cell>
          <cell r="D107"/>
          <cell r="E107"/>
          <cell r="F107"/>
          <cell r="G107"/>
        </row>
        <row r="108">
          <cell r="A108" t="str">
            <v>FIORENTINO PLAZA</v>
          </cell>
          <cell r="B108"/>
          <cell r="C108">
            <v>2026</v>
          </cell>
          <cell r="D108"/>
          <cell r="E108"/>
          <cell r="F108"/>
          <cell r="G108"/>
        </row>
        <row r="109">
          <cell r="A109" t="str">
            <v>FIRST HOUSES</v>
          </cell>
          <cell r="B109"/>
          <cell r="C109">
            <v>2026</v>
          </cell>
          <cell r="D109"/>
          <cell r="E109" t="str">
            <v>YES</v>
          </cell>
          <cell r="F109"/>
          <cell r="G109"/>
        </row>
        <row r="110">
          <cell r="A110" t="str">
            <v>FORT WASHINGTON AVENUE REHAB</v>
          </cell>
          <cell r="B110"/>
          <cell r="C110">
            <v>2019</v>
          </cell>
          <cell r="D110"/>
          <cell r="E110"/>
          <cell r="F110"/>
          <cell r="G110"/>
        </row>
        <row r="111">
          <cell r="A111" t="str">
            <v>FRANKLIN AVENUE I CONVENTIONAL</v>
          </cell>
          <cell r="B111"/>
          <cell r="C111">
            <v>2018</v>
          </cell>
          <cell r="D111"/>
          <cell r="E111"/>
          <cell r="F111"/>
          <cell r="G111"/>
        </row>
        <row r="112">
          <cell r="A112" t="str">
            <v>FRANKLIN AVENUE II CONVENTIONAL</v>
          </cell>
          <cell r="B112"/>
          <cell r="C112">
            <v>2018</v>
          </cell>
          <cell r="D112"/>
          <cell r="E112"/>
          <cell r="F112"/>
          <cell r="G112"/>
        </row>
        <row r="113">
          <cell r="A113" t="str">
            <v>FRANKLIN AVENUE III CONVENTIONAL</v>
          </cell>
          <cell r="B113"/>
          <cell r="C113">
            <v>2018</v>
          </cell>
          <cell r="D113"/>
          <cell r="E113"/>
          <cell r="F113"/>
          <cell r="G113"/>
        </row>
        <row r="114">
          <cell r="A114" t="str">
            <v>GLEBE AVENUE-WESTCHESTER AVENUE</v>
          </cell>
          <cell r="B114"/>
          <cell r="C114">
            <v>2021</v>
          </cell>
          <cell r="D114"/>
          <cell r="E114"/>
          <cell r="F114"/>
          <cell r="G114"/>
        </row>
        <row r="115">
          <cell r="A115" t="str">
            <v>GLENWOOD</v>
          </cell>
          <cell r="B115"/>
          <cell r="C115">
            <v>2028</v>
          </cell>
          <cell r="D115"/>
          <cell r="E115" t="str">
            <v>YES</v>
          </cell>
          <cell r="F115"/>
          <cell r="G115"/>
        </row>
        <row r="116">
          <cell r="A116" t="str">
            <v>GRAMPION</v>
          </cell>
          <cell r="B116"/>
          <cell r="C116">
            <v>2019</v>
          </cell>
          <cell r="D116"/>
          <cell r="E116"/>
          <cell r="F116"/>
          <cell r="G116"/>
        </row>
        <row r="117">
          <cell r="A117" t="str">
            <v>HARLEM RIVER</v>
          </cell>
          <cell r="B117"/>
          <cell r="C117">
            <v>2020</v>
          </cell>
          <cell r="D117"/>
          <cell r="E117" t="str">
            <v>YES</v>
          </cell>
          <cell r="F117"/>
          <cell r="G117"/>
        </row>
        <row r="118">
          <cell r="A118" t="str">
            <v>HARLEM RIVER II</v>
          </cell>
          <cell r="B118"/>
          <cell r="C118">
            <v>2020</v>
          </cell>
          <cell r="D118"/>
          <cell r="E118" t="str">
            <v>YES</v>
          </cell>
          <cell r="F118"/>
          <cell r="G118"/>
        </row>
        <row r="119">
          <cell r="A119" t="str">
            <v>HIGHBRIDGE REHABS (ANDERSON AVENUE)</v>
          </cell>
          <cell r="B119"/>
          <cell r="C119">
            <v>2018</v>
          </cell>
          <cell r="D119"/>
          <cell r="E119"/>
          <cell r="F119"/>
          <cell r="G119"/>
        </row>
        <row r="120">
          <cell r="A120" t="str">
            <v>HIGHBRIDGE REHABS (NELSON AVENUE)</v>
          </cell>
          <cell r="B120"/>
          <cell r="C120">
            <v>2018</v>
          </cell>
          <cell r="D120"/>
          <cell r="E120"/>
          <cell r="F120"/>
          <cell r="G120"/>
        </row>
        <row r="121">
          <cell r="A121" t="str">
            <v>HOPE GARDENS</v>
          </cell>
          <cell r="B121"/>
          <cell r="C121">
            <v>2019</v>
          </cell>
          <cell r="D121"/>
          <cell r="E121"/>
          <cell r="F121"/>
          <cell r="G121"/>
        </row>
        <row r="122">
          <cell r="A122" t="str">
            <v>HOWARD AVENUE</v>
          </cell>
          <cell r="B122"/>
          <cell r="C122">
            <v>2025</v>
          </cell>
          <cell r="D122"/>
          <cell r="E122"/>
          <cell r="F122"/>
          <cell r="G122"/>
        </row>
        <row r="123">
          <cell r="A123" t="str">
            <v>HOWARD AVENUE-PARK PLACE</v>
          </cell>
          <cell r="B123"/>
          <cell r="C123">
            <v>2025</v>
          </cell>
          <cell r="D123"/>
          <cell r="E123"/>
          <cell r="F123"/>
          <cell r="G123"/>
        </row>
        <row r="124">
          <cell r="A124" t="str">
            <v>INDEPENDENCE</v>
          </cell>
          <cell r="B124"/>
          <cell r="C124">
            <v>2019</v>
          </cell>
          <cell r="D124"/>
          <cell r="E124" t="str">
            <v>YES</v>
          </cell>
          <cell r="F124"/>
          <cell r="G124"/>
        </row>
        <row r="125">
          <cell r="A125" t="str">
            <v>JEFFERSON</v>
          </cell>
          <cell r="B125"/>
          <cell r="C125">
            <v>2026</v>
          </cell>
          <cell r="D125"/>
          <cell r="E125"/>
          <cell r="F125"/>
          <cell r="G125"/>
        </row>
        <row r="126">
          <cell r="A126" t="str">
            <v>JOHNSON</v>
          </cell>
          <cell r="B126"/>
          <cell r="C126">
            <v>2028</v>
          </cell>
          <cell r="D126"/>
          <cell r="E126" t="str">
            <v>YES</v>
          </cell>
          <cell r="F126"/>
          <cell r="G126"/>
        </row>
        <row r="127">
          <cell r="A127" t="str">
            <v>LENOX ROAD-ROCKAWAY PARKWAY</v>
          </cell>
          <cell r="B127"/>
          <cell r="C127">
            <v>2021</v>
          </cell>
          <cell r="D127"/>
          <cell r="E127"/>
          <cell r="F127"/>
          <cell r="G127"/>
        </row>
        <row r="128">
          <cell r="A128" t="str">
            <v>LEXINGTON</v>
          </cell>
          <cell r="B128"/>
          <cell r="C128">
            <v>2023</v>
          </cell>
          <cell r="D128"/>
          <cell r="E128" t="str">
            <v>YES</v>
          </cell>
          <cell r="F128"/>
          <cell r="G128"/>
        </row>
        <row r="129">
          <cell r="A129" t="str">
            <v>LINDEN</v>
          </cell>
          <cell r="B129"/>
          <cell r="C129">
            <v>2020</v>
          </cell>
          <cell r="D129"/>
          <cell r="E129"/>
          <cell r="F129"/>
          <cell r="G129"/>
        </row>
        <row r="130">
          <cell r="A130" t="str">
            <v>LONG ISLAND BAPTIST HOUSES</v>
          </cell>
          <cell r="B130"/>
          <cell r="C130">
            <v>2026</v>
          </cell>
          <cell r="D130"/>
          <cell r="E130" t="str">
            <v>YES</v>
          </cell>
          <cell r="F130"/>
          <cell r="G130"/>
        </row>
        <row r="131">
          <cell r="A131" t="str">
            <v>LOWER EAST SIDE II</v>
          </cell>
          <cell r="B131"/>
          <cell r="C131">
            <v>2026</v>
          </cell>
          <cell r="D131"/>
          <cell r="E131"/>
          <cell r="F131"/>
          <cell r="G131"/>
        </row>
        <row r="132">
          <cell r="A132" t="str">
            <v>LOWER EAST SIDE REHAB (GROUP 5)</v>
          </cell>
          <cell r="B132"/>
          <cell r="C132">
            <v>2026</v>
          </cell>
          <cell r="D132"/>
          <cell r="E132"/>
          <cell r="F132"/>
          <cell r="G132"/>
        </row>
        <row r="133">
          <cell r="A133" t="str">
            <v>MANHATTANVILLE</v>
          </cell>
          <cell r="B133"/>
          <cell r="C133">
            <v>2028</v>
          </cell>
          <cell r="D133"/>
          <cell r="E133" t="str">
            <v>YES</v>
          </cell>
          <cell r="F133"/>
          <cell r="G133"/>
        </row>
        <row r="134">
          <cell r="A134" t="str">
            <v>MANHATTANVILLE REHAB (GROUP 2)</v>
          </cell>
          <cell r="B134"/>
          <cell r="C134">
            <v>2019</v>
          </cell>
          <cell r="D134"/>
          <cell r="E134" t="str">
            <v>YES</v>
          </cell>
          <cell r="F134"/>
          <cell r="G134"/>
        </row>
        <row r="135">
          <cell r="A135" t="str">
            <v>MANHATTANVILLE REHAB (GROUP 3)</v>
          </cell>
          <cell r="B135"/>
          <cell r="C135">
            <v>2019</v>
          </cell>
          <cell r="D135"/>
          <cell r="E135"/>
          <cell r="F135"/>
          <cell r="G135"/>
        </row>
        <row r="136">
          <cell r="A136" t="str">
            <v>MARCY</v>
          </cell>
          <cell r="B136"/>
          <cell r="C136">
            <v>2027</v>
          </cell>
          <cell r="D136"/>
          <cell r="E136"/>
          <cell r="F136"/>
          <cell r="G136"/>
        </row>
        <row r="137">
          <cell r="A137" t="str">
            <v>MARCY AVENUE-GREENE AVENUE SITE A</v>
          </cell>
          <cell r="B137"/>
          <cell r="C137">
            <v>2019</v>
          </cell>
          <cell r="D137"/>
          <cell r="E137"/>
          <cell r="F137"/>
          <cell r="G137"/>
        </row>
        <row r="138">
          <cell r="A138" t="str">
            <v>MARCY AVENUE-GREENE AVENUE SITE B</v>
          </cell>
          <cell r="B138"/>
          <cell r="C138">
            <v>2019</v>
          </cell>
          <cell r="D138"/>
          <cell r="E138"/>
          <cell r="F138"/>
          <cell r="G138"/>
        </row>
        <row r="139">
          <cell r="A139" t="str">
            <v>MARINER'S HARBOR</v>
          </cell>
          <cell r="B139"/>
          <cell r="C139">
            <v>2028</v>
          </cell>
          <cell r="D139"/>
          <cell r="E139" t="str">
            <v>YES</v>
          </cell>
          <cell r="F139"/>
          <cell r="G139"/>
        </row>
        <row r="140">
          <cell r="A140" t="str">
            <v>MARSHALL PLAZA</v>
          </cell>
          <cell r="B140"/>
          <cell r="C140">
            <v>2020</v>
          </cell>
          <cell r="D140"/>
          <cell r="E140"/>
          <cell r="F140"/>
          <cell r="G140"/>
        </row>
        <row r="141">
          <cell r="A141" t="str">
            <v>MELROSE</v>
          </cell>
          <cell r="B141"/>
          <cell r="C141">
            <v>2023</v>
          </cell>
          <cell r="D141"/>
          <cell r="E141"/>
          <cell r="F141"/>
          <cell r="G141"/>
        </row>
        <row r="142">
          <cell r="A142" t="str">
            <v>MIDDLETOWN PLAZA</v>
          </cell>
          <cell r="B142"/>
          <cell r="C142">
            <v>2026</v>
          </cell>
          <cell r="D142"/>
          <cell r="E142"/>
          <cell r="F142"/>
          <cell r="G142"/>
        </row>
        <row r="143">
          <cell r="A143" t="str">
            <v>MURPHY</v>
          </cell>
          <cell r="B143"/>
          <cell r="C143">
            <v>2018</v>
          </cell>
          <cell r="D143"/>
          <cell r="E143"/>
          <cell r="F143"/>
          <cell r="G143"/>
        </row>
        <row r="144">
          <cell r="A144" t="str">
            <v>NOSTRAND</v>
          </cell>
          <cell r="B144"/>
          <cell r="C144">
            <v>2028</v>
          </cell>
          <cell r="D144"/>
          <cell r="E144" t="str">
            <v>YES</v>
          </cell>
          <cell r="F144"/>
          <cell r="G144"/>
        </row>
        <row r="145">
          <cell r="A145" t="str">
            <v>OCEAN HILL-BROWNSVILLE</v>
          </cell>
          <cell r="B145"/>
          <cell r="C145">
            <v>2025</v>
          </cell>
          <cell r="D145"/>
          <cell r="E145"/>
          <cell r="F145"/>
          <cell r="G145"/>
        </row>
        <row r="146">
          <cell r="A146" t="str">
            <v>PALMETTO GARDENS</v>
          </cell>
          <cell r="B146"/>
          <cell r="C146">
            <v>2019</v>
          </cell>
          <cell r="D146"/>
          <cell r="E146"/>
          <cell r="F146"/>
          <cell r="G146"/>
        </row>
        <row r="147">
          <cell r="A147" t="str">
            <v>PARK AVENUE-EAST 122ND, 123RD STREETS</v>
          </cell>
          <cell r="B147"/>
          <cell r="C147">
            <v>2019</v>
          </cell>
          <cell r="D147"/>
          <cell r="E147"/>
          <cell r="F147"/>
          <cell r="G147"/>
        </row>
        <row r="148">
          <cell r="A148" t="str">
            <v>PARK ROCK REHAB</v>
          </cell>
          <cell r="B148"/>
          <cell r="C148">
            <v>2025</v>
          </cell>
          <cell r="D148"/>
          <cell r="E148"/>
          <cell r="F148"/>
          <cell r="G148"/>
        </row>
        <row r="149">
          <cell r="A149" t="str">
            <v>PATTERSON</v>
          </cell>
          <cell r="B149"/>
          <cell r="C149">
            <v>2025</v>
          </cell>
          <cell r="D149"/>
          <cell r="E149"/>
          <cell r="F149"/>
          <cell r="G149"/>
        </row>
        <row r="150">
          <cell r="A150" t="str">
            <v>PELHAM PARKWAY</v>
          </cell>
          <cell r="B150"/>
          <cell r="C150">
            <v>2022</v>
          </cell>
          <cell r="D150"/>
          <cell r="E150" t="str">
            <v>YES</v>
          </cell>
          <cell r="F150"/>
          <cell r="G150"/>
        </row>
        <row r="151">
          <cell r="A151" t="str">
            <v>POMONOK</v>
          </cell>
          <cell r="B151"/>
          <cell r="C151">
            <v>2027</v>
          </cell>
          <cell r="D151"/>
          <cell r="E151" t="str">
            <v>YES</v>
          </cell>
          <cell r="F151"/>
          <cell r="G151"/>
        </row>
        <row r="152">
          <cell r="A152" t="str">
            <v>PUBLIC SCHOOL 139 (CONVERSION)</v>
          </cell>
          <cell r="B152"/>
          <cell r="C152">
            <v>2019</v>
          </cell>
          <cell r="D152"/>
          <cell r="E152"/>
          <cell r="F152"/>
          <cell r="G152"/>
        </row>
        <row r="153">
          <cell r="A153" t="str">
            <v>RALPH AVENUE REHAB</v>
          </cell>
          <cell r="B153"/>
          <cell r="C153">
            <v>2021</v>
          </cell>
          <cell r="D153"/>
          <cell r="E153"/>
          <cell r="F153"/>
          <cell r="G153"/>
        </row>
        <row r="154">
          <cell r="A154" t="str">
            <v>RANDALL AVENUE-BALCOM AVENUE</v>
          </cell>
          <cell r="B154"/>
          <cell r="C154">
            <v>2022</v>
          </cell>
          <cell r="D154"/>
          <cell r="E154"/>
          <cell r="F154"/>
          <cell r="G154"/>
        </row>
        <row r="155">
          <cell r="A155" t="str">
            <v>RED HOOK EAST</v>
          </cell>
          <cell r="B155"/>
          <cell r="C155">
            <v>2024</v>
          </cell>
          <cell r="D155"/>
          <cell r="E155" t="str">
            <v>YES</v>
          </cell>
          <cell r="F155"/>
          <cell r="G155"/>
        </row>
        <row r="156">
          <cell r="A156" t="str">
            <v>RED HOOK WEST</v>
          </cell>
          <cell r="B156"/>
          <cell r="C156">
            <v>2025</v>
          </cell>
          <cell r="D156"/>
          <cell r="E156" t="str">
            <v>YES</v>
          </cell>
          <cell r="F156"/>
          <cell r="G156"/>
        </row>
        <row r="157">
          <cell r="A157" t="str">
            <v>REDFERN</v>
          </cell>
          <cell r="B157"/>
          <cell r="C157">
            <v>2022</v>
          </cell>
          <cell r="D157"/>
          <cell r="E157"/>
          <cell r="F157"/>
          <cell r="G157"/>
        </row>
        <row r="158">
          <cell r="A158" t="str">
            <v>REID APARTMENTS</v>
          </cell>
          <cell r="B158"/>
          <cell r="C158">
            <v>2021</v>
          </cell>
          <cell r="D158"/>
          <cell r="E158"/>
          <cell r="F158"/>
          <cell r="G158"/>
        </row>
        <row r="159">
          <cell r="A159" t="str">
            <v>RUTLAND TOWERS</v>
          </cell>
          <cell r="B159"/>
          <cell r="C159">
            <v>2021</v>
          </cell>
          <cell r="D159"/>
          <cell r="E159"/>
          <cell r="F159"/>
          <cell r="G159"/>
        </row>
        <row r="160">
          <cell r="A160" t="str">
            <v>SACK WERN</v>
          </cell>
          <cell r="B160"/>
          <cell r="C160">
            <v>2024</v>
          </cell>
          <cell r="D160"/>
          <cell r="E160"/>
          <cell r="F160"/>
          <cell r="G160"/>
        </row>
        <row r="161">
          <cell r="A161" t="str">
            <v>SAMUEL (CITY)</v>
          </cell>
          <cell r="B161"/>
          <cell r="C161">
            <v>2026</v>
          </cell>
          <cell r="D161"/>
          <cell r="E161"/>
          <cell r="F161"/>
          <cell r="G161"/>
        </row>
        <row r="162">
          <cell r="A162" t="str">
            <v>SAMUEL (MHOP) I</v>
          </cell>
          <cell r="B162"/>
          <cell r="C162">
            <v>2019</v>
          </cell>
          <cell r="D162"/>
          <cell r="E162"/>
          <cell r="F162"/>
          <cell r="G162"/>
        </row>
        <row r="163">
          <cell r="A163" t="str">
            <v>SAMUEL (MHOP) II</v>
          </cell>
          <cell r="B163"/>
          <cell r="C163">
            <v>2019</v>
          </cell>
          <cell r="D163"/>
          <cell r="E163"/>
          <cell r="F163"/>
          <cell r="G163"/>
        </row>
        <row r="164">
          <cell r="A164" t="str">
            <v>SAMUEL (MHOP) III</v>
          </cell>
          <cell r="B164"/>
          <cell r="C164">
            <v>2019</v>
          </cell>
          <cell r="D164"/>
          <cell r="E164"/>
          <cell r="F164"/>
          <cell r="G164"/>
        </row>
        <row r="165">
          <cell r="A165" t="str">
            <v>SHEEPSHEAD BAY</v>
          </cell>
          <cell r="B165"/>
          <cell r="C165">
            <v>2028</v>
          </cell>
          <cell r="D165"/>
          <cell r="E165"/>
          <cell r="F165"/>
          <cell r="G165"/>
        </row>
        <row r="166">
          <cell r="A166" t="str">
            <v>SOTOMAYOR</v>
          </cell>
          <cell r="B166"/>
          <cell r="C166">
            <v>2021</v>
          </cell>
          <cell r="D166"/>
          <cell r="E166"/>
          <cell r="F166"/>
          <cell r="G166"/>
        </row>
        <row r="167">
          <cell r="A167" t="str">
            <v>SOUNDVIEW</v>
          </cell>
          <cell r="B167"/>
          <cell r="C167">
            <v>2023</v>
          </cell>
          <cell r="D167"/>
          <cell r="E167" t="str">
            <v>YES</v>
          </cell>
          <cell r="F167"/>
          <cell r="G167"/>
        </row>
        <row r="168">
          <cell r="A168" t="str">
            <v>SOUTH BRONX AREA (SITE 402)</v>
          </cell>
          <cell r="B168"/>
          <cell r="C168">
            <v>2026</v>
          </cell>
          <cell r="D168"/>
          <cell r="E168"/>
          <cell r="F168"/>
          <cell r="G168"/>
        </row>
        <row r="169">
          <cell r="A169" t="str">
            <v>SOUTH JAMAICA I</v>
          </cell>
          <cell r="B169"/>
          <cell r="C169">
            <v>2021</v>
          </cell>
          <cell r="D169"/>
          <cell r="E169"/>
          <cell r="F169"/>
          <cell r="G169"/>
        </row>
        <row r="170">
          <cell r="A170" t="str">
            <v>SOUTH JAMAICA II</v>
          </cell>
          <cell r="B170"/>
          <cell r="C170">
            <v>2021</v>
          </cell>
          <cell r="D170"/>
          <cell r="E170" t="str">
            <v>YES</v>
          </cell>
          <cell r="F170"/>
          <cell r="G170"/>
        </row>
        <row r="171">
          <cell r="A171" t="str">
            <v>STEBBINS AVENUE-HEWITT PLACE</v>
          </cell>
          <cell r="B171"/>
          <cell r="C171">
            <v>2026</v>
          </cell>
          <cell r="D171"/>
          <cell r="E171"/>
          <cell r="F171"/>
          <cell r="G171"/>
        </row>
        <row r="172">
          <cell r="A172" t="str">
            <v>STERLING PLACE REHABS (SAINT JOHNS-STERLING)</v>
          </cell>
          <cell r="B172"/>
          <cell r="C172">
            <v>2025</v>
          </cell>
          <cell r="D172"/>
          <cell r="E172"/>
          <cell r="F172"/>
          <cell r="G172"/>
        </row>
        <row r="173">
          <cell r="A173" t="str">
            <v>STERLING PLACE REHABS (STERLING-BUFFALO)</v>
          </cell>
          <cell r="B173"/>
          <cell r="C173">
            <v>2025</v>
          </cell>
          <cell r="D173"/>
          <cell r="E173"/>
          <cell r="F173"/>
          <cell r="G173"/>
        </row>
        <row r="174">
          <cell r="A174" t="str">
            <v>SUTTER AVENUE-UNION STREET</v>
          </cell>
          <cell r="B174"/>
          <cell r="C174">
            <v>2021</v>
          </cell>
          <cell r="D174"/>
          <cell r="E174"/>
          <cell r="F174"/>
          <cell r="G174"/>
        </row>
        <row r="175">
          <cell r="A175" t="str">
            <v>TAPSCOTT STREET REHAB</v>
          </cell>
          <cell r="B175"/>
          <cell r="C175">
            <v>2021</v>
          </cell>
          <cell r="D175"/>
          <cell r="E175"/>
          <cell r="F175"/>
          <cell r="G175"/>
        </row>
        <row r="176">
          <cell r="A176" t="str">
            <v>TELLER AVENUE-EAST 166TH STREET</v>
          </cell>
          <cell r="B176"/>
          <cell r="C176">
            <v>2025</v>
          </cell>
          <cell r="D176"/>
          <cell r="E176"/>
          <cell r="F176"/>
          <cell r="G176"/>
        </row>
        <row r="177">
          <cell r="A177" t="str">
            <v>THROGGS NECK</v>
          </cell>
          <cell r="B177"/>
          <cell r="C177">
            <v>2022</v>
          </cell>
          <cell r="D177"/>
          <cell r="E177" t="str">
            <v>YES</v>
          </cell>
          <cell r="F177"/>
          <cell r="G177"/>
        </row>
        <row r="178">
          <cell r="A178" t="str">
            <v>THROGGS NECK ADDITION</v>
          </cell>
          <cell r="B178"/>
          <cell r="C178">
            <v>2022</v>
          </cell>
          <cell r="D178"/>
          <cell r="E178"/>
          <cell r="F178"/>
          <cell r="G178"/>
        </row>
        <row r="179">
          <cell r="A179" t="str">
            <v>TWIN PARKS WEST (SITES 1 &amp; 2)</v>
          </cell>
          <cell r="B179"/>
          <cell r="C179">
            <v>2018</v>
          </cell>
          <cell r="D179"/>
          <cell r="E179"/>
          <cell r="F179"/>
          <cell r="G179"/>
        </row>
        <row r="180">
          <cell r="A180" t="str">
            <v>UNION AVENUE-EAST 163RD STREET</v>
          </cell>
          <cell r="B180"/>
          <cell r="C180">
            <v>2026</v>
          </cell>
          <cell r="D180"/>
          <cell r="E180"/>
          <cell r="F180"/>
          <cell r="G180"/>
        </row>
        <row r="181">
          <cell r="A181" t="str">
            <v>UNION AVENUE-EAST 166TH STREET</v>
          </cell>
          <cell r="B181"/>
          <cell r="C181">
            <v>2026</v>
          </cell>
          <cell r="D181"/>
          <cell r="E181"/>
          <cell r="F181"/>
          <cell r="G181"/>
        </row>
        <row r="182">
          <cell r="A182" t="str">
            <v>UNITY PLAZA (SITES 17,24,25A)</v>
          </cell>
          <cell r="B182"/>
          <cell r="C182">
            <v>2026</v>
          </cell>
          <cell r="D182"/>
          <cell r="E182"/>
          <cell r="F182"/>
          <cell r="G182"/>
        </row>
        <row r="183">
          <cell r="A183" t="str">
            <v>UNITY PLAZA (SITES 4-27)</v>
          </cell>
          <cell r="B183"/>
          <cell r="C183">
            <v>2026</v>
          </cell>
          <cell r="D183"/>
          <cell r="E183" t="str">
            <v>YES</v>
          </cell>
          <cell r="F183"/>
          <cell r="G183"/>
        </row>
        <row r="184">
          <cell r="A184" t="str">
            <v>VAN DYKE I</v>
          </cell>
          <cell r="B184"/>
          <cell r="C184">
            <v>2024</v>
          </cell>
          <cell r="D184"/>
          <cell r="E184" t="str">
            <v>YES</v>
          </cell>
          <cell r="F184"/>
          <cell r="G184"/>
        </row>
        <row r="185">
          <cell r="A185" t="str">
            <v>WASHINGTON</v>
          </cell>
          <cell r="B185"/>
          <cell r="C185">
            <v>2023</v>
          </cell>
          <cell r="D185"/>
          <cell r="E185"/>
          <cell r="F185"/>
          <cell r="G185"/>
        </row>
        <row r="186">
          <cell r="A186" t="str">
            <v>WASHINGTON HEIGHTS REHAB (GROUPS 1&amp;2)</v>
          </cell>
          <cell r="B186"/>
          <cell r="C186">
            <v>2019</v>
          </cell>
          <cell r="D186"/>
          <cell r="E186"/>
          <cell r="F186"/>
          <cell r="G186"/>
        </row>
        <row r="187">
          <cell r="A187" t="str">
            <v>WASHINGTON HEIGHTS REHAB PHASE III</v>
          </cell>
          <cell r="B187"/>
          <cell r="C187">
            <v>2019</v>
          </cell>
          <cell r="D187"/>
          <cell r="E187"/>
          <cell r="F187"/>
          <cell r="G187"/>
        </row>
        <row r="188">
          <cell r="A188" t="str">
            <v>WASHINGTON HEIGHTS REHAB PHASE IV (C)</v>
          </cell>
          <cell r="B188"/>
          <cell r="C188">
            <v>2019</v>
          </cell>
          <cell r="D188"/>
          <cell r="E188"/>
          <cell r="F188"/>
          <cell r="G188"/>
        </row>
        <row r="189">
          <cell r="A189" t="str">
            <v>WASHINGTON HEIGHTS REHAB PHASE IV (D)</v>
          </cell>
          <cell r="B189"/>
          <cell r="C189">
            <v>2019</v>
          </cell>
          <cell r="D189"/>
          <cell r="E189"/>
          <cell r="F189"/>
          <cell r="G189"/>
        </row>
        <row r="190">
          <cell r="A190" t="str">
            <v>WEEKSVILLE GARDENS</v>
          </cell>
          <cell r="B190"/>
          <cell r="C190">
            <v>2019</v>
          </cell>
          <cell r="D190"/>
          <cell r="E190" t="str">
            <v>YES</v>
          </cell>
          <cell r="F190"/>
          <cell r="G190"/>
        </row>
        <row r="191">
          <cell r="A191" t="str">
            <v>WILLIAMS PLAZA</v>
          </cell>
          <cell r="B191"/>
          <cell r="C191">
            <v>2019</v>
          </cell>
          <cell r="D191"/>
          <cell r="E191"/>
          <cell r="F191"/>
          <cell r="G191"/>
        </row>
        <row r="192">
          <cell r="A192" t="str">
            <v>WILLIAMSBURG</v>
          </cell>
          <cell r="B192"/>
          <cell r="C192">
            <v>2020</v>
          </cell>
          <cell r="D192"/>
          <cell r="E192" t="str">
            <v>YES</v>
          </cell>
          <cell r="F192"/>
          <cell r="G192"/>
        </row>
        <row r="193">
          <cell r="A193" t="str">
            <v>WISE TOWERS</v>
          </cell>
          <cell r="B193"/>
          <cell r="C193">
            <v>2019</v>
          </cell>
          <cell r="D193"/>
          <cell r="E193" t="str">
            <v>YES</v>
          </cell>
          <cell r="F193"/>
          <cell r="G193"/>
        </row>
        <row r="194">
          <cell r="A194" t="str">
            <v>1010 EAST 178TH STREET</v>
          </cell>
          <cell r="B194"/>
          <cell r="C194"/>
          <cell r="D194"/>
          <cell r="E194"/>
          <cell r="F194"/>
          <cell r="G194" t="str">
            <v>YES</v>
          </cell>
        </row>
        <row r="195">
          <cell r="A195" t="str">
            <v>154 WEST 84TH STREET</v>
          </cell>
          <cell r="B195"/>
          <cell r="C195"/>
          <cell r="D195"/>
          <cell r="E195"/>
          <cell r="F195"/>
          <cell r="G195" t="str">
            <v>YES</v>
          </cell>
        </row>
        <row r="196">
          <cell r="A196" t="str">
            <v>303 VERNON AVENUE</v>
          </cell>
          <cell r="B196"/>
          <cell r="C196"/>
          <cell r="D196"/>
          <cell r="E196"/>
          <cell r="F196"/>
          <cell r="G196" t="str">
            <v>YES</v>
          </cell>
        </row>
        <row r="197">
          <cell r="A197" t="str">
            <v>335 EAST 111TH STREET</v>
          </cell>
          <cell r="B197"/>
          <cell r="C197"/>
          <cell r="D197"/>
          <cell r="E197"/>
          <cell r="F197"/>
          <cell r="G197" t="str">
            <v>YES</v>
          </cell>
        </row>
        <row r="198">
          <cell r="A198" t="str">
            <v>45 ALLEN STREET</v>
          </cell>
          <cell r="B198"/>
          <cell r="C198"/>
          <cell r="D198"/>
          <cell r="E198"/>
          <cell r="F198"/>
          <cell r="G198" t="str">
            <v>YES</v>
          </cell>
        </row>
        <row r="199">
          <cell r="A199" t="str">
            <v>572 WARREN STREET</v>
          </cell>
          <cell r="B199"/>
          <cell r="C199"/>
          <cell r="D199"/>
          <cell r="E199"/>
          <cell r="F199"/>
          <cell r="G199" t="str">
            <v>YES</v>
          </cell>
        </row>
        <row r="200">
          <cell r="A200" t="str">
            <v>ADAMS</v>
          </cell>
          <cell r="B200"/>
          <cell r="C200"/>
          <cell r="D200"/>
          <cell r="E200"/>
          <cell r="F200"/>
          <cell r="G200" t="str">
            <v>YES</v>
          </cell>
        </row>
        <row r="201">
          <cell r="A201" t="str">
            <v>AMSTERDAM ADDITION</v>
          </cell>
          <cell r="B201"/>
          <cell r="C201"/>
          <cell r="D201"/>
          <cell r="E201"/>
          <cell r="F201"/>
          <cell r="G201" t="str">
            <v>YES</v>
          </cell>
        </row>
        <row r="202">
          <cell r="A202" t="str">
            <v>ARMSTRONG I</v>
          </cell>
          <cell r="B202"/>
          <cell r="C202"/>
          <cell r="D202"/>
          <cell r="E202"/>
          <cell r="F202"/>
          <cell r="G202" t="str">
            <v>YES</v>
          </cell>
        </row>
        <row r="203">
          <cell r="A203" t="str">
            <v>ARMSTRONG II</v>
          </cell>
          <cell r="B203"/>
          <cell r="C203"/>
          <cell r="D203"/>
          <cell r="E203"/>
          <cell r="F203"/>
          <cell r="G203" t="str">
            <v>YES</v>
          </cell>
        </row>
        <row r="204">
          <cell r="A204" t="str">
            <v>ATLANTIC TERMINAL SITE 4B</v>
          </cell>
          <cell r="B204"/>
          <cell r="C204"/>
          <cell r="D204"/>
          <cell r="E204"/>
          <cell r="F204"/>
          <cell r="G204" t="str">
            <v>YES</v>
          </cell>
        </row>
        <row r="205">
          <cell r="A205" t="str">
            <v>BAILEY AVENUE-WEST 193RD STREET</v>
          </cell>
          <cell r="B205"/>
          <cell r="C205"/>
          <cell r="D205"/>
          <cell r="E205"/>
          <cell r="F205"/>
          <cell r="G205" t="str">
            <v>YES</v>
          </cell>
        </row>
        <row r="206">
          <cell r="A206" t="str">
            <v>BAISLEY PARK</v>
          </cell>
          <cell r="B206"/>
          <cell r="C206"/>
          <cell r="D206"/>
          <cell r="E206"/>
          <cell r="F206"/>
          <cell r="G206" t="str">
            <v>YES</v>
          </cell>
        </row>
        <row r="207">
          <cell r="A207" t="str">
            <v>BARUCH HOUSES ADDITION</v>
          </cell>
          <cell r="B207"/>
          <cell r="C207"/>
          <cell r="D207"/>
          <cell r="E207"/>
          <cell r="F207"/>
          <cell r="G207" t="str">
            <v>YES</v>
          </cell>
        </row>
        <row r="208">
          <cell r="A208" t="str">
            <v>BAY VIEW</v>
          </cell>
          <cell r="B208"/>
          <cell r="C208"/>
          <cell r="D208"/>
          <cell r="E208"/>
          <cell r="F208"/>
          <cell r="G208" t="str">
            <v>YES</v>
          </cell>
        </row>
        <row r="209">
          <cell r="A209" t="str">
            <v>BEACH 41ST STREET-BEACH CHANNEL DRIVE</v>
          </cell>
          <cell r="B209"/>
          <cell r="C209"/>
          <cell r="D209"/>
          <cell r="E209"/>
          <cell r="F209"/>
          <cell r="G209" t="str">
            <v>YES</v>
          </cell>
        </row>
        <row r="210">
          <cell r="A210" t="str">
            <v>BEDFORD-STUYVESANT REHAB</v>
          </cell>
          <cell r="B210"/>
          <cell r="C210"/>
          <cell r="D210"/>
          <cell r="E210"/>
          <cell r="F210"/>
          <cell r="G210" t="str">
            <v>YES</v>
          </cell>
        </row>
        <row r="211">
          <cell r="A211" t="str">
            <v>BELMONT-SUTTER AREA</v>
          </cell>
          <cell r="B211"/>
          <cell r="C211"/>
          <cell r="D211"/>
          <cell r="E211"/>
          <cell r="F211"/>
          <cell r="G211" t="str">
            <v>YES</v>
          </cell>
        </row>
        <row r="212">
          <cell r="A212" t="str">
            <v>BERRY</v>
          </cell>
          <cell r="B212"/>
          <cell r="C212"/>
          <cell r="D212"/>
          <cell r="E212"/>
          <cell r="F212"/>
          <cell r="G212" t="str">
            <v>YES</v>
          </cell>
        </row>
        <row r="213">
          <cell r="A213" t="str">
            <v>BERRY STREET-SOUTH 9TH STREET</v>
          </cell>
          <cell r="B213"/>
          <cell r="C213"/>
          <cell r="D213"/>
          <cell r="E213"/>
          <cell r="F213"/>
          <cell r="G213" t="str">
            <v>YES</v>
          </cell>
        </row>
        <row r="214">
          <cell r="A214" t="str">
            <v>BORINQUEN PLAZA I</v>
          </cell>
          <cell r="B214"/>
          <cell r="C214"/>
          <cell r="D214"/>
          <cell r="E214"/>
          <cell r="F214"/>
          <cell r="G214" t="str">
            <v>YES</v>
          </cell>
        </row>
        <row r="215">
          <cell r="A215" t="str">
            <v>BOSTON SECOR</v>
          </cell>
          <cell r="B215"/>
          <cell r="C215"/>
          <cell r="D215"/>
          <cell r="E215"/>
          <cell r="F215"/>
          <cell r="G215" t="str">
            <v>YES</v>
          </cell>
        </row>
        <row r="216">
          <cell r="A216" t="str">
            <v>BOYNTON AVENUE REHAB</v>
          </cell>
          <cell r="B216"/>
          <cell r="C216"/>
          <cell r="D216"/>
          <cell r="E216"/>
          <cell r="F216"/>
          <cell r="G216" t="str">
            <v>YES</v>
          </cell>
        </row>
        <row r="217">
          <cell r="A217" t="str">
            <v>BRONX RIVER ADDITION</v>
          </cell>
          <cell r="B217"/>
          <cell r="C217"/>
          <cell r="D217"/>
          <cell r="E217"/>
          <cell r="F217"/>
          <cell r="G217" t="str">
            <v>YES</v>
          </cell>
        </row>
        <row r="218">
          <cell r="A218" t="str">
            <v>BROWN</v>
          </cell>
          <cell r="B218"/>
          <cell r="C218"/>
          <cell r="D218"/>
          <cell r="E218"/>
          <cell r="F218"/>
          <cell r="G218" t="str">
            <v>YES</v>
          </cell>
        </row>
        <row r="219">
          <cell r="A219" t="str">
            <v>BROWNSVILLE</v>
          </cell>
          <cell r="B219"/>
          <cell r="C219"/>
          <cell r="D219"/>
          <cell r="E219"/>
          <cell r="F219"/>
          <cell r="G219" t="str">
            <v>YES</v>
          </cell>
        </row>
        <row r="220">
          <cell r="A220" t="str">
            <v>BRYANT AVENUE-EAST 174TH STREET</v>
          </cell>
          <cell r="B220"/>
          <cell r="C220"/>
          <cell r="D220"/>
          <cell r="E220"/>
          <cell r="F220"/>
          <cell r="G220" t="str">
            <v>YES</v>
          </cell>
        </row>
        <row r="221">
          <cell r="A221" t="str">
            <v>BUSHWICK</v>
          </cell>
          <cell r="B221"/>
          <cell r="C221"/>
          <cell r="D221"/>
          <cell r="E221"/>
          <cell r="F221"/>
          <cell r="G221" t="str">
            <v>YES</v>
          </cell>
        </row>
        <row r="222">
          <cell r="A222" t="str">
            <v>BUSHWICK II (GROUPS A &amp; C)</v>
          </cell>
          <cell r="B222"/>
          <cell r="C222"/>
          <cell r="D222"/>
          <cell r="E222"/>
          <cell r="F222"/>
          <cell r="G222" t="str">
            <v>YES</v>
          </cell>
        </row>
        <row r="223">
          <cell r="A223" t="str">
            <v>BUSHWICK II (GROUPS B &amp; D)</v>
          </cell>
          <cell r="B223"/>
          <cell r="C223"/>
          <cell r="D223"/>
          <cell r="E223"/>
          <cell r="F223"/>
          <cell r="G223" t="str">
            <v>YES</v>
          </cell>
        </row>
        <row r="224">
          <cell r="A224" t="str">
            <v>BUTLER</v>
          </cell>
          <cell r="B224"/>
          <cell r="C224"/>
          <cell r="D224"/>
          <cell r="E224"/>
          <cell r="F224"/>
          <cell r="G224" t="str">
            <v>YES</v>
          </cell>
        </row>
        <row r="225">
          <cell r="A225" t="str">
            <v>CAREY GARDENS</v>
          </cell>
          <cell r="B225"/>
          <cell r="C225"/>
          <cell r="D225"/>
          <cell r="E225"/>
          <cell r="F225"/>
          <cell r="G225" t="str">
            <v>YES</v>
          </cell>
        </row>
        <row r="226">
          <cell r="A226" t="str">
            <v>CARLETON MANOR</v>
          </cell>
          <cell r="B226"/>
          <cell r="C226"/>
          <cell r="D226"/>
          <cell r="E226"/>
          <cell r="F226"/>
          <cell r="G226" t="str">
            <v>YES</v>
          </cell>
        </row>
        <row r="227">
          <cell r="A227" t="str">
            <v>CARVER</v>
          </cell>
          <cell r="B227"/>
          <cell r="C227"/>
          <cell r="D227"/>
          <cell r="E227"/>
          <cell r="F227"/>
          <cell r="G227" t="str">
            <v>YES</v>
          </cell>
        </row>
        <row r="228">
          <cell r="A228" t="str">
            <v>CASSIDY-LAFAYETTE</v>
          </cell>
          <cell r="B228"/>
          <cell r="C228"/>
          <cell r="D228"/>
          <cell r="E228"/>
          <cell r="F228"/>
          <cell r="G228" t="str">
            <v>YES</v>
          </cell>
        </row>
        <row r="229">
          <cell r="A229" t="str">
            <v>CLINTON</v>
          </cell>
          <cell r="B229"/>
          <cell r="C229"/>
          <cell r="D229"/>
          <cell r="E229"/>
          <cell r="F229"/>
          <cell r="G229" t="str">
            <v>YES</v>
          </cell>
        </row>
        <row r="230">
          <cell r="A230" t="str">
            <v>CONEY ISLAND</v>
          </cell>
          <cell r="B230"/>
          <cell r="C230"/>
          <cell r="D230"/>
          <cell r="E230"/>
          <cell r="F230"/>
          <cell r="G230" t="str">
            <v>YES</v>
          </cell>
        </row>
        <row r="231">
          <cell r="A231" t="str">
            <v>CONEY ISLAND I (SITE 1B)</v>
          </cell>
          <cell r="B231"/>
          <cell r="C231"/>
          <cell r="D231"/>
          <cell r="E231"/>
          <cell r="F231"/>
          <cell r="G231" t="str">
            <v>YES</v>
          </cell>
        </row>
        <row r="232">
          <cell r="A232" t="str">
            <v>CONEY ISLAND I (SITE 8)</v>
          </cell>
          <cell r="B232"/>
          <cell r="C232"/>
          <cell r="D232"/>
          <cell r="E232"/>
          <cell r="F232"/>
          <cell r="G232" t="str">
            <v>YES</v>
          </cell>
        </row>
        <row r="233">
          <cell r="A233" t="str">
            <v>CONEY ISLAND I (SITES 4 &amp; 5)</v>
          </cell>
          <cell r="B233"/>
          <cell r="C233"/>
          <cell r="D233"/>
          <cell r="E233"/>
          <cell r="F233"/>
          <cell r="G233" t="str">
            <v>YES</v>
          </cell>
        </row>
        <row r="234">
          <cell r="A234" t="str">
            <v>CONLON LIHFE TOWER</v>
          </cell>
          <cell r="B234"/>
          <cell r="C234"/>
          <cell r="D234"/>
          <cell r="E234"/>
          <cell r="F234"/>
          <cell r="G234" t="str">
            <v>YES</v>
          </cell>
        </row>
        <row r="235">
          <cell r="A235" t="str">
            <v>DE HOSTOS APARTMENTS</v>
          </cell>
          <cell r="B235"/>
          <cell r="C235"/>
          <cell r="D235"/>
          <cell r="E235"/>
          <cell r="F235"/>
          <cell r="G235" t="str">
            <v>YES</v>
          </cell>
        </row>
        <row r="236">
          <cell r="A236" t="str">
            <v>DOUGLASS ADDITION</v>
          </cell>
          <cell r="B236"/>
          <cell r="C236"/>
          <cell r="D236"/>
          <cell r="E236"/>
          <cell r="F236"/>
          <cell r="G236" t="str">
            <v>YES</v>
          </cell>
        </row>
        <row r="237">
          <cell r="A237" t="str">
            <v>DOUGLASS I</v>
          </cell>
          <cell r="B237"/>
          <cell r="C237"/>
          <cell r="D237"/>
          <cell r="E237"/>
          <cell r="F237"/>
          <cell r="G237" t="str">
            <v>YES</v>
          </cell>
        </row>
        <row r="238">
          <cell r="A238" t="str">
            <v>DOUGLASS II</v>
          </cell>
          <cell r="B238"/>
          <cell r="C238"/>
          <cell r="D238"/>
          <cell r="E238"/>
          <cell r="F238"/>
          <cell r="G238" t="str">
            <v>YES</v>
          </cell>
        </row>
        <row r="239">
          <cell r="A239" t="str">
            <v>DREW-HAMILTON</v>
          </cell>
          <cell r="B239"/>
          <cell r="C239"/>
          <cell r="D239"/>
          <cell r="E239"/>
          <cell r="F239"/>
          <cell r="G239" t="str">
            <v>YES</v>
          </cell>
        </row>
        <row r="240">
          <cell r="A240" t="str">
            <v>EAST 165TH STREET-BRYANT AVENUE</v>
          </cell>
          <cell r="B240"/>
          <cell r="C240"/>
          <cell r="D240"/>
          <cell r="E240"/>
          <cell r="F240"/>
          <cell r="G240" t="str">
            <v>YES</v>
          </cell>
        </row>
        <row r="241">
          <cell r="A241" t="str">
            <v>EAST 173RD STREET-VYSE AVENUE</v>
          </cell>
          <cell r="B241"/>
          <cell r="C241"/>
          <cell r="D241"/>
          <cell r="E241"/>
          <cell r="F241"/>
          <cell r="G241" t="str">
            <v>YES</v>
          </cell>
        </row>
        <row r="242">
          <cell r="A242" t="str">
            <v>EAST 180TH STREET-MONTEREY AVENUE</v>
          </cell>
          <cell r="B242"/>
          <cell r="C242"/>
          <cell r="D242"/>
          <cell r="E242"/>
          <cell r="F242"/>
          <cell r="G242" t="str">
            <v>YES</v>
          </cell>
        </row>
        <row r="243">
          <cell r="A243" t="str">
            <v>FOREST</v>
          </cell>
          <cell r="B243"/>
          <cell r="C243"/>
          <cell r="D243"/>
          <cell r="E243"/>
          <cell r="F243"/>
          <cell r="G243" t="str">
            <v>YES</v>
          </cell>
        </row>
        <row r="244">
          <cell r="A244" t="str">
            <v>FOREST HILLS COOP (108TH STREET-62ND DRIVE)</v>
          </cell>
          <cell r="B244"/>
          <cell r="C244"/>
          <cell r="D244"/>
          <cell r="E244"/>
          <cell r="F244"/>
          <cell r="G244" t="str">
            <v>YES</v>
          </cell>
        </row>
        <row r="245">
          <cell r="A245" t="str">
            <v>FORT INDEPENDENCE STREET-HEATH AVENUE</v>
          </cell>
          <cell r="B245"/>
          <cell r="C245"/>
          <cell r="D245"/>
          <cell r="E245"/>
          <cell r="F245"/>
          <cell r="G245" t="str">
            <v>YES</v>
          </cell>
        </row>
        <row r="246">
          <cell r="A246" t="str">
            <v>GARVEY (GROUP A)</v>
          </cell>
          <cell r="B246"/>
          <cell r="C246"/>
          <cell r="D246"/>
          <cell r="E246"/>
          <cell r="F246"/>
          <cell r="G246" t="str">
            <v>YES</v>
          </cell>
        </row>
        <row r="247">
          <cell r="A247" t="str">
            <v>GOMPERS</v>
          </cell>
          <cell r="B247"/>
          <cell r="C247"/>
          <cell r="D247"/>
          <cell r="E247"/>
          <cell r="F247"/>
          <cell r="G247" t="str">
            <v>YES</v>
          </cell>
        </row>
        <row r="248">
          <cell r="A248" t="str">
            <v>GOWANUS</v>
          </cell>
          <cell r="B248"/>
          <cell r="C248"/>
          <cell r="D248"/>
          <cell r="E248"/>
          <cell r="F248"/>
          <cell r="G248" t="str">
            <v>YES</v>
          </cell>
        </row>
        <row r="249">
          <cell r="A249" t="str">
            <v>HABER</v>
          </cell>
          <cell r="B249"/>
          <cell r="C249"/>
          <cell r="D249"/>
          <cell r="E249"/>
          <cell r="F249"/>
          <cell r="G249" t="str">
            <v>YES</v>
          </cell>
        </row>
        <row r="250">
          <cell r="A250" t="str">
            <v>HARRISON AVENUE REHAB (GROUP A)</v>
          </cell>
          <cell r="B250"/>
          <cell r="C250"/>
          <cell r="D250"/>
          <cell r="E250"/>
          <cell r="F250"/>
          <cell r="G250" t="str">
            <v>YES</v>
          </cell>
        </row>
        <row r="251">
          <cell r="A251" t="str">
            <v>HARRISON AVENUE REHAB (GROUP B)</v>
          </cell>
          <cell r="B251"/>
          <cell r="C251"/>
          <cell r="D251"/>
          <cell r="E251"/>
          <cell r="F251"/>
          <cell r="G251" t="str">
            <v>YES</v>
          </cell>
        </row>
        <row r="252">
          <cell r="A252" t="str">
            <v>HERNANDEZ</v>
          </cell>
          <cell r="B252"/>
          <cell r="C252"/>
          <cell r="D252"/>
          <cell r="E252"/>
          <cell r="F252"/>
          <cell r="G252" t="str">
            <v>YES</v>
          </cell>
        </row>
        <row r="253">
          <cell r="A253" t="str">
            <v>HOE AVENUE-EAST 173RD STREET</v>
          </cell>
          <cell r="B253"/>
          <cell r="C253"/>
          <cell r="D253"/>
          <cell r="E253"/>
          <cell r="F253"/>
          <cell r="G253" t="str">
            <v>YES</v>
          </cell>
        </row>
        <row r="254">
          <cell r="A254" t="str">
            <v>HOLMES TOWERS</v>
          </cell>
          <cell r="B254"/>
          <cell r="C254"/>
          <cell r="D254"/>
          <cell r="E254"/>
          <cell r="F254"/>
          <cell r="G254" t="str">
            <v>YES</v>
          </cell>
        </row>
        <row r="255">
          <cell r="A255" t="str">
            <v>HOWARD</v>
          </cell>
          <cell r="B255"/>
          <cell r="C255"/>
          <cell r="D255"/>
          <cell r="E255"/>
          <cell r="F255"/>
          <cell r="G255" t="str">
            <v>YES</v>
          </cell>
        </row>
        <row r="256">
          <cell r="A256" t="str">
            <v>HUGHES APARTMENTS</v>
          </cell>
          <cell r="B256"/>
          <cell r="C256"/>
          <cell r="D256"/>
          <cell r="E256"/>
          <cell r="F256"/>
          <cell r="G256" t="str">
            <v>YES</v>
          </cell>
        </row>
        <row r="257">
          <cell r="A257" t="str">
            <v>HYLAN</v>
          </cell>
          <cell r="B257"/>
          <cell r="C257"/>
          <cell r="D257"/>
          <cell r="E257"/>
          <cell r="F257"/>
          <cell r="G257" t="str">
            <v>YES</v>
          </cell>
        </row>
        <row r="258">
          <cell r="A258" t="str">
            <v>INGERSOLL</v>
          </cell>
          <cell r="B258"/>
          <cell r="C258"/>
          <cell r="D258"/>
          <cell r="E258"/>
          <cell r="F258"/>
          <cell r="G258" t="str">
            <v>YES</v>
          </cell>
        </row>
        <row r="259">
          <cell r="A259" t="str">
            <v>INTERNATIONAL TOWER</v>
          </cell>
          <cell r="B259"/>
          <cell r="C259"/>
          <cell r="D259"/>
          <cell r="E259"/>
          <cell r="F259"/>
          <cell r="G259" t="str">
            <v>YES</v>
          </cell>
        </row>
        <row r="260">
          <cell r="A260" t="str">
            <v>ISAACS</v>
          </cell>
          <cell r="B260"/>
          <cell r="C260"/>
          <cell r="D260"/>
          <cell r="E260"/>
          <cell r="F260"/>
          <cell r="G260" t="str">
            <v>YES</v>
          </cell>
        </row>
        <row r="261">
          <cell r="A261" t="str">
            <v>JACKSON</v>
          </cell>
          <cell r="B261"/>
          <cell r="C261"/>
          <cell r="D261"/>
          <cell r="E261"/>
          <cell r="F261"/>
          <cell r="G261" t="str">
            <v>YES</v>
          </cell>
        </row>
        <row r="262">
          <cell r="A262" t="str">
            <v>KING TOWERS</v>
          </cell>
          <cell r="B262"/>
          <cell r="C262"/>
          <cell r="D262"/>
          <cell r="E262"/>
          <cell r="F262"/>
          <cell r="G262" t="str">
            <v>YES</v>
          </cell>
        </row>
        <row r="263">
          <cell r="A263" t="str">
            <v>KINGSBOROUGH EXTENSION</v>
          </cell>
          <cell r="B263"/>
          <cell r="C263"/>
          <cell r="D263"/>
          <cell r="E263"/>
          <cell r="F263"/>
          <cell r="G263" t="str">
            <v>YES</v>
          </cell>
        </row>
        <row r="264">
          <cell r="A264" t="str">
            <v>LAFAYETTE</v>
          </cell>
          <cell r="B264"/>
          <cell r="C264"/>
          <cell r="D264"/>
          <cell r="E264"/>
          <cell r="F264"/>
          <cell r="G264" t="str">
            <v>YES</v>
          </cell>
        </row>
        <row r="265">
          <cell r="A265" t="str">
            <v>LATIMER GARDENS</v>
          </cell>
          <cell r="B265"/>
          <cell r="C265"/>
          <cell r="D265"/>
          <cell r="E265"/>
          <cell r="F265"/>
          <cell r="G265" t="str">
            <v>YES</v>
          </cell>
        </row>
        <row r="266">
          <cell r="A266" t="str">
            <v>LEAVITT STREET-34TH AVENUE</v>
          </cell>
          <cell r="B266"/>
          <cell r="C266"/>
          <cell r="D266"/>
          <cell r="E266"/>
          <cell r="F266"/>
          <cell r="G266" t="str">
            <v>YES</v>
          </cell>
        </row>
        <row r="267">
          <cell r="A267" t="str">
            <v>LEHMAN VILLAGE</v>
          </cell>
          <cell r="B267"/>
          <cell r="C267"/>
          <cell r="D267"/>
          <cell r="E267"/>
          <cell r="F267"/>
          <cell r="G267" t="str">
            <v>YES</v>
          </cell>
        </row>
        <row r="268">
          <cell r="A268" t="str">
            <v>LONGFELLOW AVENUE REHAB</v>
          </cell>
          <cell r="B268"/>
          <cell r="C268"/>
          <cell r="D268"/>
          <cell r="E268"/>
          <cell r="F268"/>
          <cell r="G268" t="str">
            <v>YES</v>
          </cell>
        </row>
        <row r="269">
          <cell r="A269" t="str">
            <v>LOW HOUSES</v>
          </cell>
          <cell r="B269"/>
          <cell r="C269"/>
          <cell r="D269"/>
          <cell r="E269"/>
          <cell r="F269"/>
          <cell r="G269" t="str">
            <v>YES</v>
          </cell>
        </row>
        <row r="270">
          <cell r="A270" t="str">
            <v>LOWER EAST SIDE I INFILL</v>
          </cell>
          <cell r="B270"/>
          <cell r="C270"/>
          <cell r="D270"/>
          <cell r="E270"/>
          <cell r="F270"/>
          <cell r="G270" t="str">
            <v>YES</v>
          </cell>
        </row>
        <row r="271">
          <cell r="A271" t="str">
            <v>LOWER EAST SIDE III</v>
          </cell>
          <cell r="B271"/>
          <cell r="C271"/>
          <cell r="D271"/>
          <cell r="E271"/>
          <cell r="F271"/>
          <cell r="G271" t="str">
            <v>YES</v>
          </cell>
        </row>
        <row r="272">
          <cell r="A272" t="str">
            <v>MCKINLEY</v>
          </cell>
          <cell r="B272"/>
          <cell r="C272"/>
          <cell r="D272"/>
          <cell r="E272"/>
          <cell r="F272"/>
          <cell r="G272" t="str">
            <v>YES</v>
          </cell>
        </row>
        <row r="273">
          <cell r="A273" t="str">
            <v>MELTZER TOWER</v>
          </cell>
          <cell r="B273"/>
          <cell r="C273"/>
          <cell r="D273"/>
          <cell r="E273"/>
          <cell r="F273"/>
          <cell r="G273" t="str">
            <v>YES</v>
          </cell>
        </row>
        <row r="274">
          <cell r="A274" t="str">
            <v>METRO NORTH PLAZA</v>
          </cell>
          <cell r="B274"/>
          <cell r="C274"/>
          <cell r="D274"/>
          <cell r="E274"/>
          <cell r="F274"/>
          <cell r="G274" t="str">
            <v>YES</v>
          </cell>
        </row>
        <row r="275">
          <cell r="A275" t="str">
            <v>MOORE</v>
          </cell>
          <cell r="B275"/>
          <cell r="C275"/>
          <cell r="D275"/>
          <cell r="E275"/>
          <cell r="F275"/>
          <cell r="G275" t="str">
            <v>YES</v>
          </cell>
        </row>
        <row r="276">
          <cell r="A276" t="str">
            <v>MORRIS I</v>
          </cell>
          <cell r="B276"/>
          <cell r="C276"/>
          <cell r="D276"/>
          <cell r="E276"/>
          <cell r="F276"/>
          <cell r="G276" t="str">
            <v>YES</v>
          </cell>
        </row>
        <row r="277">
          <cell r="A277" t="str">
            <v>MORRIS II</v>
          </cell>
          <cell r="B277"/>
          <cell r="C277"/>
          <cell r="D277"/>
          <cell r="E277"/>
          <cell r="F277"/>
          <cell r="G277" t="str">
            <v>YES</v>
          </cell>
        </row>
        <row r="278">
          <cell r="A278" t="str">
            <v>MORRIS PARK SENIOR CITIZENS HOME</v>
          </cell>
          <cell r="B278"/>
          <cell r="C278"/>
          <cell r="D278"/>
          <cell r="E278"/>
          <cell r="F278"/>
          <cell r="G278" t="str">
            <v>YES</v>
          </cell>
        </row>
        <row r="279">
          <cell r="A279" t="str">
            <v>MORRISANIA</v>
          </cell>
          <cell r="B279"/>
          <cell r="C279"/>
          <cell r="D279"/>
          <cell r="E279"/>
          <cell r="F279"/>
          <cell r="G279" t="str">
            <v>YES</v>
          </cell>
        </row>
        <row r="280">
          <cell r="A280" t="str">
            <v>MORRISANIA AIR RIGHTS</v>
          </cell>
          <cell r="B280"/>
          <cell r="C280"/>
          <cell r="D280"/>
          <cell r="E280"/>
          <cell r="F280"/>
          <cell r="G280" t="str">
            <v>YES</v>
          </cell>
        </row>
        <row r="281">
          <cell r="A281" t="str">
            <v>MOTT HAVEN</v>
          </cell>
          <cell r="B281"/>
          <cell r="C281"/>
          <cell r="D281"/>
          <cell r="E281"/>
          <cell r="F281"/>
          <cell r="G281" t="str">
            <v>YES</v>
          </cell>
        </row>
        <row r="282">
          <cell r="A282" t="str">
            <v>NEW LANE AREA</v>
          </cell>
          <cell r="B282"/>
          <cell r="C282"/>
          <cell r="D282"/>
          <cell r="E282"/>
          <cell r="F282"/>
          <cell r="G282" t="str">
            <v>YES</v>
          </cell>
        </row>
        <row r="283">
          <cell r="A283" t="str">
            <v>OCEAN BAY APARTMENTS (OCEANSIDE)</v>
          </cell>
          <cell r="B283"/>
          <cell r="C283"/>
          <cell r="D283"/>
          <cell r="E283"/>
          <cell r="F283"/>
          <cell r="G283" t="str">
            <v>YES</v>
          </cell>
        </row>
        <row r="284">
          <cell r="A284" t="str">
            <v>OCEAN HILL APARTMENTS</v>
          </cell>
          <cell r="B284"/>
          <cell r="C284"/>
          <cell r="D284"/>
          <cell r="E284"/>
          <cell r="F284"/>
          <cell r="G284" t="str">
            <v>YES</v>
          </cell>
        </row>
        <row r="285">
          <cell r="A285" t="str">
            <v>O'DWYER GARDENS</v>
          </cell>
          <cell r="B285"/>
          <cell r="C285"/>
          <cell r="D285"/>
          <cell r="E285"/>
          <cell r="F285"/>
          <cell r="G285" t="str">
            <v>YES</v>
          </cell>
        </row>
        <row r="286">
          <cell r="A286" t="str">
            <v>PENNSYLVANIA AVENUE-WORTMAN AVENUE</v>
          </cell>
          <cell r="B286"/>
          <cell r="C286"/>
          <cell r="D286"/>
          <cell r="E286"/>
          <cell r="F286"/>
          <cell r="G286" t="str">
            <v>YES</v>
          </cell>
        </row>
        <row r="287">
          <cell r="A287" t="str">
            <v>PINK</v>
          </cell>
          <cell r="B287"/>
          <cell r="C287"/>
          <cell r="D287"/>
          <cell r="E287"/>
          <cell r="F287"/>
          <cell r="G287" t="str">
            <v>YES</v>
          </cell>
        </row>
        <row r="288">
          <cell r="A288" t="str">
            <v>QUEENSBRIDGE SOUTH</v>
          </cell>
          <cell r="B288"/>
          <cell r="C288"/>
          <cell r="D288"/>
          <cell r="E288"/>
          <cell r="F288"/>
          <cell r="G288" t="str">
            <v>YES</v>
          </cell>
        </row>
        <row r="289">
          <cell r="A289" t="str">
            <v>REHAB PROGRAM (WISE REHAB)</v>
          </cell>
          <cell r="B289"/>
          <cell r="C289"/>
          <cell r="D289"/>
          <cell r="E289"/>
          <cell r="F289"/>
          <cell r="G289" t="str">
            <v>YES</v>
          </cell>
        </row>
        <row r="290">
          <cell r="A290" t="str">
            <v>ROBBINS PLAZA</v>
          </cell>
          <cell r="B290"/>
          <cell r="C290"/>
          <cell r="D290"/>
          <cell r="E290"/>
          <cell r="F290"/>
          <cell r="G290" t="str">
            <v>YES</v>
          </cell>
        </row>
        <row r="291">
          <cell r="A291" t="str">
            <v>ROBINSON</v>
          </cell>
          <cell r="B291"/>
          <cell r="C291"/>
          <cell r="D291"/>
          <cell r="E291"/>
          <cell r="F291"/>
          <cell r="G291" t="str">
            <v>YES</v>
          </cell>
        </row>
        <row r="292">
          <cell r="A292" t="str">
            <v>ROOSEVELT I</v>
          </cell>
          <cell r="B292"/>
          <cell r="C292"/>
          <cell r="D292"/>
          <cell r="E292"/>
          <cell r="F292"/>
          <cell r="G292" t="str">
            <v>YES</v>
          </cell>
        </row>
        <row r="293">
          <cell r="A293" t="str">
            <v>ROOSEVELT II</v>
          </cell>
          <cell r="B293"/>
          <cell r="C293"/>
          <cell r="D293"/>
          <cell r="E293"/>
          <cell r="F293"/>
          <cell r="G293" t="str">
            <v>YES</v>
          </cell>
        </row>
        <row r="294">
          <cell r="A294" t="str">
            <v>RUTGERS</v>
          </cell>
          <cell r="B294"/>
          <cell r="C294"/>
          <cell r="D294"/>
          <cell r="E294"/>
          <cell r="F294"/>
          <cell r="G294" t="str">
            <v>YES</v>
          </cell>
        </row>
        <row r="295">
          <cell r="A295" t="str">
            <v>SAINT MARY'S PARK</v>
          </cell>
          <cell r="B295"/>
          <cell r="C295"/>
          <cell r="D295"/>
          <cell r="E295"/>
          <cell r="F295"/>
          <cell r="G295" t="str">
            <v>YES</v>
          </cell>
        </row>
        <row r="296">
          <cell r="A296" t="str">
            <v>SARATOGA VILLAGE</v>
          </cell>
          <cell r="B296"/>
          <cell r="C296"/>
          <cell r="D296"/>
          <cell r="E296"/>
          <cell r="F296"/>
          <cell r="G296" t="str">
            <v>YES</v>
          </cell>
        </row>
        <row r="297">
          <cell r="A297" t="str">
            <v>SHELTON HOUSE</v>
          </cell>
          <cell r="B297"/>
          <cell r="C297"/>
          <cell r="D297"/>
          <cell r="E297"/>
          <cell r="F297"/>
          <cell r="G297" t="str">
            <v>YES</v>
          </cell>
        </row>
        <row r="298">
          <cell r="A298" t="str">
            <v>STANTON STREET</v>
          </cell>
          <cell r="B298"/>
          <cell r="C298"/>
          <cell r="D298"/>
          <cell r="E298"/>
          <cell r="F298"/>
          <cell r="G298" t="str">
            <v>YES</v>
          </cell>
        </row>
        <row r="299">
          <cell r="A299" t="str">
            <v>STUYVESANT GARDENS II</v>
          </cell>
          <cell r="B299"/>
          <cell r="C299"/>
          <cell r="D299"/>
          <cell r="E299"/>
          <cell r="F299"/>
          <cell r="G299" t="str">
            <v>YES</v>
          </cell>
        </row>
        <row r="300">
          <cell r="A300" t="str">
            <v>TAFT</v>
          </cell>
          <cell r="B300"/>
          <cell r="C300"/>
          <cell r="D300"/>
          <cell r="E300"/>
          <cell r="F300"/>
          <cell r="G300" t="str">
            <v>YES</v>
          </cell>
        </row>
        <row r="301">
          <cell r="A301" t="str">
            <v>TAYLOR STREET-WYTHE AVENUE</v>
          </cell>
          <cell r="B301"/>
          <cell r="C301"/>
          <cell r="D301"/>
          <cell r="E301"/>
          <cell r="F301"/>
          <cell r="G301" t="str">
            <v>YES</v>
          </cell>
        </row>
        <row r="302">
          <cell r="A302" t="str">
            <v>THOMAS APARTMENTS</v>
          </cell>
          <cell r="B302"/>
          <cell r="C302"/>
          <cell r="D302"/>
          <cell r="E302"/>
          <cell r="F302"/>
          <cell r="G302" t="str">
            <v>YES</v>
          </cell>
        </row>
        <row r="303">
          <cell r="A303" t="str">
            <v>TILDEN</v>
          </cell>
          <cell r="B303"/>
          <cell r="C303"/>
          <cell r="D303"/>
          <cell r="E303"/>
          <cell r="F303"/>
          <cell r="G303" t="str">
            <v>YES</v>
          </cell>
        </row>
        <row r="304">
          <cell r="A304" t="str">
            <v>TOMPKINS</v>
          </cell>
          <cell r="B304"/>
          <cell r="C304"/>
          <cell r="D304"/>
          <cell r="E304"/>
          <cell r="F304"/>
          <cell r="G304" t="str">
            <v>YES</v>
          </cell>
        </row>
        <row r="305">
          <cell r="A305" t="str">
            <v>TWIN PARKS EAST (SITE 9)</v>
          </cell>
          <cell r="B305"/>
          <cell r="C305"/>
          <cell r="D305"/>
          <cell r="E305"/>
          <cell r="F305"/>
          <cell r="G305" t="str">
            <v>YES</v>
          </cell>
        </row>
        <row r="306">
          <cell r="A306" t="str">
            <v>TWO BRIDGES URA (SITE 7)</v>
          </cell>
          <cell r="B306"/>
          <cell r="C306"/>
          <cell r="D306"/>
          <cell r="E306"/>
          <cell r="F306"/>
          <cell r="G306" t="str">
            <v>YES</v>
          </cell>
        </row>
        <row r="307">
          <cell r="A307" t="str">
            <v>UPACA (SITE 5)</v>
          </cell>
          <cell r="B307"/>
          <cell r="C307"/>
          <cell r="D307"/>
          <cell r="E307"/>
          <cell r="F307"/>
          <cell r="G307" t="str">
            <v>YES</v>
          </cell>
        </row>
        <row r="308">
          <cell r="A308" t="str">
            <v>UPACA (SITE 6)</v>
          </cell>
          <cell r="B308"/>
          <cell r="C308"/>
          <cell r="D308"/>
          <cell r="E308"/>
          <cell r="F308"/>
          <cell r="G308" t="str">
            <v>YES</v>
          </cell>
        </row>
        <row r="309">
          <cell r="A309" t="str">
            <v>VAN DYKE II</v>
          </cell>
          <cell r="B309"/>
          <cell r="C309"/>
          <cell r="D309"/>
          <cell r="E309"/>
          <cell r="F309"/>
          <cell r="G309" t="str">
            <v>YES</v>
          </cell>
        </row>
        <row r="310">
          <cell r="A310" t="str">
            <v>VANDALIA AVENUE</v>
          </cell>
          <cell r="B310"/>
          <cell r="C310"/>
          <cell r="D310"/>
          <cell r="E310"/>
          <cell r="F310"/>
          <cell r="G310" t="str">
            <v>YES</v>
          </cell>
        </row>
        <row r="311">
          <cell r="A311" t="str">
            <v>VLADECK</v>
          </cell>
          <cell r="B311"/>
          <cell r="C311"/>
          <cell r="D311"/>
          <cell r="E311"/>
          <cell r="F311"/>
          <cell r="G311" t="str">
            <v>YES</v>
          </cell>
        </row>
        <row r="312">
          <cell r="A312" t="str">
            <v>VLADECK II</v>
          </cell>
          <cell r="B312"/>
          <cell r="C312"/>
          <cell r="D312"/>
          <cell r="E312"/>
          <cell r="F312"/>
          <cell r="G312" t="str">
            <v>YES</v>
          </cell>
        </row>
        <row r="313">
          <cell r="A313" t="str">
            <v>WAGNER</v>
          </cell>
          <cell r="B313"/>
          <cell r="C313"/>
          <cell r="D313"/>
          <cell r="E313"/>
          <cell r="F313"/>
          <cell r="G313" t="str">
            <v>YES</v>
          </cell>
        </row>
        <row r="314">
          <cell r="A314" t="str">
            <v>WEST BRIGHTON I</v>
          </cell>
          <cell r="B314"/>
          <cell r="C314"/>
          <cell r="D314"/>
          <cell r="E314"/>
          <cell r="F314"/>
          <cell r="G314" t="str">
            <v>YES</v>
          </cell>
        </row>
        <row r="315">
          <cell r="A315" t="str">
            <v>WEST BRIGHTON II</v>
          </cell>
          <cell r="B315"/>
          <cell r="C315"/>
          <cell r="D315"/>
          <cell r="E315"/>
          <cell r="F315"/>
          <cell r="G315" t="str">
            <v>YES</v>
          </cell>
        </row>
        <row r="316">
          <cell r="A316" t="str">
            <v>WEST FARMS ROAD REHAB</v>
          </cell>
          <cell r="B316"/>
          <cell r="C316"/>
          <cell r="D316"/>
          <cell r="E316"/>
          <cell r="F316"/>
          <cell r="G316" t="str">
            <v>YES</v>
          </cell>
        </row>
        <row r="317">
          <cell r="A317" t="str">
            <v>WEST FARMS SQUARE CONVENTIONAL</v>
          </cell>
          <cell r="B317"/>
          <cell r="C317"/>
          <cell r="D317"/>
          <cell r="E317"/>
          <cell r="F317"/>
          <cell r="G317" t="str">
            <v>YES</v>
          </cell>
        </row>
        <row r="318">
          <cell r="A318" t="str">
            <v>WEST TREMONT AVENUE-SEDGWICK AVENUE AREA</v>
          </cell>
          <cell r="B318"/>
          <cell r="C318"/>
          <cell r="D318"/>
          <cell r="E318"/>
          <cell r="F318"/>
          <cell r="G318" t="str">
            <v>YES</v>
          </cell>
        </row>
        <row r="319">
          <cell r="A319" t="str">
            <v>WHITE</v>
          </cell>
          <cell r="B319"/>
          <cell r="C319"/>
          <cell r="D319"/>
          <cell r="E319"/>
          <cell r="F319"/>
          <cell r="G319" t="str">
            <v>YES</v>
          </cell>
        </row>
        <row r="320">
          <cell r="A320" t="str">
            <v>WHITMAN</v>
          </cell>
          <cell r="B320"/>
          <cell r="C320"/>
          <cell r="D320"/>
          <cell r="E320"/>
          <cell r="F320"/>
          <cell r="G320" t="str">
            <v>YES</v>
          </cell>
        </row>
        <row r="321">
          <cell r="A321" t="str">
            <v>WOODSON</v>
          </cell>
          <cell r="B321"/>
          <cell r="C321"/>
          <cell r="D321"/>
          <cell r="E321"/>
          <cell r="F321"/>
          <cell r="G321" t="str">
            <v>YES</v>
          </cell>
        </row>
        <row r="322">
          <cell r="A322" t="str">
            <v>WSUR (BROWNSTONES)</v>
          </cell>
          <cell r="B322"/>
          <cell r="C322"/>
          <cell r="D322"/>
          <cell r="E322"/>
          <cell r="F322"/>
          <cell r="G322" t="str">
            <v>YES</v>
          </cell>
        </row>
        <row r="323">
          <cell r="A323" t="str">
            <v>WSUR (SITE B) 74 WEST 92ND STREET</v>
          </cell>
          <cell r="B323"/>
          <cell r="C323"/>
          <cell r="D323"/>
          <cell r="E323"/>
          <cell r="F323"/>
          <cell r="G323" t="str">
            <v>YES</v>
          </cell>
        </row>
        <row r="324">
          <cell r="A324" t="str">
            <v>WSUR (SITE C) 589 AMSTERDAM AVENUE</v>
          </cell>
          <cell r="B324"/>
          <cell r="C324"/>
          <cell r="D324"/>
          <cell r="E324"/>
          <cell r="F324"/>
          <cell r="G324" t="str">
            <v>YES</v>
          </cell>
        </row>
        <row r="325">
          <cell r="A325" t="str">
            <v>WYCKOFF GARDENS</v>
          </cell>
          <cell r="B325"/>
          <cell r="C325"/>
          <cell r="D325"/>
          <cell r="E325"/>
          <cell r="F325"/>
          <cell r="G325" t="str">
            <v>YES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Sheet1"/>
      <sheetName val="NEW INTERIOR-EXT"/>
    </sheetNames>
    <sheetDataSet>
      <sheetData sheetId="0"/>
      <sheetData sheetId="1" refreshError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SNY list 07.30.19"/>
      <sheetName val="DSNY Compactor Notes"/>
    </sheet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Base Chars (NoDispos)"/>
      <sheetName val="2017 PNA 3-18-19"/>
      <sheetName val="Pivot"/>
      <sheetName val="Static Ext by TDS"/>
      <sheetName val="Static Int by TDS"/>
      <sheetName val="Base Chars"/>
      <sheetName val="CPD-REDD Programs"/>
      <sheetName val="NYCHA_Development_Data_Boo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s"/>
      <sheetName val="Notes"/>
      <sheetName val="Sheet1"/>
    </sheetNames>
    <sheetDataSet>
      <sheetData sheetId="0">
        <row r="2">
          <cell r="A2" t="str">
            <v>1010 EAST 178TH STREET</v>
          </cell>
        </row>
        <row r="3">
          <cell r="A3" t="str">
            <v>104-14 TAPSCOTT STREET</v>
          </cell>
        </row>
        <row r="4">
          <cell r="A4" t="str">
            <v>1162-1176 WASHINGTON AVENUE</v>
          </cell>
        </row>
        <row r="5">
          <cell r="A5" t="str">
            <v>131 SAINT NICHOLAS AVENUE</v>
          </cell>
        </row>
        <row r="6">
          <cell r="A6" t="str">
            <v>1471 WATSON AVENUE</v>
          </cell>
        </row>
        <row r="7">
          <cell r="A7" t="str">
            <v>154 WEST 84TH STREET</v>
          </cell>
        </row>
        <row r="8">
          <cell r="A8" t="str">
            <v>303 VERNON AVENUE</v>
          </cell>
        </row>
        <row r="9">
          <cell r="A9" t="str">
            <v>335 EAST 111TH STREET</v>
          </cell>
        </row>
        <row r="10">
          <cell r="A10" t="str">
            <v>344 EAST 28TH STREET</v>
          </cell>
        </row>
        <row r="11">
          <cell r="A11" t="str">
            <v>45 ALLEN STREET</v>
          </cell>
        </row>
        <row r="12">
          <cell r="A12" t="str">
            <v>572 WARREN STREET</v>
          </cell>
        </row>
        <row r="13">
          <cell r="A13" t="str">
            <v>830 AMSTERDAM AVENUE</v>
          </cell>
        </row>
        <row r="14">
          <cell r="A14" t="str">
            <v>ADAMS</v>
          </cell>
        </row>
        <row r="15">
          <cell r="A15" t="str">
            <v>ALBANY</v>
          </cell>
        </row>
        <row r="16">
          <cell r="A16" t="str">
            <v>ALBANY II</v>
          </cell>
        </row>
        <row r="17">
          <cell r="A17" t="str">
            <v>AMSTERDAM</v>
          </cell>
        </row>
        <row r="18">
          <cell r="A18" t="str">
            <v>AMSTERDAM ADDITION</v>
          </cell>
        </row>
        <row r="19">
          <cell r="A19" t="str">
            <v>ARMSTRONG I</v>
          </cell>
        </row>
        <row r="20">
          <cell r="A20" t="str">
            <v>ARMSTRONG II</v>
          </cell>
        </row>
        <row r="21">
          <cell r="A21" t="str">
            <v>ASTORIA</v>
          </cell>
        </row>
        <row r="22">
          <cell r="A22" t="str">
            <v>ATLANTIC TERMINAL SITE 4B</v>
          </cell>
        </row>
        <row r="23">
          <cell r="A23" t="str">
            <v>AUDUBON</v>
          </cell>
        </row>
        <row r="24">
          <cell r="A24" t="str">
            <v>BAILEY AVENUE-WEST 193RD STREET</v>
          </cell>
        </row>
        <row r="25">
          <cell r="A25" t="str">
            <v>BAISLEY PARK</v>
          </cell>
        </row>
        <row r="26">
          <cell r="A26" t="str">
            <v>BARUCH</v>
          </cell>
        </row>
        <row r="27">
          <cell r="A27" t="str">
            <v>BARUCH HOUSES ADDITION</v>
          </cell>
        </row>
        <row r="28">
          <cell r="A28" t="str">
            <v>BAY VIEW</v>
          </cell>
        </row>
        <row r="29">
          <cell r="A29" t="str">
            <v>BEACH 41ST STREET-BEACH CHANNEL DRIVE</v>
          </cell>
        </row>
        <row r="30">
          <cell r="A30" t="str">
            <v>BEDFORD-STUYVESANT REHAB</v>
          </cell>
        </row>
        <row r="31">
          <cell r="A31" t="str">
            <v>BELMONT-SUTTER AREA</v>
          </cell>
        </row>
        <row r="32">
          <cell r="A32" t="str">
            <v>BERRY</v>
          </cell>
        </row>
        <row r="33">
          <cell r="A33" t="str">
            <v>BERRY STREET-SOUTH 9TH STREET</v>
          </cell>
        </row>
        <row r="34">
          <cell r="A34" t="str">
            <v>BETHUNE GARDENS</v>
          </cell>
        </row>
        <row r="35">
          <cell r="A35" t="str">
            <v>BLAND</v>
          </cell>
        </row>
        <row r="36">
          <cell r="A36" t="str">
            <v>BORINQUEN PLAZA I</v>
          </cell>
        </row>
        <row r="37">
          <cell r="A37" t="str">
            <v>BORINQUEN PLAZA II</v>
          </cell>
        </row>
        <row r="38">
          <cell r="A38" t="str">
            <v>BOSTON ROAD PLAZA</v>
          </cell>
        </row>
        <row r="39">
          <cell r="A39" t="str">
            <v>BOSTON SECOR</v>
          </cell>
        </row>
        <row r="40">
          <cell r="A40" t="str">
            <v>BOULEVARD</v>
          </cell>
        </row>
        <row r="41">
          <cell r="A41" t="str">
            <v>BOYNTON AVENUE REHAB</v>
          </cell>
        </row>
        <row r="42">
          <cell r="A42" t="str">
            <v>BRACETTI PLAZA</v>
          </cell>
        </row>
        <row r="43">
          <cell r="A43" t="str">
            <v>BREUKELEN</v>
          </cell>
        </row>
        <row r="44">
          <cell r="A44" t="str">
            <v>BREVOORT</v>
          </cell>
        </row>
        <row r="45">
          <cell r="A45" t="str">
            <v>BRONX RIVER</v>
          </cell>
        </row>
        <row r="46">
          <cell r="A46" t="str">
            <v>BRONX RIVER ADDITION</v>
          </cell>
        </row>
        <row r="47">
          <cell r="A47" t="str">
            <v>BROWN</v>
          </cell>
        </row>
        <row r="48">
          <cell r="A48" t="str">
            <v>BROWNSVILLE</v>
          </cell>
        </row>
        <row r="49">
          <cell r="A49" t="str">
            <v>BRYANT AVENUE-EAST 174TH STREET</v>
          </cell>
        </row>
        <row r="50">
          <cell r="A50" t="str">
            <v>BUSHWICK</v>
          </cell>
        </row>
        <row r="51">
          <cell r="A51" t="str">
            <v>BUTLER</v>
          </cell>
        </row>
        <row r="52">
          <cell r="A52" t="str">
            <v>CAMPOS PLAZA II</v>
          </cell>
        </row>
        <row r="53">
          <cell r="A53" t="str">
            <v>CAREY GARDENS</v>
          </cell>
        </row>
        <row r="54">
          <cell r="A54" t="str">
            <v>CARLETON MANOR</v>
          </cell>
        </row>
        <row r="55">
          <cell r="A55" t="str">
            <v>CARVER</v>
          </cell>
        </row>
        <row r="56">
          <cell r="A56" t="str">
            <v>CASSIDY-LAFAYETTE</v>
          </cell>
        </row>
        <row r="57">
          <cell r="A57" t="str">
            <v>CASTLE HILL</v>
          </cell>
        </row>
        <row r="58">
          <cell r="A58" t="str">
            <v>CHELSEA</v>
          </cell>
        </row>
        <row r="59">
          <cell r="A59" t="str">
            <v>CHELSEA ADDITION</v>
          </cell>
        </row>
        <row r="60">
          <cell r="A60" t="str">
            <v>CLAREMONT PARKWAY-FRANKLIN AVENUE</v>
          </cell>
        </row>
        <row r="61">
          <cell r="A61" t="str">
            <v>CLAREMONT REHAB (GROUP 2)</v>
          </cell>
        </row>
        <row r="62">
          <cell r="A62" t="str">
            <v>CLAREMONT REHAB (GROUP 3)</v>
          </cell>
        </row>
        <row r="63">
          <cell r="A63" t="str">
            <v>CLAREMONT REHAB (GROUP 4)</v>
          </cell>
        </row>
        <row r="64">
          <cell r="A64" t="str">
            <v>CLAREMONT REHAB (GROUP 5)</v>
          </cell>
        </row>
        <row r="65">
          <cell r="A65" t="str">
            <v>CLASON POINT GARDENS</v>
          </cell>
        </row>
        <row r="66">
          <cell r="A66" t="str">
            <v>CLINTON</v>
          </cell>
        </row>
        <row r="67">
          <cell r="A67" t="str">
            <v>COLLEGE AVENUE-EAST 165TH STREET</v>
          </cell>
        </row>
        <row r="68">
          <cell r="A68" t="str">
            <v>CONEY ISLAND</v>
          </cell>
        </row>
        <row r="69">
          <cell r="A69" t="str">
            <v>CONEY ISLAND I (SITE 1B)</v>
          </cell>
        </row>
        <row r="70">
          <cell r="A70" t="str">
            <v>CONEY ISLAND I (SITE 8)</v>
          </cell>
        </row>
        <row r="71">
          <cell r="A71" t="str">
            <v>CONEY ISLAND I (SITES 4 &amp; 5)</v>
          </cell>
        </row>
        <row r="72">
          <cell r="A72" t="str">
            <v>CONLON LIHFE TOWER</v>
          </cell>
        </row>
        <row r="73">
          <cell r="A73" t="str">
            <v>COOPER PARK</v>
          </cell>
        </row>
        <row r="74">
          <cell r="A74" t="str">
            <v>CORSI HOUSES</v>
          </cell>
        </row>
        <row r="75">
          <cell r="A75" t="str">
            <v>CROWN HEIGHTS</v>
          </cell>
        </row>
        <row r="76">
          <cell r="A76" t="str">
            <v>CYPRESS HILLS</v>
          </cell>
        </row>
        <row r="77">
          <cell r="A77" t="str">
            <v>DAVIDSON</v>
          </cell>
        </row>
        <row r="78">
          <cell r="A78" t="str">
            <v>DE HOSTOS APARTMENTS</v>
          </cell>
        </row>
        <row r="79">
          <cell r="A79" t="str">
            <v>DOUGLASS ADDITION</v>
          </cell>
        </row>
        <row r="80">
          <cell r="A80" t="str">
            <v>DOUGLASS I</v>
          </cell>
        </row>
        <row r="81">
          <cell r="A81" t="str">
            <v>DOUGLASS II</v>
          </cell>
        </row>
        <row r="82">
          <cell r="A82" t="str">
            <v>DREW-HAMILTON</v>
          </cell>
        </row>
        <row r="83">
          <cell r="A83" t="str">
            <v>DYCKMAN</v>
          </cell>
        </row>
        <row r="84">
          <cell r="A84" t="str">
            <v>EAGLE AVENUE-EAST 163RD STREET</v>
          </cell>
        </row>
        <row r="85">
          <cell r="A85" t="str">
            <v>EAST 152ND STREET-COURTLANDT AVENUE</v>
          </cell>
        </row>
        <row r="86">
          <cell r="A86" t="str">
            <v>EAST 165TH STREET-BRYANT AVENUE</v>
          </cell>
        </row>
        <row r="87">
          <cell r="A87" t="str">
            <v>EAST 173RD STREET-VYSE AVENUE</v>
          </cell>
        </row>
        <row r="88">
          <cell r="A88" t="str">
            <v>EAST 180TH STREET-MONTEREY AVENUE</v>
          </cell>
        </row>
        <row r="89">
          <cell r="A89" t="str">
            <v>EAST NEW YORK CITY LINE</v>
          </cell>
        </row>
        <row r="90">
          <cell r="A90" t="str">
            <v>EAST RIVER</v>
          </cell>
        </row>
        <row r="91">
          <cell r="A91" t="str">
            <v>EASTCHESTER GARDENS</v>
          </cell>
        </row>
        <row r="92">
          <cell r="A92" t="str">
            <v>EDENWALD</v>
          </cell>
        </row>
        <row r="93">
          <cell r="A93" t="str">
            <v>ELLIOTT</v>
          </cell>
        </row>
        <row r="94">
          <cell r="A94" t="str">
            <v>FARRAGUT</v>
          </cell>
        </row>
        <row r="95">
          <cell r="A95" t="str">
            <v>FENIMORE-LEFFERTS</v>
          </cell>
        </row>
        <row r="96">
          <cell r="A96" t="str">
            <v>FHA REPOSSESSED HOUSES (GROUP I)</v>
          </cell>
        </row>
        <row r="97">
          <cell r="A97" t="str">
            <v>FHA REPOSSESSED HOUSES (GROUP II)</v>
          </cell>
        </row>
        <row r="98">
          <cell r="A98" t="str">
            <v>FHA REPOSSESSED HOUSES (GROUP III)</v>
          </cell>
        </row>
        <row r="99">
          <cell r="A99" t="str">
            <v>FHA REPOSSESSED HOUSES (GROUP IV)</v>
          </cell>
        </row>
        <row r="100">
          <cell r="A100" t="str">
            <v>FHA REPOSSESSED HOUSES (GROUP IX)</v>
          </cell>
        </row>
        <row r="101">
          <cell r="A101" t="str">
            <v>FHA REPOSSESSED HOUSES (GROUP V)</v>
          </cell>
        </row>
        <row r="102">
          <cell r="A102" t="str">
            <v>FHA REPOSSESSED HOUSES (GROUP VI)</v>
          </cell>
        </row>
        <row r="103">
          <cell r="A103" t="str">
            <v>FHA REPOSSESSED HOUSES (GROUP VII)</v>
          </cell>
        </row>
        <row r="104">
          <cell r="A104" t="str">
            <v>FHA REPOSSESSED HOUSES (GROUP VIII)</v>
          </cell>
        </row>
        <row r="105">
          <cell r="A105" t="str">
            <v>FHA REPOSSESSED HOUSES (GROUP X)</v>
          </cell>
        </row>
        <row r="106">
          <cell r="A106" t="str">
            <v>FIORENTINO PLAZA</v>
          </cell>
        </row>
        <row r="107">
          <cell r="A107" t="str">
            <v>FIRST HOUSES</v>
          </cell>
        </row>
        <row r="108">
          <cell r="A108" t="str">
            <v>FOREST</v>
          </cell>
        </row>
        <row r="109">
          <cell r="A109" t="str">
            <v>FORT INDEPENDENCE STREET-HEATH AVENUE</v>
          </cell>
        </row>
        <row r="110">
          <cell r="A110" t="str">
            <v>FORT WASHINGTON AVENUE REHAB</v>
          </cell>
        </row>
        <row r="111">
          <cell r="A111" t="str">
            <v>FULTON</v>
          </cell>
        </row>
        <row r="112">
          <cell r="A112" t="str">
            <v>GARVEY (GROUP A)</v>
          </cell>
        </row>
        <row r="113">
          <cell r="A113" t="str">
            <v>GLEBE AVENUE-WESTCHESTER AVENUE</v>
          </cell>
        </row>
        <row r="114">
          <cell r="A114" t="str">
            <v>GLENMORE PLAZA</v>
          </cell>
        </row>
        <row r="115">
          <cell r="A115" t="str">
            <v>GLENWOOD</v>
          </cell>
        </row>
        <row r="116">
          <cell r="A116" t="str">
            <v>GOMPERS</v>
          </cell>
        </row>
        <row r="117">
          <cell r="A117" t="str">
            <v>GOWANUS</v>
          </cell>
        </row>
        <row r="118">
          <cell r="A118" t="str">
            <v>GRAMPION</v>
          </cell>
        </row>
        <row r="119">
          <cell r="A119" t="str">
            <v>GRANT</v>
          </cell>
        </row>
        <row r="120">
          <cell r="A120" t="str">
            <v>GRAVESEND</v>
          </cell>
        </row>
        <row r="121">
          <cell r="A121" t="str">
            <v>GUN HILL</v>
          </cell>
        </row>
        <row r="122">
          <cell r="A122" t="str">
            <v>HABER</v>
          </cell>
        </row>
        <row r="123">
          <cell r="A123" t="str">
            <v>HAMMEL</v>
          </cell>
        </row>
        <row r="124">
          <cell r="A124" t="str">
            <v>HARBORVIEW TERRACE</v>
          </cell>
        </row>
        <row r="125">
          <cell r="A125" t="str">
            <v>HARLEM RIVER</v>
          </cell>
        </row>
        <row r="126">
          <cell r="A126" t="str">
            <v>HARLEM RIVER II</v>
          </cell>
        </row>
        <row r="127">
          <cell r="A127" t="str">
            <v>HARRISON AVENUE REHAB (GROUP A)</v>
          </cell>
        </row>
        <row r="128">
          <cell r="A128" t="str">
            <v>HARRISON AVENUE REHAB (GROUP B)</v>
          </cell>
        </row>
        <row r="129">
          <cell r="A129" t="str">
            <v>HERNANDEZ</v>
          </cell>
        </row>
        <row r="130">
          <cell r="A130" t="str">
            <v>HIGHBRIDGE GARDENS</v>
          </cell>
        </row>
        <row r="131">
          <cell r="A131" t="str">
            <v>HOE AVENUE-EAST 173RD STREET</v>
          </cell>
        </row>
        <row r="132">
          <cell r="A132" t="str">
            <v>HOLMES TOWERS</v>
          </cell>
        </row>
        <row r="133">
          <cell r="A133" t="str">
            <v>HOWARD</v>
          </cell>
        </row>
        <row r="134">
          <cell r="A134" t="str">
            <v>HOWARD AVENUE</v>
          </cell>
        </row>
        <row r="135">
          <cell r="A135" t="str">
            <v>HOWARD AVENUE-PARK PLACE</v>
          </cell>
        </row>
        <row r="136">
          <cell r="A136" t="str">
            <v>HUGHES APARTMENTS</v>
          </cell>
        </row>
        <row r="137">
          <cell r="A137" t="str">
            <v>HUNTS POINT AVENUE REHAB</v>
          </cell>
        </row>
        <row r="138">
          <cell r="A138" t="str">
            <v>HYLAN</v>
          </cell>
        </row>
        <row r="139">
          <cell r="A139" t="str">
            <v>INDEPENDENCE</v>
          </cell>
        </row>
        <row r="140">
          <cell r="A140" t="str">
            <v>INGERSOLL</v>
          </cell>
        </row>
        <row r="141">
          <cell r="A141" t="str">
            <v>INTERNATIONAL TOWER</v>
          </cell>
        </row>
        <row r="142">
          <cell r="A142" t="str">
            <v>ISAACS</v>
          </cell>
        </row>
        <row r="143">
          <cell r="A143" t="str">
            <v>JACKSON</v>
          </cell>
        </row>
        <row r="144">
          <cell r="A144" t="str">
            <v>JEFFERSON</v>
          </cell>
        </row>
        <row r="145">
          <cell r="A145" t="str">
            <v>JOHNSON</v>
          </cell>
        </row>
        <row r="146">
          <cell r="A146" t="str">
            <v>KING TOWERS</v>
          </cell>
        </row>
        <row r="147">
          <cell r="A147" t="str">
            <v>KINGSBOROUGH</v>
          </cell>
        </row>
        <row r="148">
          <cell r="A148" t="str">
            <v>KINGSBOROUGH EXTENSION</v>
          </cell>
        </row>
        <row r="149">
          <cell r="A149" t="str">
            <v>LA GUARDIA</v>
          </cell>
        </row>
        <row r="150">
          <cell r="A150" t="str">
            <v>LA GUARDIA ADDITION</v>
          </cell>
        </row>
        <row r="151">
          <cell r="A151" t="str">
            <v>LAFAYETTE</v>
          </cell>
        </row>
        <row r="152">
          <cell r="A152" t="str">
            <v>LATIMER GARDENS</v>
          </cell>
        </row>
        <row r="153">
          <cell r="A153" t="str">
            <v>LEAVITT STREET-34TH AVENUE</v>
          </cell>
        </row>
        <row r="154">
          <cell r="A154" t="str">
            <v>LEHMAN VILLAGE</v>
          </cell>
        </row>
        <row r="155">
          <cell r="A155" t="str">
            <v>LENOX ROAD-ROCKAWAY PARKWAY</v>
          </cell>
        </row>
        <row r="156">
          <cell r="A156" t="str">
            <v>LEXINGTON</v>
          </cell>
        </row>
        <row r="157">
          <cell r="A157" t="str">
            <v>LINCOLN</v>
          </cell>
        </row>
        <row r="158">
          <cell r="A158" t="str">
            <v>LINDEN</v>
          </cell>
        </row>
        <row r="159">
          <cell r="A159" t="str">
            <v>LONG ISLAND BAPTIST HOUSES</v>
          </cell>
        </row>
        <row r="160">
          <cell r="A160" t="str">
            <v>LONGFELLOW AVENUE REHAB</v>
          </cell>
        </row>
        <row r="161">
          <cell r="A161" t="str">
            <v>LOW HOUSES</v>
          </cell>
        </row>
        <row r="162">
          <cell r="A162" t="str">
            <v>LOWER EAST SIDE I INFILL</v>
          </cell>
        </row>
        <row r="163">
          <cell r="A163" t="str">
            <v>LOWER EAST SIDE II</v>
          </cell>
        </row>
        <row r="164">
          <cell r="A164" t="str">
            <v>LOWER EAST SIDE III</v>
          </cell>
        </row>
        <row r="165">
          <cell r="A165" t="str">
            <v>LOWER EAST SIDE REHAB (GROUP 5)</v>
          </cell>
        </row>
        <row r="166">
          <cell r="A166" t="str">
            <v>MANHATTANVILLE</v>
          </cell>
        </row>
        <row r="167">
          <cell r="A167" t="str">
            <v>MANHATTANVILLE REHAB (GROUP 2)</v>
          </cell>
        </row>
        <row r="168">
          <cell r="A168" t="str">
            <v>MANHATTANVILLE REHAB (GROUP 3)</v>
          </cell>
        </row>
        <row r="169">
          <cell r="A169" t="str">
            <v>MARBLE HILL</v>
          </cell>
        </row>
        <row r="170">
          <cell r="A170" t="str">
            <v>MARCY</v>
          </cell>
        </row>
        <row r="171">
          <cell r="A171" t="str">
            <v>MARCY AVENUE-GREENE AVENUE SITE A</v>
          </cell>
        </row>
        <row r="172">
          <cell r="A172" t="str">
            <v>MARCY AVENUE-GREENE AVENUE SITE B</v>
          </cell>
        </row>
        <row r="173">
          <cell r="A173" t="str">
            <v>MARINER'S HARBOR</v>
          </cell>
        </row>
        <row r="174">
          <cell r="A174" t="str">
            <v>MARLBORO</v>
          </cell>
        </row>
        <row r="175">
          <cell r="A175" t="str">
            <v>MARSHALL PLAZA</v>
          </cell>
        </row>
        <row r="176">
          <cell r="A176" t="str">
            <v>MCKINLEY</v>
          </cell>
        </row>
        <row r="177">
          <cell r="A177" t="str">
            <v>MELROSE</v>
          </cell>
        </row>
        <row r="178">
          <cell r="A178" t="str">
            <v>MELTZER TOWER</v>
          </cell>
        </row>
        <row r="179">
          <cell r="A179" t="str">
            <v>METRO NORTH PLAZA</v>
          </cell>
        </row>
        <row r="180">
          <cell r="A180" t="str">
            <v>MIDDLETOWN PLAZA</v>
          </cell>
        </row>
        <row r="181">
          <cell r="A181" t="str">
            <v>MILL BROOK</v>
          </cell>
        </row>
        <row r="182">
          <cell r="A182" t="str">
            <v>MILL BROOK EXTENSION</v>
          </cell>
        </row>
        <row r="183">
          <cell r="A183" t="str">
            <v>MITCHEL</v>
          </cell>
        </row>
        <row r="184">
          <cell r="A184" t="str">
            <v>MONROE</v>
          </cell>
        </row>
        <row r="185">
          <cell r="A185" t="str">
            <v>MOORE</v>
          </cell>
        </row>
        <row r="186">
          <cell r="A186" t="str">
            <v>MORRIS I</v>
          </cell>
        </row>
        <row r="187">
          <cell r="A187" t="str">
            <v>MORRIS II</v>
          </cell>
        </row>
        <row r="188">
          <cell r="A188" t="str">
            <v>MORRIS PARK SENIOR CITIZENS HOME</v>
          </cell>
        </row>
        <row r="189">
          <cell r="A189" t="str">
            <v>MORRISANIA</v>
          </cell>
        </row>
        <row r="190">
          <cell r="A190" t="str">
            <v>MORRISANIA AIR RIGHTS</v>
          </cell>
        </row>
        <row r="191">
          <cell r="A191" t="str">
            <v>MOTT HAVEN</v>
          </cell>
        </row>
        <row r="192">
          <cell r="A192" t="str">
            <v>NEW LANE AREA</v>
          </cell>
        </row>
        <row r="193">
          <cell r="A193" t="str">
            <v>NOSTRAND</v>
          </cell>
        </row>
        <row r="194">
          <cell r="A194" t="str">
            <v>OCEAN BAY APARTMENTS (OCEANSIDE)</v>
          </cell>
        </row>
        <row r="195">
          <cell r="A195" t="str">
            <v>OCEAN HILL APARTMENTS</v>
          </cell>
        </row>
        <row r="196">
          <cell r="A196" t="str">
            <v>OCEAN HILL-BROWNSVILLE</v>
          </cell>
        </row>
        <row r="197">
          <cell r="A197" t="str">
            <v>O'DWYER GARDENS</v>
          </cell>
        </row>
        <row r="198">
          <cell r="A198" t="str">
            <v>PARK AVENUE-EAST 122ND, 123RD STREETS</v>
          </cell>
        </row>
        <row r="199">
          <cell r="A199" t="str">
            <v>PARK ROCK REHAB</v>
          </cell>
        </row>
        <row r="200">
          <cell r="A200" t="str">
            <v>PARKSIDE</v>
          </cell>
        </row>
        <row r="201">
          <cell r="A201" t="str">
            <v>PATTERSON</v>
          </cell>
        </row>
        <row r="202">
          <cell r="A202" t="str">
            <v>PELHAM PARKWAY</v>
          </cell>
        </row>
        <row r="203">
          <cell r="A203" t="str">
            <v>PENNSYLVANIA AVENUE-WORTMAN AVENUE</v>
          </cell>
        </row>
        <row r="204">
          <cell r="A204" t="str">
            <v>PINK</v>
          </cell>
        </row>
        <row r="205">
          <cell r="A205" t="str">
            <v>POLO GROUNDS TOWERS</v>
          </cell>
        </row>
        <row r="206">
          <cell r="A206" t="str">
            <v>POMONOK</v>
          </cell>
        </row>
        <row r="207">
          <cell r="A207" t="str">
            <v>PUBLIC SCHOOL 139 (CONVERSION)</v>
          </cell>
        </row>
        <row r="208">
          <cell r="A208" t="str">
            <v>QUEENSBRIDGE NORTH</v>
          </cell>
        </row>
        <row r="209">
          <cell r="A209" t="str">
            <v>QUEENSBRIDGE SOUTH</v>
          </cell>
        </row>
        <row r="210">
          <cell r="A210" t="str">
            <v>RALPH AVENUE REHAB</v>
          </cell>
        </row>
        <row r="211">
          <cell r="A211" t="str">
            <v>RANDALL AVENUE-BALCOM AVENUE</v>
          </cell>
        </row>
        <row r="212">
          <cell r="A212" t="str">
            <v>RANGEL</v>
          </cell>
        </row>
        <row r="213">
          <cell r="A213" t="str">
            <v>RAVENSWOOD</v>
          </cell>
        </row>
        <row r="214">
          <cell r="A214" t="str">
            <v>RED HOOK EAST</v>
          </cell>
        </row>
        <row r="215">
          <cell r="A215" t="str">
            <v>RED HOOK WEST</v>
          </cell>
        </row>
        <row r="216">
          <cell r="A216" t="str">
            <v>REDFERN</v>
          </cell>
        </row>
        <row r="217">
          <cell r="A217" t="str">
            <v>REHAB PROGRAM (COLLEGE POINT)</v>
          </cell>
        </row>
        <row r="218">
          <cell r="A218" t="str">
            <v>REHAB PROGRAM (DOUGLASS REHABS)</v>
          </cell>
        </row>
        <row r="219">
          <cell r="A219" t="str">
            <v>REHAB PROGRAM (TAFT REHABS)</v>
          </cell>
        </row>
        <row r="220">
          <cell r="A220" t="str">
            <v>REHAB PROGRAM (WISE REHAB)</v>
          </cell>
        </row>
        <row r="221">
          <cell r="A221" t="str">
            <v>REID APARTMENTS</v>
          </cell>
        </row>
        <row r="222">
          <cell r="A222" t="str">
            <v>RICHMOND TERRACE</v>
          </cell>
        </row>
        <row r="223">
          <cell r="A223" t="str">
            <v>RIIS</v>
          </cell>
        </row>
        <row r="224">
          <cell r="A224" t="str">
            <v>RIIS II</v>
          </cell>
        </row>
        <row r="225">
          <cell r="A225" t="str">
            <v>ROBBINS PLAZA</v>
          </cell>
        </row>
        <row r="226">
          <cell r="A226" t="str">
            <v>ROBINSON</v>
          </cell>
        </row>
        <row r="227">
          <cell r="A227" t="str">
            <v>ROOSEVELT I</v>
          </cell>
        </row>
        <row r="228">
          <cell r="A228" t="str">
            <v>ROOSEVELT II</v>
          </cell>
        </row>
        <row r="229">
          <cell r="A229" t="str">
            <v>RUTGERS</v>
          </cell>
        </row>
        <row r="230">
          <cell r="A230" t="str">
            <v>RUTLAND TOWERS</v>
          </cell>
        </row>
        <row r="231">
          <cell r="A231" t="str">
            <v>SACK WERN</v>
          </cell>
        </row>
        <row r="232">
          <cell r="A232" t="str">
            <v>SAINT MARY'S PARK</v>
          </cell>
        </row>
        <row r="233">
          <cell r="A233" t="str">
            <v>SAINT NICHOLAS</v>
          </cell>
        </row>
        <row r="234">
          <cell r="A234" t="str">
            <v>SAMUEL (CITY)</v>
          </cell>
        </row>
        <row r="235">
          <cell r="A235" t="str">
            <v>SAMUEL (MHOP) I</v>
          </cell>
        </row>
        <row r="236">
          <cell r="A236" t="str">
            <v>SAMUEL (MHOP) II</v>
          </cell>
        </row>
        <row r="237">
          <cell r="A237" t="str">
            <v>SAMUEL (MHOP) III</v>
          </cell>
        </row>
        <row r="238">
          <cell r="A238" t="str">
            <v>SARATOGA VILLAGE</v>
          </cell>
        </row>
        <row r="239">
          <cell r="A239" t="str">
            <v>SEDGWICK</v>
          </cell>
        </row>
        <row r="240">
          <cell r="A240" t="str">
            <v>SEWARD PARK EXTENSION</v>
          </cell>
        </row>
        <row r="241">
          <cell r="A241" t="str">
            <v>SHEEPSHEAD BAY</v>
          </cell>
        </row>
        <row r="242">
          <cell r="A242" t="str">
            <v>SHELTON HOUSE</v>
          </cell>
        </row>
        <row r="243">
          <cell r="A243" t="str">
            <v>SMITH</v>
          </cell>
        </row>
        <row r="244">
          <cell r="A244" t="str">
            <v>SOTOMAYOR HOUSES</v>
          </cell>
        </row>
        <row r="245">
          <cell r="A245" t="str">
            <v>SOUNDVIEW</v>
          </cell>
        </row>
        <row r="246">
          <cell r="A246" t="str">
            <v>SOUTH BEACH</v>
          </cell>
        </row>
        <row r="247">
          <cell r="A247" t="str">
            <v>SOUTH BRONX AREA (SITE 402)</v>
          </cell>
        </row>
        <row r="248">
          <cell r="A248" t="str">
            <v>SOUTH JAMAICA I</v>
          </cell>
        </row>
        <row r="249">
          <cell r="A249" t="str">
            <v>SOUTH JAMAICA II</v>
          </cell>
        </row>
        <row r="250">
          <cell r="A250" t="str">
            <v>STANTON STREET</v>
          </cell>
        </row>
        <row r="251">
          <cell r="A251" t="str">
            <v>STAPLETON</v>
          </cell>
        </row>
        <row r="252">
          <cell r="A252" t="str">
            <v>STEBBINS AVENUE-HEWITT PLACE</v>
          </cell>
        </row>
        <row r="253">
          <cell r="A253" t="str">
            <v>STERLING PLACE REHABS (SAINT JOHNS-STERLING)</v>
          </cell>
        </row>
        <row r="254">
          <cell r="A254" t="str">
            <v>STERLING PLACE REHABS (STERLING-BUFFALO)</v>
          </cell>
        </row>
        <row r="255">
          <cell r="A255" t="str">
            <v>STRAUS</v>
          </cell>
        </row>
        <row r="256">
          <cell r="A256" t="str">
            <v>STUYVESANT GARDENS I</v>
          </cell>
        </row>
        <row r="257">
          <cell r="A257" t="str">
            <v>STUYVESANT GARDENS II</v>
          </cell>
        </row>
        <row r="258">
          <cell r="A258" t="str">
            <v>SUMNER</v>
          </cell>
        </row>
        <row r="259">
          <cell r="A259" t="str">
            <v>SURFSIDE GARDENS</v>
          </cell>
        </row>
        <row r="260">
          <cell r="A260" t="str">
            <v>SUTTER AVENUE-UNION STREET</v>
          </cell>
        </row>
        <row r="261">
          <cell r="A261" t="str">
            <v>TAFT</v>
          </cell>
        </row>
        <row r="262">
          <cell r="A262" t="str">
            <v>TAPSCOTT STREET REHAB</v>
          </cell>
        </row>
        <row r="263">
          <cell r="A263" t="str">
            <v>TAYLOR STREET-WYTHE AVENUE</v>
          </cell>
        </row>
        <row r="264">
          <cell r="A264" t="str">
            <v>TELLER AVENUE-EAST 166TH STREET</v>
          </cell>
        </row>
        <row r="265">
          <cell r="A265" t="str">
            <v>THOMAS APARTMENTS</v>
          </cell>
        </row>
        <row r="266">
          <cell r="A266" t="str">
            <v>THROGGS NECK</v>
          </cell>
        </row>
        <row r="267">
          <cell r="A267" t="str">
            <v>THROGGS NECK ADDITION</v>
          </cell>
        </row>
        <row r="268">
          <cell r="A268" t="str">
            <v>TILDEN</v>
          </cell>
        </row>
        <row r="269">
          <cell r="A269" t="str">
            <v>TODT HILL</v>
          </cell>
        </row>
        <row r="270">
          <cell r="A270" t="str">
            <v>TOMPKINS</v>
          </cell>
        </row>
        <row r="271">
          <cell r="A271" t="str">
            <v>TWIN PARKS EAST (SITE 9)</v>
          </cell>
        </row>
        <row r="272">
          <cell r="A272" t="str">
            <v>TWO BRIDGES URA (SITE 7)</v>
          </cell>
        </row>
        <row r="273">
          <cell r="A273" t="str">
            <v>UNION AVENUE-EAST 163RD STREET</v>
          </cell>
        </row>
        <row r="274">
          <cell r="A274" t="str">
            <v>UNION AVENUE-EAST 166TH STREET</v>
          </cell>
        </row>
        <row r="275">
          <cell r="A275" t="str">
            <v>UNITY PLAZA (SITES 17,24,25A)</v>
          </cell>
        </row>
        <row r="276">
          <cell r="A276" t="str">
            <v>UNITY PLAZA (SITES 4-27)</v>
          </cell>
        </row>
        <row r="277">
          <cell r="A277" t="str">
            <v>UNIVERSITY AVENUE REHAB</v>
          </cell>
        </row>
        <row r="278">
          <cell r="A278" t="str">
            <v>UPACA (SITE 5)</v>
          </cell>
        </row>
        <row r="279">
          <cell r="A279" t="str">
            <v>UPACA (SITE 6)</v>
          </cell>
        </row>
        <row r="280">
          <cell r="A280" t="str">
            <v>VAN DYKE I</v>
          </cell>
        </row>
        <row r="281">
          <cell r="A281" t="str">
            <v>VAN DYKE II</v>
          </cell>
        </row>
        <row r="282">
          <cell r="A282" t="str">
            <v>VANDALIA AVENUE</v>
          </cell>
        </row>
        <row r="283">
          <cell r="A283" t="str">
            <v>VLADECK</v>
          </cell>
        </row>
        <row r="284">
          <cell r="A284" t="str">
            <v>VLADECK II</v>
          </cell>
        </row>
        <row r="285">
          <cell r="A285" t="str">
            <v>WAGNER</v>
          </cell>
        </row>
        <row r="286">
          <cell r="A286" t="str">
            <v>WALD</v>
          </cell>
        </row>
        <row r="287">
          <cell r="A287" t="str">
            <v>WASHINGTON</v>
          </cell>
        </row>
        <row r="288">
          <cell r="A288" t="str">
            <v>WASHINGTON HEIGHTS REHAB (GROUPS 1&amp;2)</v>
          </cell>
        </row>
        <row r="289">
          <cell r="A289" t="str">
            <v>WASHINGTON HEIGHTS REHAB PHASE III (FORT WASHINGTON)</v>
          </cell>
        </row>
        <row r="290">
          <cell r="A290" t="str">
            <v>WASHINGTON HEIGHTS REHAB PHASE III (HARLEM RIVER)</v>
          </cell>
        </row>
        <row r="291">
          <cell r="A291" t="str">
            <v>WASHINGTON HEIGHTS REHAB PHASE IV (C)</v>
          </cell>
        </row>
        <row r="292">
          <cell r="A292" t="str">
            <v>WASHINGTON HEIGHTS REHAB PHASE IV (D)</v>
          </cell>
        </row>
        <row r="293">
          <cell r="A293" t="str">
            <v>WEBSTER</v>
          </cell>
        </row>
        <row r="294">
          <cell r="A294" t="str">
            <v>WEEKSVILLE GARDENS</v>
          </cell>
        </row>
        <row r="295">
          <cell r="A295" t="str">
            <v>WEST BRIGHTON I</v>
          </cell>
        </row>
        <row r="296">
          <cell r="A296" t="str">
            <v>WEST BRIGHTON II</v>
          </cell>
        </row>
        <row r="297">
          <cell r="A297" t="str">
            <v>WEST FARMS ROAD REHAB</v>
          </cell>
        </row>
        <row r="298">
          <cell r="A298" t="str">
            <v>WEST FARMS SQUARE CONVENTIONAL</v>
          </cell>
        </row>
        <row r="299">
          <cell r="A299" t="str">
            <v>WEST TREMONT AVENUE-SEDGWICK AVENUE AREA</v>
          </cell>
        </row>
        <row r="300">
          <cell r="A300" t="str">
            <v>WHITE</v>
          </cell>
        </row>
        <row r="301">
          <cell r="A301" t="str">
            <v>WHITMAN</v>
          </cell>
        </row>
        <row r="302">
          <cell r="A302" t="str">
            <v>WILLIAMS PLAZA</v>
          </cell>
        </row>
        <row r="303">
          <cell r="A303" t="str">
            <v>WILLIAMSBURG</v>
          </cell>
        </row>
        <row r="304">
          <cell r="A304" t="str">
            <v>WILSON</v>
          </cell>
        </row>
        <row r="305">
          <cell r="A305" t="str">
            <v>WISE TOWERS</v>
          </cell>
        </row>
        <row r="306">
          <cell r="A306" t="str">
            <v>WOODSIDE</v>
          </cell>
        </row>
        <row r="307">
          <cell r="A307" t="str">
            <v>WOODSON</v>
          </cell>
        </row>
        <row r="308">
          <cell r="A308" t="str">
            <v>WSUR (BROWNSTONES)</v>
          </cell>
        </row>
        <row r="309">
          <cell r="A309" t="str">
            <v>WSUR (SITE A) 120 WEST 94TH STREET</v>
          </cell>
        </row>
        <row r="310">
          <cell r="A310" t="str">
            <v>WSUR (SITE B) 74 WEST 92ND STREET</v>
          </cell>
        </row>
        <row r="311">
          <cell r="A311" t="str">
            <v>WSUR (SITE C) 589 AMSTERDAM AVENUE</v>
          </cell>
        </row>
        <row r="312">
          <cell r="A312" t="str">
            <v>WYCKOFF GARDENS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gio, Kathryn" refreshedDate="43721.648172222223" createdVersion="6" refreshedVersion="6" minRefreshableVersion="3" recordCount="299" xr:uid="{E8C2770F-1169-4C95-9C78-8517CFED9302}">
  <cacheSource type="worksheet">
    <worksheetSource name="Table1"/>
  </cacheSource>
  <cacheFields count="20">
    <cacheField name="BOROUGH" numFmtId="0">
      <sharedItems count="5">
        <s v="BROOKLYN"/>
        <s v="BRONX"/>
        <s v="MANHATTAN"/>
        <s v="QUEENS"/>
        <s v="Various" u="1"/>
      </sharedItems>
    </cacheField>
    <cacheField name="PROGRAM AREA" numFmtId="0">
      <sharedItems containsBlank="1"/>
    </cacheField>
    <cacheField name="DEVELOPMENT" numFmtId="0">
      <sharedItems count="111">
        <s v="BUSHWICK"/>
        <s v="BUTLER"/>
        <s v="CLAREMONT REHAB (GROUP 3)"/>
        <s v="CLAREMONT REHAB (GROUP 4)"/>
        <s v="JACKSON"/>
        <s v="LA GUARDIA"/>
        <s v="LAFAYETTE"/>
        <s v="MARCY"/>
        <s v="MELROSE"/>
        <s v="MORRIS I"/>
        <s v="MORRISANIA AIR RIGHTS"/>
        <s v="ROOSEVELT I"/>
        <s v="RUTGERS"/>
        <s v="SMITH"/>
        <s v="SUMNER"/>
        <s v="TOMPKINS"/>
        <s v="WEBSTER"/>
        <s v="BARUCH HOUSES ADDITION"/>
        <s v="MELTZER TOWER"/>
        <s v="TWO BRIDGES URA (SITE 7)"/>
        <s v="RIIS"/>
        <s v="VLADECK"/>
        <s v="45 ALLEN STREET"/>
        <s v="BARUCH"/>
        <s v="BRACETTI PLAZA"/>
        <s v="CAMPOS PLAZA II"/>
        <s v="GOMPERS"/>
        <s v="LOWER EAST SIDE I INFILL"/>
        <s v="LOWER EAST SIDE II"/>
        <s v="LOWER EAST SIDE REHAB (GROUP 5)"/>
        <s v="SEWARD PARK EXTENSION"/>
        <s v="WALD"/>
        <s v="131 SAINT NICHOLAS AVENUE"/>
        <s v="335 EAST 111TH STREET"/>
        <s v="AUDUBON"/>
        <s v="BETHUNE GARDENS"/>
        <s v="BORINQUEN PLAZA II"/>
        <s v="BRONX RIVER"/>
        <s v="CORSI HOUSES"/>
        <s v="DOUGLASS ADDITION"/>
        <s v="DOUGLASS II"/>
        <s v="DREW-HAMILTON"/>
        <s v="EAST RIVER"/>
        <s v="FORT WASHINGTON AVENUE REHAB"/>
        <s v="GRAMPION"/>
        <s v="GRANT"/>
        <s v="HARLEM RIVER II"/>
        <s v="JOHNSON"/>
        <s v="KINGSBOROUGH"/>
        <s v="MANHATTANVILLE REHAB (GROUP 2)"/>
        <s v="MANHATTANVILLE REHAB (GROUP 3)"/>
        <s v="MARSHALL PLAZA"/>
        <s v="METRO NORTH PLAZA"/>
        <s v="MOORE"/>
        <s v="MORRIS PARK SENIOR CITIZENS HOME"/>
        <s v="PARK AVENUE-EAST 122ND, 123RD STREETS"/>
        <s v="PUBLIC SCHOOL 139 (CONVERSION)"/>
        <s v="SAMUEL (CITY)"/>
        <s v="SOUTH BRONX AREA (SITE 402)"/>
        <s v="STEBBINS AVENUE-HEWITT PLACE"/>
        <s v="UNION AVENUE-EAST 163RD STREET"/>
        <s v="UNION AVENUE-EAST 166TH STREET"/>
        <s v="UPACA (SITE 6)"/>
        <s v="WASHINGTON HEIGHTS REHAB PHASE III"/>
        <s v="WHITE"/>
        <s v="LA GUARDIA ADDITION"/>
        <s v="RIIS II"/>
        <s v="DAVIDSON"/>
        <s v="ROBINSON"/>
        <s v="VLADECK II"/>
        <s v="FULTON"/>
        <s v="JEFFERSON"/>
        <s v="LINCOLN"/>
        <s v="MONROE"/>
        <s v="RANGEL"/>
        <s v="WILSON"/>
        <s v="HARLEM RIVER"/>
        <s v="303 VERNON AVENUE"/>
        <s v="BORINQUEN PLAZA I"/>
        <s v="CARVER"/>
        <s v="EAST 180TH STREET-MONTEREY AVENUE"/>
        <s v="MANHATTANVILLE"/>
        <s v="SAINT MARY'S PARK"/>
        <s v="CLAREMONT PARKWAY-FRANKLIN AVENUE"/>
        <s v="LEXINGTON"/>
        <s v="UPACA (SITE 5)"/>
        <s v="WAGNER"/>
        <s v="TAFT"/>
        <s v="CLINTON"/>
        <s v="DOUGLASS I"/>
        <s v="KING TOWERS"/>
        <s v="PATTERSON"/>
        <s v="POLO GROUNDS TOWERS"/>
        <s v="QUEENSBRIDGE NORTH"/>
        <s v="QUEENSBRIDGE SOUTH"/>
        <s v="SAINT NICHOLAS"/>
        <s v="WASHINGTON"/>
        <s v="TWIN PARKS EAST (SITE 9)"/>
        <s v="HYLAN"/>
        <s v="MORRIS II"/>
        <s v="BEDFORD-STUYVESANT REHAB"/>
        <s v="CLAREMONT REHAB (GROUP 2)"/>
        <s v="CLAREMONT REHAB (GROUP 5)"/>
        <s v="COLLEGE AVENUE-EAST 165TH STREET"/>
        <s v="LEHMAN VILLAGE"/>
        <s v="MORRISANIA"/>
        <s v="ROOSEVELT II"/>
        <s v="TELLER AVENUE-EAST 166TH STREET"/>
        <s v="Various" u="1"/>
        <s v="FIRST HOUSES" u="1"/>
        <s v="REHAB PROGRAM (TAFT REHABS)" u="1"/>
      </sharedItems>
    </cacheField>
    <cacheField name="NRR" numFmtId="0">
      <sharedItems containsMixedTypes="1" containsNumber="1" containsInteger="1" minValue="0" maxValue="0" count="4">
        <s v="Pt I"/>
        <s v="Pt II"/>
        <s v="Pt III"/>
        <n v="0"/>
      </sharedItems>
    </cacheField>
    <cacheField name="Priority Level" numFmtId="0">
      <sharedItems containsMixedTypes="1" containsNumber="1" containsInteger="1" minValue="0" maxValue="0"/>
    </cacheField>
    <cacheField name="RAD/PACT" numFmtId="0">
      <sharedItems containsMixedTypes="1" containsNumber="1" containsInteger="1" minValue="2019" maxValue="2028"/>
    </cacheField>
    <cacheField name="WORK TYPE" numFmtId="0">
      <sharedItems containsBlank="1" count="11">
        <s v="Enlarge Hopper Door"/>
        <s v="Food Waste Disposer"/>
        <s v="Cardboard Baler"/>
        <s v="Exterior Compactors"/>
        <s v="Interior Compactors"/>
        <s v="Bulk Crusher"/>
        <s v="Electric Tilt Truck"/>
        <s v="Mattress Recycling"/>
        <s v="Secondary collection areas"/>
        <m u="1"/>
        <s v="Exterior Compactors / Augers" u="1"/>
      </sharedItems>
    </cacheField>
    <cacheField name="FUNDING SOURCE" numFmtId="0">
      <sharedItems containsBlank="1"/>
    </cacheField>
    <cacheField name="CITY FUNDS" numFmtId="0">
      <sharedItems containsString="0" containsBlank="1" containsNumber="1" minValue="3000" maxValue="1160763.6500000001"/>
    </cacheField>
    <cacheField name="FEDERAL FUNDS" numFmtId="164">
      <sharedItems containsString="0" containsBlank="1" containsNumber="1" minValue="0" maxValue="3412786"/>
    </cacheField>
    <cacheField name="TOTAL FUNDS" numFmtId="44">
      <sharedItems containsString="0" containsBlank="1" containsNumber="1" minValue="3000" maxValue="3412786"/>
    </cacheField>
    <cacheField name="FUND YEAR " numFmtId="0">
      <sharedItems containsString="0" containsBlank="1" containsNumber="1" containsInteger="1" minValue="2019" maxValue="2019"/>
    </cacheField>
    <cacheField name="CALENDAR YEAR" numFmtId="0">
      <sharedItems containsBlank="1" containsMixedTypes="1" containsNumber="1" containsInteger="1" minValue="0" maxValue="2040" count="73">
        <n v="2019"/>
        <n v="2020"/>
        <n v="2021"/>
        <n v="113"/>
        <n v="59"/>
        <n v="112"/>
        <n v="2"/>
        <n v="166"/>
        <n v="165"/>
        <n v="128"/>
        <n v="164"/>
        <n v="202"/>
        <n v="2022"/>
        <n v="207"/>
        <n v="206"/>
        <n v="232"/>
        <n v="277"/>
        <n v="216"/>
        <n v="203"/>
        <n v="2023"/>
        <n v="379"/>
        <n v="373"/>
        <n v="356"/>
        <n v="2024"/>
        <n v="416"/>
        <n v="401"/>
        <n v="580"/>
        <n v="574"/>
        <n v="554"/>
        <n v="672"/>
        <n v="664"/>
        <n v="590"/>
        <n v="630"/>
        <n v="708"/>
        <n v="705"/>
        <n v="687"/>
        <n v="938"/>
        <n v="927"/>
        <n v="1001"/>
        <n v="1010"/>
        <n v="1053"/>
        <n v="1048"/>
        <n v="988"/>
        <n v="1029"/>
        <n v="1249"/>
        <n v="1305"/>
        <n v="1296"/>
        <n v="1686"/>
        <n v="1633"/>
        <n v="1759"/>
        <n v="1751"/>
        <n v="1750"/>
        <n v="1901"/>
        <n v="1908"/>
        <n v="1871"/>
        <n v="1847"/>
        <n v="1942"/>
        <n v="1933"/>
        <s v=""/>
        <m/>
        <n v="0" u="1"/>
        <n v="2029" u="1"/>
        <n v="2027" u="1"/>
        <n v="2039" u="1"/>
        <n v="2032" u="1"/>
        <n v="2025" u="1"/>
        <n v="2037" u="1"/>
        <n v="2030" u="1"/>
        <n v="2028" u="1"/>
        <n v="2040" u="1"/>
        <n v="2033" u="1"/>
        <n v="2026" u="1"/>
        <n v="2038" u="1"/>
      </sharedItems>
    </cacheField>
    <cacheField name="FISCAL YEAR" numFmtId="0">
      <sharedItems containsString="0" containsBlank="1" containsNumber="1" containsInteger="1" minValue="2020" maxValue="2021"/>
    </cacheField>
    <cacheField name="STATUS" numFmtId="0">
      <sharedItems containsBlank="1"/>
    </cacheField>
    <cacheField name="COMPLETED" numFmtId="0">
      <sharedItems containsNonDate="0" containsString="0" containsBlank="1"/>
    </cacheField>
    <cacheField name="COST" numFmtId="44">
      <sharedItems containsString="0" containsBlank="1" containsNumber="1" minValue="32007.26" maxValue="607266.5199999999"/>
    </cacheField>
    <cacheField name="ESTIMATES" numFmtId="44">
      <sharedItems containsString="0" containsBlank="1" containsNumber="1" minValue="0" maxValue="2949350.8857286135"/>
    </cacheField>
    <cacheField name="RESOURC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s v="Waste Management "/>
    <x v="0"/>
    <x v="0"/>
    <s v="$$"/>
    <s v=""/>
    <x v="0"/>
    <s v="City Expense"/>
    <n v="24000"/>
    <m/>
    <n v="24000"/>
    <n v="2019"/>
    <x v="0"/>
    <n v="2020"/>
    <s v="IN-CONSTRUCTION"/>
    <m/>
    <n v="44243.94"/>
    <m/>
    <s v="JOCS CONTRACTS"/>
    <m/>
  </r>
  <r>
    <x v="1"/>
    <s v="Waste Management "/>
    <x v="1"/>
    <x v="0"/>
    <s v="$$"/>
    <s v=""/>
    <x v="0"/>
    <s v="City Expense"/>
    <n v="18000"/>
    <m/>
    <n v="18000"/>
    <n v="2019"/>
    <x v="0"/>
    <n v="2020"/>
    <s v="IN-CONSTRUCTION"/>
    <m/>
    <n v="44405.061000000002"/>
    <m/>
    <s v="JOCS CONTRACTS"/>
    <m/>
  </r>
  <r>
    <x v="1"/>
    <s v="Waste Management "/>
    <x v="2"/>
    <x v="0"/>
    <s v="$"/>
    <n v="2025"/>
    <x v="0"/>
    <s v="NYCHA Operating"/>
    <m/>
    <n v="24000"/>
    <n v="24000"/>
    <n v="2019"/>
    <x v="0"/>
    <n v="2020"/>
    <s v="IN-CONSTRUCTION"/>
    <m/>
    <n v="59206.748"/>
    <m/>
    <s v="JOCS CONTRACTS"/>
    <m/>
  </r>
  <r>
    <x v="1"/>
    <s v="Waste Management "/>
    <x v="3"/>
    <x v="0"/>
    <s v="$"/>
    <n v="2025"/>
    <x v="0"/>
    <s v="NYCHA Operating"/>
    <m/>
    <n v="27000"/>
    <n v="27000"/>
    <n v="2019"/>
    <x v="0"/>
    <n v="2020"/>
    <s v="IN-CONSTRUCTION"/>
    <m/>
    <n v="66607.591499999995"/>
    <m/>
    <s v="JOCS CONTRACTS"/>
    <m/>
  </r>
  <r>
    <x v="1"/>
    <s v="Waste Management "/>
    <x v="4"/>
    <x v="0"/>
    <s v="$"/>
    <s v=""/>
    <x v="0"/>
    <s v="City Expense"/>
    <n v="21000"/>
    <m/>
    <n v="21000"/>
    <n v="2019"/>
    <x v="0"/>
    <n v="2020"/>
    <s v="IN-CONSTRUCTION"/>
    <m/>
    <n v="51805.904499999997"/>
    <m/>
    <s v="JOCS CONTRACTS"/>
    <m/>
  </r>
  <r>
    <x v="2"/>
    <s v="Waste Management "/>
    <x v="5"/>
    <x v="0"/>
    <s v="$$"/>
    <s v=""/>
    <x v="0"/>
    <s v="City Expense"/>
    <n v="27000"/>
    <m/>
    <n v="27000"/>
    <n v="2019"/>
    <x v="0"/>
    <n v="2020"/>
    <s v="IN-CONSTRUCTION"/>
    <m/>
    <n v="56519.89"/>
    <m/>
    <s v="JOCS CONTRACTS"/>
    <m/>
  </r>
  <r>
    <x v="0"/>
    <s v="Waste Management "/>
    <x v="6"/>
    <x v="0"/>
    <s v="$$$"/>
    <s v=""/>
    <x v="0"/>
    <s v="City Expense"/>
    <n v="21000"/>
    <m/>
    <n v="21000"/>
    <n v="2019"/>
    <x v="0"/>
    <n v="2020"/>
    <s v="IN-CONSTRUCTION"/>
    <m/>
    <n v="51805.904499999997"/>
    <m/>
    <s v="JOCS CONTRACTS"/>
    <m/>
  </r>
  <r>
    <x v="0"/>
    <s v="Waste Management "/>
    <x v="7"/>
    <x v="0"/>
    <s v="$$"/>
    <n v="2027"/>
    <x v="0"/>
    <s v="City Expense"/>
    <n v="210000"/>
    <m/>
    <n v="210000"/>
    <n v="2019"/>
    <x v="0"/>
    <n v="2020"/>
    <s v="IN-CONSTRUCTION"/>
    <m/>
    <n v="518059.04499999998"/>
    <m/>
    <s v="JOCS CONTRACTS"/>
    <m/>
  </r>
  <r>
    <x v="1"/>
    <s v="Waste Management "/>
    <x v="8"/>
    <x v="0"/>
    <s v="$"/>
    <n v="2023"/>
    <x v="0"/>
    <s v="City Expense"/>
    <n v="24000"/>
    <m/>
    <n v="24000"/>
    <n v="2019"/>
    <x v="0"/>
    <n v="2020"/>
    <s v="IN-CONSTRUCTION"/>
    <m/>
    <n v="59206.748"/>
    <m/>
    <s v="JOCS CONTRACTS"/>
    <m/>
  </r>
  <r>
    <x v="1"/>
    <s v="Waste Management "/>
    <x v="9"/>
    <x v="0"/>
    <s v="$$"/>
    <s v=""/>
    <x v="0"/>
    <s v="City Expense"/>
    <n v="51000"/>
    <m/>
    <n v="51000"/>
    <n v="2019"/>
    <x v="0"/>
    <n v="2020"/>
    <s v="IN-CONSTRUCTION"/>
    <m/>
    <n v="66607.591499999995"/>
    <m/>
    <s v="JOCS CONTRACTS"/>
    <m/>
  </r>
  <r>
    <x v="1"/>
    <s v="Waste Management "/>
    <x v="10"/>
    <x v="0"/>
    <s v="$"/>
    <s v=""/>
    <x v="0"/>
    <s v="City Expense"/>
    <n v="15000"/>
    <m/>
    <n v="15000"/>
    <n v="2019"/>
    <x v="0"/>
    <n v="2020"/>
    <s v="IN-CONSTRUCTION"/>
    <m/>
    <n v="37004.217499999999"/>
    <m/>
    <s v="JOCS CONTRACTS"/>
    <m/>
  </r>
  <r>
    <x v="0"/>
    <s v="Waste Management "/>
    <x v="11"/>
    <x v="0"/>
    <s v="$"/>
    <s v=""/>
    <x v="0"/>
    <s v="City Expense"/>
    <n v="18000"/>
    <m/>
    <n v="18000"/>
    <n v="2019"/>
    <x v="0"/>
    <n v="2020"/>
    <s v="IN-CONSTRUCTION"/>
    <m/>
    <n v="44405.061000000002"/>
    <m/>
    <s v="JOCS CONTRACTS"/>
    <m/>
  </r>
  <r>
    <x v="2"/>
    <s v="Waste Management "/>
    <x v="12"/>
    <x v="0"/>
    <s v="$"/>
    <s v=""/>
    <x v="0"/>
    <s v="City Expense"/>
    <n v="15000"/>
    <m/>
    <n v="15000"/>
    <n v="2019"/>
    <x v="0"/>
    <n v="2020"/>
    <s v="IN-CONSTRUCTION"/>
    <m/>
    <n v="32007.26"/>
    <m/>
    <s v="JOCS CONTRACTS"/>
    <m/>
  </r>
  <r>
    <x v="2"/>
    <s v="Waste Management "/>
    <x v="13"/>
    <x v="0"/>
    <s v="$"/>
    <s v=""/>
    <x v="0"/>
    <s v="City Expense"/>
    <n v="36000"/>
    <m/>
    <n v="36000"/>
    <n v="2019"/>
    <x v="0"/>
    <n v="2020"/>
    <s v="IN-CONSTRUCTION"/>
    <m/>
    <n v="74933.740000000005"/>
    <m/>
    <s v="JOCS CONTRACTS"/>
    <m/>
  </r>
  <r>
    <x v="0"/>
    <s v="Waste Management "/>
    <x v="14"/>
    <x v="0"/>
    <s v="$"/>
    <s v=""/>
    <x v="0"/>
    <s v="City Expense"/>
    <n v="72000"/>
    <m/>
    <n v="72000"/>
    <n v="2019"/>
    <x v="0"/>
    <n v="2020"/>
    <s v="IN-CONSTRUCTION"/>
    <m/>
    <n v="148620.14000000001"/>
    <m/>
    <s v="JOCS CONTRACTS"/>
    <m/>
  </r>
  <r>
    <x v="0"/>
    <s v="Waste Management "/>
    <x v="15"/>
    <x v="0"/>
    <s v="$"/>
    <s v=""/>
    <x v="0"/>
    <s v="NYCHA Operating"/>
    <m/>
    <n v="36000"/>
    <n v="36000"/>
    <n v="2019"/>
    <x v="0"/>
    <n v="2020"/>
    <s v="IN-CONSTRUCTION"/>
    <m/>
    <n v="74933.740000000005"/>
    <m/>
    <s v="JOCS CONTRACTS"/>
    <m/>
  </r>
  <r>
    <x v="1"/>
    <s v="Waste Management "/>
    <x v="16"/>
    <x v="0"/>
    <s v="$"/>
    <s v=""/>
    <x v="0"/>
    <s v="City Expense"/>
    <n v="15000"/>
    <m/>
    <n v="15000"/>
    <n v="2019"/>
    <x v="0"/>
    <n v="2020"/>
    <s v="IN-CONSTRUCTION"/>
    <m/>
    <n v="37004.217499999999"/>
    <m/>
    <s v="JOCS CONTRACTS"/>
    <m/>
  </r>
  <r>
    <x v="2"/>
    <s v="Waste Management "/>
    <x v="17"/>
    <x v="0"/>
    <s v="$"/>
    <s v=""/>
    <x v="1"/>
    <s v="NYCHA Operating"/>
    <m/>
    <n v="129527.5"/>
    <n v="129527.5"/>
    <n v="2019"/>
    <x v="0"/>
    <n v="2020"/>
    <s v="IN-CONSTRUCTION"/>
    <m/>
    <n v="607266.5199999999"/>
    <m/>
    <s v="JOCS CONTRACTS"/>
    <m/>
  </r>
  <r>
    <x v="2"/>
    <s v="Waste Management "/>
    <x v="18"/>
    <x v="0"/>
    <s v="$"/>
    <s v=""/>
    <x v="1"/>
    <s v="NYCHA Operating"/>
    <m/>
    <n v="150567.5"/>
    <n v="150567.5"/>
    <n v="2019"/>
    <x v="0"/>
    <n v="2020"/>
    <s v="IN-CONSTRUCTION"/>
    <m/>
    <n v="534717.81000000006"/>
    <m/>
    <s v="JOCS CONTRACTS"/>
    <m/>
  </r>
  <r>
    <x v="2"/>
    <s v="Waste Management "/>
    <x v="19"/>
    <x v="0"/>
    <s v="$"/>
    <s v=""/>
    <x v="1"/>
    <s v="NYCHA Operating"/>
    <m/>
    <n v="164375"/>
    <n v="164375"/>
    <n v="2019"/>
    <x v="0"/>
    <n v="2020"/>
    <s v="IN-CONSTRUCTION"/>
    <m/>
    <n v="561519.42000000004"/>
    <m/>
    <s v="JOCS CONTRACTS"/>
    <m/>
  </r>
  <r>
    <x v="2"/>
    <s v="Waste Management "/>
    <x v="5"/>
    <x v="0"/>
    <s v="$$"/>
    <s v=""/>
    <x v="2"/>
    <s v="City Expense"/>
    <n v="38361.353952156082"/>
    <m/>
    <n v="38361.353952156082"/>
    <n v="2019"/>
    <x v="1"/>
    <n v="2020"/>
    <s v="UP-COMING"/>
    <m/>
    <m/>
    <n v="37332.239999999998"/>
    <s v="FROM BALER INSTALL"/>
    <m/>
  </r>
  <r>
    <x v="2"/>
    <s v="Waste Management "/>
    <x v="20"/>
    <x v="0"/>
    <s v="$"/>
    <s v=""/>
    <x v="2"/>
    <s v="City Expense"/>
    <n v="34083.566126999998"/>
    <m/>
    <n v="34083.566126999998"/>
    <n v="2019"/>
    <x v="1"/>
    <n v="2020"/>
    <s v="UP-COMING"/>
    <m/>
    <m/>
    <n v="37332.239999999998"/>
    <s v="FROM BALER INSTALL"/>
    <m/>
  </r>
  <r>
    <x v="2"/>
    <s v="Waste Management "/>
    <x v="21"/>
    <x v="0"/>
    <s v="$$"/>
    <s v=""/>
    <x v="2"/>
    <s v="City Expense"/>
    <n v="35106.073110810001"/>
    <m/>
    <n v="35106.073110810001"/>
    <n v="2019"/>
    <x v="1"/>
    <n v="2020"/>
    <s v="UP-COMING"/>
    <m/>
    <m/>
    <n v="37332.239999999998"/>
    <s v="FROM BALER INSTALL"/>
    <m/>
  </r>
  <r>
    <x v="2"/>
    <s v="Waste Management "/>
    <x v="22"/>
    <x v="0"/>
    <s v="$$"/>
    <s v=""/>
    <x v="0"/>
    <s v="NYCHA Operating"/>
    <m/>
    <n v="3000"/>
    <n v="3000"/>
    <n v="2019"/>
    <x v="1"/>
    <n v="2020"/>
    <s v="UP-COMING"/>
    <m/>
    <m/>
    <n v="7400.8434999999999"/>
    <s v="JOCS CONTRACTS"/>
    <m/>
  </r>
  <r>
    <x v="2"/>
    <s v="Waste Management "/>
    <x v="23"/>
    <x v="0"/>
    <s v="$"/>
    <s v=""/>
    <x v="0"/>
    <s v="NYCHA Operating"/>
    <m/>
    <n v="51000"/>
    <n v="51000"/>
    <n v="2019"/>
    <x v="1"/>
    <n v="2020"/>
    <s v="UP-COMING"/>
    <m/>
    <m/>
    <n v="125814.3395"/>
    <s v="JOCS CONTRACTS"/>
    <m/>
  </r>
  <r>
    <x v="2"/>
    <s v="Waste Management "/>
    <x v="24"/>
    <x v="0"/>
    <s v="$"/>
    <n v="2026"/>
    <x v="0"/>
    <s v="NYCHA Operating"/>
    <m/>
    <n v="6000"/>
    <n v="6000"/>
    <n v="2019"/>
    <x v="1"/>
    <n v="2020"/>
    <s v="UP-COMING"/>
    <m/>
    <m/>
    <n v="14801.687"/>
    <s v="JOCS CONTRACTS"/>
    <m/>
  </r>
  <r>
    <x v="2"/>
    <s v="Waste Management "/>
    <x v="25"/>
    <x v="0"/>
    <s v="$$"/>
    <n v="2026"/>
    <x v="0"/>
    <s v="NYCHA Operating"/>
    <m/>
    <n v="9000"/>
    <n v="9000"/>
    <n v="2019"/>
    <x v="1"/>
    <n v="2020"/>
    <s v="UP-COMING"/>
    <m/>
    <m/>
    <n v="22202.530500000001"/>
    <s v="JOCS CONTRACTS"/>
    <m/>
  </r>
  <r>
    <x v="2"/>
    <s v="Waste Management "/>
    <x v="26"/>
    <x v="0"/>
    <s v="$"/>
    <s v=""/>
    <x v="0"/>
    <s v="City Expense"/>
    <n v="12000"/>
    <m/>
    <n v="12000"/>
    <n v="2019"/>
    <x v="1"/>
    <n v="2020"/>
    <s v="UP-COMING"/>
    <m/>
    <m/>
    <n v="29603.374"/>
    <s v="JOCS CONTRACTS"/>
    <m/>
  </r>
  <r>
    <x v="2"/>
    <s v="Waste Management "/>
    <x v="27"/>
    <x v="0"/>
    <s v="$$"/>
    <s v=""/>
    <x v="0"/>
    <s v="City Expense"/>
    <n v="3000"/>
    <m/>
    <n v="3000"/>
    <n v="2019"/>
    <x v="1"/>
    <n v="2020"/>
    <s v="UP-COMING"/>
    <m/>
    <m/>
    <n v="7400.8434999999999"/>
    <s v="JOCS CONTRACTS"/>
    <m/>
  </r>
  <r>
    <x v="2"/>
    <s v="Waste Management "/>
    <x v="28"/>
    <x v="0"/>
    <s v="$"/>
    <n v="2026"/>
    <x v="0"/>
    <s v="City Expense"/>
    <n v="3000"/>
    <m/>
    <n v="3000"/>
    <n v="2019"/>
    <x v="1"/>
    <n v="2021"/>
    <s v="UP-COMING"/>
    <m/>
    <m/>
    <n v="7400.8434999999999"/>
    <s v="JOCS CONTRACTS"/>
    <m/>
  </r>
  <r>
    <x v="2"/>
    <s v="Waste Management "/>
    <x v="29"/>
    <x v="0"/>
    <s v="$$"/>
    <n v="2026"/>
    <x v="0"/>
    <s v="City Expense"/>
    <n v="9000"/>
    <m/>
    <n v="9000"/>
    <n v="2019"/>
    <x v="1"/>
    <n v="2021"/>
    <s v="UP-COMING"/>
    <m/>
    <m/>
    <n v="22202.530500000001"/>
    <s v="JOCS CONTRACTS"/>
    <m/>
  </r>
  <r>
    <x v="2"/>
    <s v="Waste Management "/>
    <x v="20"/>
    <x v="0"/>
    <s v="$"/>
    <s v=""/>
    <x v="0"/>
    <s v="NYCHA Operating"/>
    <m/>
    <n v="78000"/>
    <n v="78000"/>
    <n v="2019"/>
    <x v="1"/>
    <n v="2021"/>
    <s v="UP-COMING"/>
    <m/>
    <m/>
    <n v="133215.18299999999"/>
    <s v="JOCS CONTRACTS"/>
    <m/>
  </r>
  <r>
    <x v="2"/>
    <s v="Waste Management "/>
    <x v="30"/>
    <x v="0"/>
    <s v="$"/>
    <s v=""/>
    <x v="0"/>
    <s v="City Expense"/>
    <n v="6000"/>
    <m/>
    <n v="6000"/>
    <n v="2019"/>
    <x v="1"/>
    <n v="2021"/>
    <s v="UP-COMING"/>
    <m/>
    <m/>
    <n v="14801.687"/>
    <s v="JOCS CONTRACTS"/>
    <m/>
  </r>
  <r>
    <x v="2"/>
    <s v="Waste Management "/>
    <x v="19"/>
    <x v="0"/>
    <s v="$"/>
    <s v=""/>
    <x v="0"/>
    <s v="NYCHA Operating"/>
    <m/>
    <n v="3000"/>
    <n v="3000"/>
    <n v="2019"/>
    <x v="1"/>
    <n v="2021"/>
    <s v="UP-COMING"/>
    <m/>
    <m/>
    <n v="7400.8434999999999"/>
    <s v="JOCS CONTRACTS"/>
    <m/>
  </r>
  <r>
    <x v="2"/>
    <s v="Waste Management "/>
    <x v="31"/>
    <x v="0"/>
    <s v="$"/>
    <s v=""/>
    <x v="0"/>
    <s v="NYCHA Operating"/>
    <m/>
    <n v="48000"/>
    <n v="48000"/>
    <n v="2019"/>
    <x v="1"/>
    <n v="2021"/>
    <s v="UP-COMING"/>
    <m/>
    <m/>
    <n v="118413.496"/>
    <s v="JOCS CONTRACTS"/>
    <m/>
  </r>
  <r>
    <x v="2"/>
    <m/>
    <x v="32"/>
    <x v="1"/>
    <s v="$"/>
    <s v=""/>
    <x v="3"/>
    <m/>
    <m/>
    <m/>
    <m/>
    <m/>
    <x v="1"/>
    <m/>
    <m/>
    <m/>
    <m/>
    <n v="0"/>
    <m/>
    <m/>
  </r>
  <r>
    <x v="2"/>
    <m/>
    <x v="33"/>
    <x v="2"/>
    <s v="$"/>
    <s v=""/>
    <x v="3"/>
    <m/>
    <m/>
    <n v="0"/>
    <m/>
    <m/>
    <x v="1"/>
    <m/>
    <m/>
    <m/>
    <m/>
    <n v="0"/>
    <m/>
    <m/>
  </r>
  <r>
    <x v="2"/>
    <m/>
    <x v="34"/>
    <x v="2"/>
    <s v="$$$$"/>
    <n v="2020"/>
    <x v="3"/>
    <m/>
    <m/>
    <n v="0"/>
    <m/>
    <m/>
    <x v="1"/>
    <m/>
    <m/>
    <m/>
    <m/>
    <n v="0"/>
    <m/>
    <m/>
  </r>
  <r>
    <x v="2"/>
    <m/>
    <x v="35"/>
    <x v="2"/>
    <s v="$$"/>
    <n v="2020"/>
    <x v="3"/>
    <m/>
    <m/>
    <n v="0"/>
    <m/>
    <m/>
    <x v="1"/>
    <m/>
    <m/>
    <m/>
    <m/>
    <n v="0"/>
    <m/>
    <m/>
  </r>
  <r>
    <x v="0"/>
    <m/>
    <x v="36"/>
    <x v="2"/>
    <s v="$$$"/>
    <s v=""/>
    <x v="3"/>
    <m/>
    <m/>
    <n v="0"/>
    <m/>
    <m/>
    <x v="1"/>
    <m/>
    <m/>
    <m/>
    <m/>
    <n v="0"/>
    <m/>
    <m/>
  </r>
  <r>
    <x v="1"/>
    <m/>
    <x v="37"/>
    <x v="2"/>
    <s v="$"/>
    <s v=""/>
    <x v="3"/>
    <m/>
    <m/>
    <n v="0"/>
    <m/>
    <m/>
    <x v="1"/>
    <m/>
    <m/>
    <m/>
    <m/>
    <n v="586220.8949999999"/>
    <m/>
    <m/>
  </r>
  <r>
    <x v="2"/>
    <m/>
    <x v="38"/>
    <x v="1"/>
    <s v="$"/>
    <n v="2026"/>
    <x v="3"/>
    <m/>
    <m/>
    <m/>
    <m/>
    <m/>
    <x v="1"/>
    <m/>
    <m/>
    <m/>
    <m/>
    <n v="0"/>
    <m/>
    <m/>
  </r>
  <r>
    <x v="2"/>
    <m/>
    <x v="39"/>
    <x v="2"/>
    <s v="$"/>
    <s v=""/>
    <x v="3"/>
    <m/>
    <m/>
    <n v="0"/>
    <m/>
    <m/>
    <x v="1"/>
    <m/>
    <m/>
    <m/>
    <m/>
    <n v="0"/>
    <m/>
    <m/>
  </r>
  <r>
    <x v="2"/>
    <m/>
    <x v="40"/>
    <x v="2"/>
    <s v="$$$"/>
    <s v=""/>
    <x v="3"/>
    <m/>
    <m/>
    <n v="0"/>
    <m/>
    <m/>
    <x v="1"/>
    <m/>
    <m/>
    <m/>
    <m/>
    <n v="0"/>
    <m/>
    <m/>
  </r>
  <r>
    <x v="2"/>
    <m/>
    <x v="41"/>
    <x v="1"/>
    <s v="$"/>
    <s v=""/>
    <x v="3"/>
    <m/>
    <m/>
    <m/>
    <m/>
    <m/>
    <x v="1"/>
    <m/>
    <m/>
    <m/>
    <m/>
    <n v="390813.93"/>
    <m/>
    <m/>
  </r>
  <r>
    <x v="2"/>
    <m/>
    <x v="42"/>
    <x v="1"/>
    <s v="$"/>
    <n v="2024"/>
    <x v="3"/>
    <m/>
    <m/>
    <m/>
    <m/>
    <m/>
    <x v="1"/>
    <m/>
    <m/>
    <m/>
    <m/>
    <n v="0"/>
    <m/>
    <m/>
  </r>
  <r>
    <x v="2"/>
    <m/>
    <x v="43"/>
    <x v="2"/>
    <s v="$"/>
    <n v="2019"/>
    <x v="3"/>
    <m/>
    <m/>
    <n v="0"/>
    <m/>
    <m/>
    <x v="1"/>
    <m/>
    <m/>
    <m/>
    <m/>
    <n v="0"/>
    <m/>
    <m/>
  </r>
  <r>
    <x v="2"/>
    <m/>
    <x v="44"/>
    <x v="2"/>
    <s v="$"/>
    <n v="2019"/>
    <x v="3"/>
    <m/>
    <m/>
    <n v="0"/>
    <m/>
    <m/>
    <x v="1"/>
    <m/>
    <m/>
    <m/>
    <m/>
    <n v="0"/>
    <m/>
    <m/>
  </r>
  <r>
    <x v="2"/>
    <m/>
    <x v="45"/>
    <x v="1"/>
    <s v="$$$$"/>
    <s v=""/>
    <x v="3"/>
    <m/>
    <m/>
    <m/>
    <m/>
    <m/>
    <x v="1"/>
    <m/>
    <m/>
    <m/>
    <m/>
    <n v="781627.86"/>
    <m/>
    <m/>
  </r>
  <r>
    <x v="2"/>
    <m/>
    <x v="46"/>
    <x v="2"/>
    <s v="$$"/>
    <n v="2020"/>
    <x v="3"/>
    <m/>
    <m/>
    <n v="0"/>
    <m/>
    <m/>
    <x v="1"/>
    <m/>
    <m/>
    <m/>
    <m/>
    <n v="0"/>
    <m/>
    <m/>
  </r>
  <r>
    <x v="2"/>
    <m/>
    <x v="47"/>
    <x v="1"/>
    <s v="$$$"/>
    <n v="2028"/>
    <x v="3"/>
    <m/>
    <m/>
    <m/>
    <m/>
    <m/>
    <x v="1"/>
    <m/>
    <m/>
    <m/>
    <m/>
    <n v="390813.93"/>
    <m/>
    <m/>
  </r>
  <r>
    <x v="0"/>
    <m/>
    <x v="48"/>
    <x v="2"/>
    <s v="$"/>
    <s v=""/>
    <x v="3"/>
    <m/>
    <m/>
    <n v="0"/>
    <m/>
    <m/>
    <x v="1"/>
    <m/>
    <m/>
    <m/>
    <m/>
    <n v="0"/>
    <m/>
    <m/>
  </r>
  <r>
    <x v="2"/>
    <s v="Waste Management "/>
    <x v="5"/>
    <x v="0"/>
    <s v="$$"/>
    <s v=""/>
    <x v="3"/>
    <s v="Federal"/>
    <m/>
    <n v="374920"/>
    <n v="374920"/>
    <n v="2019"/>
    <x v="1"/>
    <n v="2021"/>
    <s v="UP-COMING"/>
    <m/>
    <m/>
    <n v="417245.79"/>
    <s v="WMP JOCS SOW SELECTION"/>
    <m/>
  </r>
  <r>
    <x v="2"/>
    <m/>
    <x v="49"/>
    <x v="2"/>
    <s v="$"/>
    <n v="2019"/>
    <x v="3"/>
    <m/>
    <m/>
    <n v="0"/>
    <m/>
    <m/>
    <x v="1"/>
    <m/>
    <m/>
    <m/>
    <m/>
    <n v="0"/>
    <m/>
    <m/>
  </r>
  <r>
    <x v="2"/>
    <m/>
    <x v="50"/>
    <x v="2"/>
    <s v="$"/>
    <n v="2019"/>
    <x v="3"/>
    <m/>
    <m/>
    <n v="0"/>
    <m/>
    <m/>
    <x v="1"/>
    <m/>
    <m/>
    <m/>
    <m/>
    <n v="0"/>
    <m/>
    <m/>
  </r>
  <r>
    <x v="2"/>
    <m/>
    <x v="51"/>
    <x v="2"/>
    <s v="$$"/>
    <n v="2020"/>
    <x v="3"/>
    <m/>
    <m/>
    <n v="0"/>
    <m/>
    <m/>
    <x v="1"/>
    <m/>
    <m/>
    <m/>
    <m/>
    <n v="0"/>
    <m/>
    <m/>
  </r>
  <r>
    <x v="1"/>
    <s v="Waste Management "/>
    <x v="8"/>
    <x v="0"/>
    <s v="$"/>
    <n v="2023"/>
    <x v="3"/>
    <s v="Federal"/>
    <m/>
    <n v="374920"/>
    <n v="374920"/>
    <n v="2019"/>
    <x v="2"/>
    <m/>
    <s v="UP-COMING"/>
    <m/>
    <m/>
    <n v="0"/>
    <m/>
    <m/>
  </r>
  <r>
    <x v="2"/>
    <m/>
    <x v="52"/>
    <x v="1"/>
    <s v="$"/>
    <s v=""/>
    <x v="3"/>
    <m/>
    <m/>
    <m/>
    <m/>
    <m/>
    <x v="1"/>
    <m/>
    <m/>
    <m/>
    <m/>
    <n v="0"/>
    <m/>
    <m/>
  </r>
  <r>
    <x v="1"/>
    <m/>
    <x v="53"/>
    <x v="2"/>
    <s v="$$"/>
    <s v=""/>
    <x v="3"/>
    <m/>
    <m/>
    <n v="0"/>
    <m/>
    <m/>
    <x v="1"/>
    <m/>
    <m/>
    <m/>
    <m/>
    <n v="195406.965"/>
    <m/>
    <m/>
  </r>
  <r>
    <x v="2"/>
    <m/>
    <x v="54"/>
    <x v="1"/>
    <s v="$$$$"/>
    <s v=""/>
    <x v="3"/>
    <m/>
    <m/>
    <m/>
    <m/>
    <m/>
    <x v="1"/>
    <m/>
    <m/>
    <m/>
    <m/>
    <n v="0"/>
    <m/>
    <m/>
  </r>
  <r>
    <x v="2"/>
    <m/>
    <x v="55"/>
    <x v="2"/>
    <s v="$$"/>
    <n v="2019"/>
    <x v="3"/>
    <m/>
    <m/>
    <n v="0"/>
    <m/>
    <m/>
    <x v="1"/>
    <m/>
    <m/>
    <m/>
    <m/>
    <n v="0"/>
    <m/>
    <m/>
  </r>
  <r>
    <x v="2"/>
    <m/>
    <x v="56"/>
    <x v="2"/>
    <s v="$"/>
    <n v="2019"/>
    <x v="3"/>
    <m/>
    <m/>
    <n v="0"/>
    <m/>
    <m/>
    <x v="1"/>
    <m/>
    <m/>
    <m/>
    <m/>
    <n v="0"/>
    <m/>
    <m/>
  </r>
  <r>
    <x v="2"/>
    <m/>
    <x v="57"/>
    <x v="1"/>
    <s v="$$"/>
    <n v="2026"/>
    <x v="3"/>
    <m/>
    <m/>
    <m/>
    <m/>
    <m/>
    <x v="1"/>
    <m/>
    <m/>
    <m/>
    <m/>
    <n v="0"/>
    <m/>
    <m/>
  </r>
  <r>
    <x v="1"/>
    <m/>
    <x v="58"/>
    <x v="2"/>
    <s v="$$"/>
    <n v="2026"/>
    <x v="3"/>
    <m/>
    <m/>
    <n v="0"/>
    <m/>
    <m/>
    <x v="1"/>
    <m/>
    <m/>
    <m/>
    <m/>
    <n v="0"/>
    <m/>
    <m/>
  </r>
  <r>
    <x v="1"/>
    <m/>
    <x v="59"/>
    <x v="2"/>
    <s v="$$$"/>
    <n v="2026"/>
    <x v="3"/>
    <m/>
    <m/>
    <n v="0"/>
    <m/>
    <m/>
    <x v="1"/>
    <m/>
    <m/>
    <m/>
    <m/>
    <n v="0"/>
    <m/>
    <m/>
  </r>
  <r>
    <x v="1"/>
    <m/>
    <x v="60"/>
    <x v="2"/>
    <s v="$"/>
    <n v="2026"/>
    <x v="3"/>
    <m/>
    <m/>
    <n v="0"/>
    <m/>
    <m/>
    <x v="1"/>
    <m/>
    <m/>
    <m/>
    <m/>
    <n v="0"/>
    <m/>
    <m/>
  </r>
  <r>
    <x v="1"/>
    <m/>
    <x v="61"/>
    <x v="2"/>
    <s v="$"/>
    <n v="2026"/>
    <x v="3"/>
    <m/>
    <m/>
    <n v="0"/>
    <m/>
    <m/>
    <x v="1"/>
    <m/>
    <m/>
    <m/>
    <m/>
    <n v="0"/>
    <m/>
    <m/>
  </r>
  <r>
    <x v="2"/>
    <m/>
    <x v="62"/>
    <x v="1"/>
    <s v="$"/>
    <s v=""/>
    <x v="3"/>
    <m/>
    <m/>
    <m/>
    <m/>
    <m/>
    <x v="1"/>
    <m/>
    <m/>
    <m/>
    <m/>
    <n v="0"/>
    <m/>
    <m/>
  </r>
  <r>
    <x v="2"/>
    <m/>
    <x v="63"/>
    <x v="2"/>
    <s v="$"/>
    <n v="2019"/>
    <x v="3"/>
    <m/>
    <m/>
    <n v="0"/>
    <m/>
    <m/>
    <x v="1"/>
    <m/>
    <m/>
    <m/>
    <m/>
    <n v="0"/>
    <m/>
    <m/>
  </r>
  <r>
    <x v="2"/>
    <m/>
    <x v="64"/>
    <x v="1"/>
    <s v="$"/>
    <s v=""/>
    <x v="3"/>
    <m/>
    <m/>
    <m/>
    <m/>
    <m/>
    <x v="1"/>
    <m/>
    <m/>
    <m/>
    <m/>
    <n v="0"/>
    <m/>
    <m/>
  </r>
  <r>
    <x v="2"/>
    <s v="Waste Management "/>
    <x v="5"/>
    <x v="0"/>
    <s v="$$"/>
    <s v=""/>
    <x v="1"/>
    <s v="NYCHA Operating"/>
    <m/>
    <n v="739529.70000000007"/>
    <n v="739529.70000000007"/>
    <n v="2019"/>
    <x v="1"/>
    <n v="2020"/>
    <s v="UP-COMING"/>
    <m/>
    <m/>
    <n v="1875140.9186071779"/>
    <s v="JOCS CONTRACTS"/>
    <m/>
  </r>
  <r>
    <x v="2"/>
    <s v="Waste Management "/>
    <x v="65"/>
    <x v="0"/>
    <s v="$"/>
    <s v=""/>
    <x v="1"/>
    <s v="NYCHA Operating"/>
    <m/>
    <n v="97310"/>
    <n v="97310"/>
    <n v="2019"/>
    <x v="1"/>
    <n v="2020"/>
    <s v="UP-COMING"/>
    <m/>
    <m/>
    <n v="256091.65616175026"/>
    <s v="JOCS CONTRACTS"/>
    <m/>
  </r>
  <r>
    <x v="2"/>
    <s v="Waste Management "/>
    <x v="20"/>
    <x v="0"/>
    <s v="$"/>
    <s v=""/>
    <x v="1"/>
    <s v="City Expense"/>
    <n v="806574.97499999998"/>
    <m/>
    <n v="806574.97499999998"/>
    <n v="2019"/>
    <x v="1"/>
    <n v="2021"/>
    <s v="UP-COMING"/>
    <m/>
    <m/>
    <n v="2047014.5133466078"/>
    <s v="JOCS CONTRACTS"/>
    <m/>
  </r>
  <r>
    <x v="2"/>
    <s v="Waste Management "/>
    <x v="66"/>
    <x v="0"/>
    <s v="$$"/>
    <s v=""/>
    <x v="1"/>
    <s v="NYCHA Operating"/>
    <m/>
    <n v="452996.57512643072"/>
    <n v="452996.57512643072"/>
    <n v="2019"/>
    <x v="1"/>
    <n v="2021"/>
    <s v="UP-COMING"/>
    <m/>
    <m/>
    <n v="991710.64164650941"/>
    <s v="JOCS CONTRACTS"/>
    <m/>
  </r>
  <r>
    <x v="1"/>
    <m/>
    <x v="67"/>
    <x v="2"/>
    <s v="$"/>
    <n v="2026"/>
    <x v="4"/>
    <m/>
    <m/>
    <m/>
    <m/>
    <m/>
    <x v="3"/>
    <m/>
    <m/>
    <m/>
    <m/>
    <n v="1"/>
    <m/>
    <m/>
  </r>
  <r>
    <x v="2"/>
    <s v="Waste Management "/>
    <x v="27"/>
    <x v="0"/>
    <s v="$$"/>
    <s v=""/>
    <x v="4"/>
    <s v="Federal"/>
    <m/>
    <n v="74191"/>
    <n v="74191"/>
    <n v="2019"/>
    <x v="1"/>
    <n v="2021"/>
    <s v="UP-COMING"/>
    <m/>
    <m/>
    <n v="1"/>
    <s v="WMP JOCS SOW SELECTION"/>
    <m/>
  </r>
  <r>
    <x v="2"/>
    <m/>
    <x v="55"/>
    <x v="2"/>
    <s v="$$"/>
    <n v="2019"/>
    <x v="4"/>
    <m/>
    <m/>
    <m/>
    <m/>
    <m/>
    <x v="4"/>
    <m/>
    <m/>
    <m/>
    <m/>
    <n v="0"/>
    <m/>
    <m/>
  </r>
  <r>
    <x v="2"/>
    <m/>
    <x v="56"/>
    <x v="2"/>
    <s v="$"/>
    <n v="2019"/>
    <x v="4"/>
    <m/>
    <m/>
    <m/>
    <m/>
    <m/>
    <x v="5"/>
    <m/>
    <m/>
    <m/>
    <m/>
    <n v="0"/>
    <m/>
    <m/>
  </r>
  <r>
    <x v="2"/>
    <m/>
    <x v="68"/>
    <x v="1"/>
    <s v="$$"/>
    <s v=""/>
    <x v="4"/>
    <m/>
    <m/>
    <m/>
    <m/>
    <m/>
    <x v="4"/>
    <m/>
    <m/>
    <m/>
    <m/>
    <n v="2"/>
    <m/>
    <m/>
  </r>
  <r>
    <x v="2"/>
    <s v="Waste Management "/>
    <x v="30"/>
    <x v="0"/>
    <s v="$"/>
    <s v=""/>
    <x v="4"/>
    <s v="Federal"/>
    <m/>
    <n v="74191"/>
    <n v="74191"/>
    <n v="2019"/>
    <x v="1"/>
    <n v="2021"/>
    <s v="UP-COMING"/>
    <m/>
    <m/>
    <n v="2"/>
    <s v="WMP JOCS SOW SELECTION"/>
    <m/>
  </r>
  <r>
    <x v="1"/>
    <m/>
    <x v="58"/>
    <x v="2"/>
    <s v="$$"/>
    <n v="2026"/>
    <x v="4"/>
    <m/>
    <m/>
    <m/>
    <m/>
    <m/>
    <x v="6"/>
    <m/>
    <m/>
    <m/>
    <m/>
    <n v="0"/>
    <m/>
    <m/>
  </r>
  <r>
    <x v="1"/>
    <m/>
    <x v="59"/>
    <x v="2"/>
    <s v="$$$"/>
    <n v="2026"/>
    <x v="4"/>
    <m/>
    <m/>
    <m/>
    <m/>
    <m/>
    <x v="6"/>
    <m/>
    <m/>
    <m/>
    <m/>
    <n v="0"/>
    <m/>
    <m/>
  </r>
  <r>
    <x v="1"/>
    <m/>
    <x v="61"/>
    <x v="2"/>
    <s v="$"/>
    <n v="2026"/>
    <x v="4"/>
    <m/>
    <m/>
    <m/>
    <m/>
    <m/>
    <x v="6"/>
    <m/>
    <m/>
    <m/>
    <m/>
    <n v="0"/>
    <m/>
    <m/>
  </r>
  <r>
    <x v="2"/>
    <s v="Waste Management "/>
    <x v="21"/>
    <x v="0"/>
    <s v="$$"/>
    <s v=""/>
    <x v="4"/>
    <s v="Federal"/>
    <m/>
    <n v="3412786"/>
    <n v="3412786"/>
    <n v="2019"/>
    <x v="1"/>
    <n v="2021"/>
    <s v="UP-COMING"/>
    <m/>
    <m/>
    <n v="46"/>
    <s v="WMP JOCS SOW SELECTION"/>
    <m/>
  </r>
  <r>
    <x v="2"/>
    <s v="Waste Management "/>
    <x v="69"/>
    <x v="0"/>
    <s v="$"/>
    <s v=""/>
    <x v="4"/>
    <s v="Federal"/>
    <m/>
    <n v="593528"/>
    <n v="593528"/>
    <n v="2019"/>
    <x v="1"/>
    <n v="2021"/>
    <s v="UP-COMING"/>
    <m/>
    <m/>
    <n v="8"/>
    <s v="WMP JOCS SOW SELECTION"/>
    <m/>
  </r>
  <r>
    <x v="2"/>
    <m/>
    <x v="63"/>
    <x v="2"/>
    <s v="$"/>
    <n v="2019"/>
    <x v="4"/>
    <m/>
    <m/>
    <m/>
    <m/>
    <m/>
    <x v="6"/>
    <m/>
    <m/>
    <m/>
    <m/>
    <n v="0"/>
    <m/>
    <m/>
  </r>
  <r>
    <x v="2"/>
    <s v="Waste Management "/>
    <x v="5"/>
    <x v="0"/>
    <s v="$$"/>
    <s v=""/>
    <x v="5"/>
    <s v="Federal"/>
    <m/>
    <n v="2725380"/>
    <n v="2725380"/>
    <n v="2019"/>
    <x v="2"/>
    <n v="2021"/>
    <s v="UP-COMING"/>
    <m/>
    <m/>
    <n v="1307070"/>
    <s v="WMP JOCS SOW SELECTION"/>
    <s v="Need to speak to Real Estate about relocating compactors"/>
  </r>
  <r>
    <x v="2"/>
    <s v="Waste Management "/>
    <x v="20"/>
    <x v="0"/>
    <s v="$"/>
    <s v=""/>
    <x v="5"/>
    <s v="Federal"/>
    <m/>
    <n v="1362690"/>
    <n v="1362690"/>
    <n v="2019"/>
    <x v="2"/>
    <n v="2021"/>
    <s v="UP-COMING"/>
    <m/>
    <m/>
    <n v="1307070"/>
    <s v="WMP JOCS SOW SELECTION"/>
    <m/>
  </r>
  <r>
    <x v="2"/>
    <m/>
    <x v="70"/>
    <x v="2"/>
    <s v="$"/>
    <s v=""/>
    <x v="3"/>
    <m/>
    <m/>
    <n v="0"/>
    <m/>
    <m/>
    <x v="2"/>
    <m/>
    <m/>
    <m/>
    <m/>
    <n v="404029.86000000004"/>
    <m/>
    <m/>
  </r>
  <r>
    <x v="2"/>
    <m/>
    <x v="71"/>
    <x v="1"/>
    <s v="$$"/>
    <n v="2026"/>
    <x v="3"/>
    <m/>
    <m/>
    <m/>
    <m/>
    <m/>
    <x v="2"/>
    <m/>
    <m/>
    <m/>
    <m/>
    <n v="606044.79"/>
    <m/>
    <m/>
  </r>
  <r>
    <x v="2"/>
    <m/>
    <x v="72"/>
    <x v="1"/>
    <s v="$$$$"/>
    <s v=""/>
    <x v="3"/>
    <m/>
    <m/>
    <m/>
    <m/>
    <m/>
    <x v="2"/>
    <m/>
    <m/>
    <m/>
    <m/>
    <n v="404029.86000000004"/>
    <m/>
    <m/>
  </r>
  <r>
    <x v="1"/>
    <m/>
    <x v="73"/>
    <x v="2"/>
    <s v="$"/>
    <s v=""/>
    <x v="3"/>
    <m/>
    <m/>
    <n v="0"/>
    <m/>
    <m/>
    <x v="2"/>
    <m/>
    <m/>
    <m/>
    <m/>
    <n v="404029.86000000004"/>
    <m/>
    <m/>
  </r>
  <r>
    <x v="2"/>
    <m/>
    <x v="74"/>
    <x v="1"/>
    <s v="$"/>
    <s v=""/>
    <x v="3"/>
    <m/>
    <m/>
    <m/>
    <m/>
    <m/>
    <x v="2"/>
    <m/>
    <m/>
    <m/>
    <m/>
    <n v="606044.79"/>
    <m/>
    <m/>
  </r>
  <r>
    <x v="2"/>
    <m/>
    <x v="75"/>
    <x v="1"/>
    <s v="$"/>
    <s v=""/>
    <x v="3"/>
    <m/>
    <m/>
    <m/>
    <m/>
    <m/>
    <x v="2"/>
    <m/>
    <m/>
    <m/>
    <m/>
    <n v="404029.86000000004"/>
    <m/>
    <m/>
  </r>
  <r>
    <x v="2"/>
    <m/>
    <x v="33"/>
    <x v="2"/>
    <s v="$"/>
    <s v=""/>
    <x v="4"/>
    <m/>
    <m/>
    <m/>
    <m/>
    <m/>
    <x v="7"/>
    <m/>
    <m/>
    <m/>
    <m/>
    <n v="1"/>
    <m/>
    <m/>
  </r>
  <r>
    <x v="2"/>
    <m/>
    <x v="38"/>
    <x v="1"/>
    <s v="$"/>
    <n v="2026"/>
    <x v="4"/>
    <m/>
    <m/>
    <m/>
    <m/>
    <m/>
    <x v="8"/>
    <m/>
    <m/>
    <m/>
    <m/>
    <n v="1"/>
    <m/>
    <m/>
  </r>
  <r>
    <x v="2"/>
    <m/>
    <x v="44"/>
    <x v="2"/>
    <s v="$"/>
    <n v="2019"/>
    <x v="4"/>
    <m/>
    <m/>
    <m/>
    <m/>
    <m/>
    <x v="9"/>
    <m/>
    <m/>
    <m/>
    <m/>
    <n v="0"/>
    <m/>
    <m/>
  </r>
  <r>
    <x v="2"/>
    <m/>
    <x v="76"/>
    <x v="2"/>
    <s v="$"/>
    <n v="2020"/>
    <x v="4"/>
    <m/>
    <m/>
    <m/>
    <m/>
    <m/>
    <x v="10"/>
    <m/>
    <m/>
    <m/>
    <m/>
    <n v="0"/>
    <m/>
    <m/>
  </r>
  <r>
    <x v="2"/>
    <m/>
    <x v="46"/>
    <x v="2"/>
    <s v="$$"/>
    <n v="2020"/>
    <x v="4"/>
    <m/>
    <m/>
    <m/>
    <m/>
    <m/>
    <x v="11"/>
    <m/>
    <m/>
    <m/>
    <m/>
    <n v="0"/>
    <m/>
    <m/>
  </r>
  <r>
    <x v="0"/>
    <s v="Waste Management "/>
    <x v="77"/>
    <x v="0"/>
    <s v="$"/>
    <s v=""/>
    <x v="3"/>
    <s v="Federal"/>
    <m/>
    <n v="187460"/>
    <n v="187460"/>
    <n v="2019"/>
    <x v="12"/>
    <m/>
    <s v="UP-COMING"/>
    <m/>
    <m/>
    <n v="208622.89499999999"/>
    <m/>
    <m/>
  </r>
  <r>
    <x v="0"/>
    <m/>
    <x v="78"/>
    <x v="2"/>
    <s v="$$$$"/>
    <s v=""/>
    <x v="3"/>
    <m/>
    <m/>
    <n v="0"/>
    <m/>
    <m/>
    <x v="12"/>
    <m/>
    <m/>
    <m/>
    <m/>
    <n v="417245.79"/>
    <m/>
    <m/>
  </r>
  <r>
    <x v="2"/>
    <m/>
    <x v="79"/>
    <x v="1"/>
    <s v="$$"/>
    <s v=""/>
    <x v="3"/>
    <m/>
    <m/>
    <m/>
    <m/>
    <m/>
    <x v="12"/>
    <m/>
    <m/>
    <m/>
    <m/>
    <n v="625868.68499999994"/>
    <m/>
    <m/>
  </r>
  <r>
    <x v="1"/>
    <m/>
    <x v="67"/>
    <x v="2"/>
    <s v="$"/>
    <n v="2026"/>
    <x v="3"/>
    <m/>
    <m/>
    <n v="0"/>
    <m/>
    <m/>
    <x v="12"/>
    <m/>
    <m/>
    <m/>
    <m/>
    <n v="208622.89499999999"/>
    <m/>
    <m/>
  </r>
  <r>
    <x v="1"/>
    <s v="Waste Management "/>
    <x v="80"/>
    <x v="0"/>
    <s v="$$"/>
    <s v=""/>
    <x v="3"/>
    <s v="Federal"/>
    <m/>
    <n v="187460"/>
    <n v="187460"/>
    <n v="2019"/>
    <x v="12"/>
    <m/>
    <s v="UP-COMING"/>
    <m/>
    <m/>
    <n v="208622.89499999999"/>
    <m/>
    <m/>
  </r>
  <r>
    <x v="2"/>
    <m/>
    <x v="81"/>
    <x v="1"/>
    <s v="$"/>
    <n v="2028"/>
    <x v="3"/>
    <m/>
    <m/>
    <m/>
    <m/>
    <m/>
    <x v="12"/>
    <m/>
    <m/>
    <m/>
    <m/>
    <n v="625868.68499999994"/>
    <m/>
    <m/>
  </r>
  <r>
    <x v="1"/>
    <m/>
    <x v="82"/>
    <x v="2"/>
    <s v="$"/>
    <s v=""/>
    <x v="3"/>
    <m/>
    <m/>
    <n v="0"/>
    <m/>
    <m/>
    <x v="12"/>
    <m/>
    <m/>
    <m/>
    <m/>
    <n v="417245.79"/>
    <m/>
    <m/>
  </r>
  <r>
    <x v="2"/>
    <m/>
    <x v="32"/>
    <x v="1"/>
    <s v="$"/>
    <s v=""/>
    <x v="4"/>
    <m/>
    <m/>
    <m/>
    <m/>
    <m/>
    <x v="13"/>
    <m/>
    <m/>
    <m/>
    <m/>
    <n v="1"/>
    <m/>
    <m/>
  </r>
  <r>
    <x v="1"/>
    <m/>
    <x v="83"/>
    <x v="2"/>
    <s v="$"/>
    <n v="2026"/>
    <x v="4"/>
    <m/>
    <m/>
    <m/>
    <m/>
    <m/>
    <x v="14"/>
    <m/>
    <m/>
    <m/>
    <m/>
    <n v="3"/>
    <m/>
    <m/>
  </r>
  <r>
    <x v="1"/>
    <s v="Waste Management "/>
    <x v="80"/>
    <x v="0"/>
    <s v="$$"/>
    <s v=""/>
    <x v="4"/>
    <s v="Federal"/>
    <m/>
    <n v="74191"/>
    <n v="74191"/>
    <n v="2019"/>
    <x v="15"/>
    <m/>
    <s v="UP-COMING"/>
    <m/>
    <m/>
    <n v="2"/>
    <m/>
    <m/>
  </r>
  <r>
    <x v="0"/>
    <m/>
    <x v="48"/>
    <x v="2"/>
    <s v="$"/>
    <s v=""/>
    <x v="4"/>
    <m/>
    <m/>
    <m/>
    <m/>
    <m/>
    <x v="16"/>
    <m/>
    <m/>
    <m/>
    <m/>
    <n v="35"/>
    <m/>
    <m/>
  </r>
  <r>
    <x v="2"/>
    <m/>
    <x v="74"/>
    <x v="1"/>
    <s v="$"/>
    <s v=""/>
    <x v="4"/>
    <m/>
    <m/>
    <m/>
    <m/>
    <m/>
    <x v="17"/>
    <m/>
    <m/>
    <m/>
    <m/>
    <n v="9"/>
    <m/>
    <m/>
  </r>
  <r>
    <x v="2"/>
    <m/>
    <x v="64"/>
    <x v="1"/>
    <s v="$"/>
    <s v=""/>
    <x v="4"/>
    <m/>
    <m/>
    <m/>
    <m/>
    <m/>
    <x v="18"/>
    <m/>
    <m/>
    <m/>
    <m/>
    <n v="1"/>
    <m/>
    <m/>
  </r>
  <r>
    <x v="1"/>
    <m/>
    <x v="83"/>
    <x v="2"/>
    <s v="$"/>
    <n v="2026"/>
    <x v="3"/>
    <m/>
    <m/>
    <n v="0"/>
    <m/>
    <m/>
    <x v="19"/>
    <m/>
    <m/>
    <m/>
    <m/>
    <n v="215230.86000000002"/>
    <m/>
    <m/>
  </r>
  <r>
    <x v="2"/>
    <m/>
    <x v="76"/>
    <x v="2"/>
    <s v="$"/>
    <n v="2020"/>
    <x v="3"/>
    <m/>
    <m/>
    <n v="0"/>
    <m/>
    <m/>
    <x v="19"/>
    <m/>
    <m/>
    <m/>
    <m/>
    <n v="0"/>
    <m/>
    <m/>
  </r>
  <r>
    <x v="2"/>
    <m/>
    <x v="84"/>
    <x v="1"/>
    <s v="$"/>
    <n v="2023"/>
    <x v="3"/>
    <m/>
    <m/>
    <m/>
    <m/>
    <m/>
    <x v="19"/>
    <m/>
    <m/>
    <m/>
    <m/>
    <n v="0"/>
    <m/>
    <m/>
  </r>
  <r>
    <x v="2"/>
    <m/>
    <x v="68"/>
    <x v="1"/>
    <s v="$$"/>
    <s v=""/>
    <x v="3"/>
    <m/>
    <m/>
    <m/>
    <m/>
    <m/>
    <x v="19"/>
    <m/>
    <m/>
    <m/>
    <m/>
    <n v="430461.72000000003"/>
    <m/>
    <m/>
  </r>
  <r>
    <x v="2"/>
    <m/>
    <x v="85"/>
    <x v="1"/>
    <s v="$"/>
    <s v=""/>
    <x v="3"/>
    <m/>
    <m/>
    <m/>
    <m/>
    <m/>
    <x v="19"/>
    <m/>
    <m/>
    <m/>
    <m/>
    <n v="430461.72000000003"/>
    <m/>
    <m/>
  </r>
  <r>
    <x v="2"/>
    <m/>
    <x v="86"/>
    <x v="1"/>
    <s v="$"/>
    <s v=""/>
    <x v="3"/>
    <m/>
    <m/>
    <m/>
    <m/>
    <m/>
    <x v="19"/>
    <m/>
    <m/>
    <m/>
    <m/>
    <n v="1076154.3"/>
    <m/>
    <m/>
  </r>
  <r>
    <x v="1"/>
    <s v="Waste Management "/>
    <x v="16"/>
    <x v="0"/>
    <s v="$"/>
    <s v=""/>
    <x v="3"/>
    <s v="Federal"/>
    <m/>
    <n v="374920"/>
    <n v="374920"/>
    <n v="2019"/>
    <x v="19"/>
    <m/>
    <s v="UP-COMING"/>
    <m/>
    <m/>
    <n v="430461.72000000003"/>
    <m/>
    <m/>
  </r>
  <r>
    <x v="1"/>
    <s v="Waste Management "/>
    <x v="1"/>
    <x v="0"/>
    <s v="$$"/>
    <s v=""/>
    <x v="4"/>
    <s v="Federal"/>
    <m/>
    <n v="445146"/>
    <n v="445146"/>
    <n v="2019"/>
    <x v="20"/>
    <m/>
    <s v="UP-COMING"/>
    <m/>
    <m/>
    <n v="6"/>
    <m/>
    <m/>
  </r>
  <r>
    <x v="2"/>
    <m/>
    <x v="47"/>
    <x v="1"/>
    <s v="$$$"/>
    <n v="2028"/>
    <x v="4"/>
    <m/>
    <m/>
    <m/>
    <m/>
    <m/>
    <x v="21"/>
    <m/>
    <m/>
    <m/>
    <m/>
    <n v="17"/>
    <m/>
    <m/>
  </r>
  <r>
    <x v="2"/>
    <m/>
    <x v="87"/>
    <x v="1"/>
    <s v="$$$"/>
    <s v=""/>
    <x v="4"/>
    <m/>
    <m/>
    <m/>
    <m/>
    <m/>
    <x v="22"/>
    <m/>
    <m/>
    <m/>
    <m/>
    <n v="18"/>
    <m/>
    <m/>
  </r>
  <r>
    <x v="2"/>
    <m/>
    <x v="88"/>
    <x v="1"/>
    <s v="$$$$"/>
    <s v=""/>
    <x v="3"/>
    <m/>
    <m/>
    <m/>
    <m/>
    <m/>
    <x v="23"/>
    <m/>
    <m/>
    <m/>
    <m/>
    <n v="443677.65"/>
    <m/>
    <m/>
  </r>
  <r>
    <x v="2"/>
    <m/>
    <x v="89"/>
    <x v="2"/>
    <s v="$$$"/>
    <s v=""/>
    <x v="3"/>
    <m/>
    <m/>
    <n v="0"/>
    <m/>
    <m/>
    <x v="23"/>
    <m/>
    <m/>
    <m/>
    <m/>
    <n v="665516.47499999998"/>
    <m/>
    <m/>
  </r>
  <r>
    <x v="2"/>
    <m/>
    <x v="90"/>
    <x v="1"/>
    <s v="$$$"/>
    <s v=""/>
    <x v="3"/>
    <m/>
    <m/>
    <m/>
    <m/>
    <m/>
    <x v="23"/>
    <m/>
    <m/>
    <m/>
    <m/>
    <n v="443677.65"/>
    <m/>
    <m/>
  </r>
  <r>
    <x v="1"/>
    <m/>
    <x v="91"/>
    <x v="2"/>
    <s v="$$"/>
    <n v="2025"/>
    <x v="3"/>
    <m/>
    <m/>
    <n v="0"/>
    <m/>
    <m/>
    <x v="23"/>
    <m/>
    <m/>
    <m/>
    <m/>
    <n v="0"/>
    <m/>
    <m/>
  </r>
  <r>
    <x v="2"/>
    <m/>
    <x v="92"/>
    <x v="1"/>
    <s v="$"/>
    <s v=""/>
    <x v="3"/>
    <m/>
    <m/>
    <m/>
    <m/>
    <m/>
    <x v="23"/>
    <m/>
    <m/>
    <m/>
    <m/>
    <n v="665516.47499999998"/>
    <m/>
    <m/>
  </r>
  <r>
    <x v="3"/>
    <m/>
    <x v="93"/>
    <x v="2"/>
    <s v="$"/>
    <s v=""/>
    <x v="3"/>
    <m/>
    <m/>
    <n v="0"/>
    <m/>
    <m/>
    <x v="19"/>
    <m/>
    <m/>
    <m/>
    <m/>
    <n v="645692.58000000007"/>
    <m/>
    <m/>
  </r>
  <r>
    <x v="3"/>
    <m/>
    <x v="94"/>
    <x v="2"/>
    <s v="$"/>
    <s v=""/>
    <x v="3"/>
    <m/>
    <m/>
    <n v="0"/>
    <m/>
    <m/>
    <x v="23"/>
    <m/>
    <m/>
    <m/>
    <m/>
    <n v="665516.47499999998"/>
    <m/>
    <m/>
  </r>
  <r>
    <x v="2"/>
    <m/>
    <x v="95"/>
    <x v="1"/>
    <s v="$"/>
    <s v=""/>
    <x v="3"/>
    <m/>
    <m/>
    <m/>
    <m/>
    <m/>
    <x v="23"/>
    <m/>
    <m/>
    <m/>
    <m/>
    <n v="665516.47499999998"/>
    <m/>
    <m/>
  </r>
  <r>
    <x v="2"/>
    <m/>
    <x v="87"/>
    <x v="1"/>
    <s v="$$$"/>
    <s v=""/>
    <x v="3"/>
    <m/>
    <m/>
    <m/>
    <m/>
    <m/>
    <x v="23"/>
    <m/>
    <m/>
    <m/>
    <m/>
    <n v="887355.3"/>
    <m/>
    <m/>
  </r>
  <r>
    <x v="2"/>
    <m/>
    <x v="96"/>
    <x v="1"/>
    <s v="$$$"/>
    <n v="2023"/>
    <x v="3"/>
    <m/>
    <m/>
    <m/>
    <m/>
    <m/>
    <x v="23"/>
    <m/>
    <m/>
    <m/>
    <m/>
    <n v="0"/>
    <m/>
    <m/>
  </r>
  <r>
    <x v="1"/>
    <m/>
    <x v="82"/>
    <x v="2"/>
    <s v="$"/>
    <s v=""/>
    <x v="4"/>
    <m/>
    <m/>
    <m/>
    <m/>
    <m/>
    <x v="24"/>
    <m/>
    <m/>
    <m/>
    <m/>
    <n v="6"/>
    <m/>
    <m/>
  </r>
  <r>
    <x v="2"/>
    <m/>
    <x v="86"/>
    <x v="1"/>
    <s v="$"/>
    <s v=""/>
    <x v="4"/>
    <m/>
    <m/>
    <m/>
    <m/>
    <m/>
    <x v="25"/>
    <m/>
    <m/>
    <m/>
    <m/>
    <n v="22"/>
    <m/>
    <m/>
  </r>
  <r>
    <x v="2"/>
    <m/>
    <x v="88"/>
    <x v="1"/>
    <s v="$$$$"/>
    <s v=""/>
    <x v="4"/>
    <m/>
    <m/>
    <m/>
    <m/>
    <m/>
    <x v="26"/>
    <m/>
    <m/>
    <m/>
    <m/>
    <n v="6"/>
    <m/>
    <m/>
  </r>
  <r>
    <x v="2"/>
    <m/>
    <x v="72"/>
    <x v="1"/>
    <s v="$$$$"/>
    <s v=""/>
    <x v="4"/>
    <m/>
    <m/>
    <m/>
    <m/>
    <m/>
    <x v="27"/>
    <m/>
    <m/>
    <m/>
    <m/>
    <n v="20"/>
    <m/>
    <m/>
  </r>
  <r>
    <x v="2"/>
    <m/>
    <x v="54"/>
    <x v="1"/>
    <s v="$$$$"/>
    <s v=""/>
    <x v="4"/>
    <m/>
    <m/>
    <m/>
    <m/>
    <m/>
    <x v="28"/>
    <m/>
    <m/>
    <m/>
    <m/>
    <n v="1"/>
    <m/>
    <m/>
  </r>
  <r>
    <x v="0"/>
    <s v="Waste Management "/>
    <x v="0"/>
    <x v="0"/>
    <s v="$$"/>
    <s v=""/>
    <x v="4"/>
    <s v="Federal"/>
    <m/>
    <n v="220329"/>
    <n v="220329"/>
    <n v="2019"/>
    <x v="29"/>
    <m/>
    <s v="UP-COMING"/>
    <m/>
    <m/>
    <n v="8"/>
    <m/>
    <m/>
  </r>
  <r>
    <x v="2"/>
    <m/>
    <x v="71"/>
    <x v="1"/>
    <s v="$$"/>
    <n v="2026"/>
    <x v="4"/>
    <m/>
    <m/>
    <m/>
    <m/>
    <m/>
    <x v="30"/>
    <m/>
    <m/>
    <m/>
    <m/>
    <n v="34"/>
    <m/>
    <m/>
  </r>
  <r>
    <x v="2"/>
    <m/>
    <x v="90"/>
    <x v="1"/>
    <s v="$$$"/>
    <s v=""/>
    <x v="4"/>
    <m/>
    <m/>
    <m/>
    <m/>
    <m/>
    <x v="31"/>
    <m/>
    <m/>
    <m/>
    <m/>
    <n v="10"/>
    <m/>
    <m/>
  </r>
  <r>
    <x v="2"/>
    <m/>
    <x v="57"/>
    <x v="1"/>
    <s v="$$"/>
    <n v="2026"/>
    <x v="4"/>
    <m/>
    <m/>
    <m/>
    <m/>
    <m/>
    <x v="32"/>
    <m/>
    <m/>
    <m/>
    <m/>
    <n v="40"/>
    <m/>
    <m/>
  </r>
  <r>
    <x v="2"/>
    <m/>
    <x v="52"/>
    <x v="1"/>
    <s v="$"/>
    <s v=""/>
    <x v="4"/>
    <m/>
    <m/>
    <m/>
    <m/>
    <m/>
    <x v="33"/>
    <m/>
    <m/>
    <m/>
    <m/>
    <n v="3"/>
    <m/>
    <m/>
  </r>
  <r>
    <x v="1"/>
    <m/>
    <x v="73"/>
    <x v="2"/>
    <s v="$"/>
    <s v=""/>
    <x v="4"/>
    <m/>
    <m/>
    <m/>
    <m/>
    <m/>
    <x v="34"/>
    <m/>
    <m/>
    <m/>
    <m/>
    <n v="18"/>
    <m/>
    <m/>
  </r>
  <r>
    <x v="2"/>
    <m/>
    <x v="95"/>
    <x v="1"/>
    <s v="$"/>
    <s v=""/>
    <x v="4"/>
    <m/>
    <m/>
    <m/>
    <m/>
    <m/>
    <x v="35"/>
    <m/>
    <m/>
    <m/>
    <m/>
    <n v="14"/>
    <m/>
    <m/>
  </r>
  <r>
    <x v="2"/>
    <m/>
    <x v="89"/>
    <x v="2"/>
    <s v="$$$"/>
    <s v=""/>
    <x v="4"/>
    <m/>
    <m/>
    <m/>
    <m/>
    <m/>
    <x v="36"/>
    <m/>
    <m/>
    <m/>
    <m/>
    <n v="11"/>
    <m/>
    <m/>
  </r>
  <r>
    <x v="2"/>
    <m/>
    <x v="40"/>
    <x v="2"/>
    <s v="$$$"/>
    <s v=""/>
    <x v="4"/>
    <m/>
    <m/>
    <m/>
    <m/>
    <m/>
    <x v="37"/>
    <m/>
    <m/>
    <m/>
    <m/>
    <n v="6"/>
    <m/>
    <m/>
  </r>
  <r>
    <x v="2"/>
    <m/>
    <x v="35"/>
    <x v="2"/>
    <s v="$$"/>
    <n v="2020"/>
    <x v="4"/>
    <m/>
    <m/>
    <m/>
    <m/>
    <m/>
    <x v="38"/>
    <m/>
    <m/>
    <m/>
    <m/>
    <n v="0"/>
    <m/>
    <m/>
  </r>
  <r>
    <x v="2"/>
    <m/>
    <x v="79"/>
    <x v="1"/>
    <s v="$$"/>
    <s v=""/>
    <x v="4"/>
    <m/>
    <m/>
    <m/>
    <m/>
    <m/>
    <x v="38"/>
    <m/>
    <m/>
    <m/>
    <m/>
    <n v="13"/>
    <m/>
    <m/>
  </r>
  <r>
    <x v="2"/>
    <m/>
    <x v="39"/>
    <x v="2"/>
    <s v="$"/>
    <s v=""/>
    <x v="4"/>
    <m/>
    <m/>
    <m/>
    <m/>
    <m/>
    <x v="39"/>
    <m/>
    <m/>
    <m/>
    <m/>
    <n v="1"/>
    <m/>
    <m/>
  </r>
  <r>
    <x v="2"/>
    <m/>
    <x v="41"/>
    <x v="1"/>
    <s v="$"/>
    <s v=""/>
    <x v="4"/>
    <m/>
    <m/>
    <m/>
    <m/>
    <m/>
    <x v="40"/>
    <m/>
    <m/>
    <m/>
    <m/>
    <n v="5"/>
    <m/>
    <m/>
  </r>
  <r>
    <x v="2"/>
    <m/>
    <x v="70"/>
    <x v="2"/>
    <s v="$"/>
    <s v=""/>
    <x v="4"/>
    <m/>
    <m/>
    <m/>
    <m/>
    <m/>
    <x v="41"/>
    <m/>
    <m/>
    <m/>
    <m/>
    <n v="19"/>
    <m/>
    <m/>
  </r>
  <r>
    <x v="1"/>
    <m/>
    <x v="53"/>
    <x v="2"/>
    <s v="$$"/>
    <s v=""/>
    <x v="4"/>
    <m/>
    <m/>
    <m/>
    <m/>
    <m/>
    <x v="42"/>
    <m/>
    <m/>
    <m/>
    <m/>
    <n v="4"/>
    <m/>
    <m/>
  </r>
  <r>
    <x v="1"/>
    <m/>
    <x v="60"/>
    <x v="2"/>
    <s v="$"/>
    <n v="2026"/>
    <x v="4"/>
    <m/>
    <m/>
    <m/>
    <m/>
    <m/>
    <x v="43"/>
    <m/>
    <m/>
    <m/>
    <m/>
    <n v="1"/>
    <m/>
    <m/>
  </r>
  <r>
    <x v="3"/>
    <m/>
    <x v="94"/>
    <x v="2"/>
    <s v="$"/>
    <s v=""/>
    <x v="4"/>
    <m/>
    <m/>
    <m/>
    <m/>
    <m/>
    <x v="44"/>
    <m/>
    <m/>
    <m/>
    <m/>
    <n v="49"/>
    <m/>
    <m/>
  </r>
  <r>
    <x v="1"/>
    <m/>
    <x v="37"/>
    <x v="2"/>
    <s v="$"/>
    <s v=""/>
    <x v="4"/>
    <m/>
    <m/>
    <m/>
    <m/>
    <m/>
    <x v="45"/>
    <m/>
    <m/>
    <m/>
    <m/>
    <n v="9"/>
    <m/>
    <m/>
  </r>
  <r>
    <x v="3"/>
    <m/>
    <x v="93"/>
    <x v="2"/>
    <s v="$"/>
    <s v=""/>
    <x v="4"/>
    <m/>
    <m/>
    <m/>
    <m/>
    <m/>
    <x v="46"/>
    <m/>
    <m/>
    <m/>
    <m/>
    <n v="47"/>
    <m/>
    <m/>
  </r>
  <r>
    <x v="2"/>
    <m/>
    <x v="49"/>
    <x v="2"/>
    <s v="$"/>
    <n v="2019"/>
    <x v="4"/>
    <m/>
    <m/>
    <m/>
    <m/>
    <m/>
    <x v="47"/>
    <m/>
    <m/>
    <m/>
    <m/>
    <n v="0"/>
    <m/>
    <m/>
  </r>
  <r>
    <x v="2"/>
    <m/>
    <x v="50"/>
    <x v="2"/>
    <s v="$"/>
    <n v="2019"/>
    <x v="4"/>
    <m/>
    <m/>
    <m/>
    <m/>
    <m/>
    <x v="47"/>
    <m/>
    <m/>
    <m/>
    <m/>
    <n v="0"/>
    <m/>
    <m/>
  </r>
  <r>
    <x v="1"/>
    <s v="Waste Management "/>
    <x v="97"/>
    <x v="0"/>
    <s v="$"/>
    <s v=""/>
    <x v="4"/>
    <s v="Federal"/>
    <m/>
    <n v="74191"/>
    <n v="74191"/>
    <n v="2019"/>
    <x v="47"/>
    <m/>
    <s v="UP-COMING"/>
    <m/>
    <m/>
    <n v="1"/>
    <m/>
    <m/>
  </r>
  <r>
    <x v="2"/>
    <m/>
    <x v="75"/>
    <x v="1"/>
    <s v="$"/>
    <s v=""/>
    <x v="4"/>
    <m/>
    <m/>
    <m/>
    <m/>
    <m/>
    <x v="48"/>
    <m/>
    <m/>
    <m/>
    <m/>
    <n v="3"/>
    <m/>
    <m/>
  </r>
  <r>
    <x v="2"/>
    <m/>
    <x v="92"/>
    <x v="1"/>
    <s v="$"/>
    <s v=""/>
    <x v="4"/>
    <m/>
    <m/>
    <m/>
    <m/>
    <m/>
    <x v="49"/>
    <m/>
    <m/>
    <m/>
    <m/>
    <n v="8"/>
    <m/>
    <m/>
  </r>
  <r>
    <x v="2"/>
    <m/>
    <x v="85"/>
    <x v="1"/>
    <s v="$"/>
    <s v=""/>
    <x v="4"/>
    <m/>
    <m/>
    <m/>
    <m/>
    <m/>
    <x v="50"/>
    <m/>
    <m/>
    <m/>
    <m/>
    <n v="1"/>
    <m/>
    <m/>
  </r>
  <r>
    <x v="2"/>
    <m/>
    <x v="62"/>
    <x v="1"/>
    <s v="$"/>
    <s v=""/>
    <x v="4"/>
    <m/>
    <m/>
    <m/>
    <m/>
    <m/>
    <x v="51"/>
    <m/>
    <m/>
    <m/>
    <m/>
    <n v="1"/>
    <m/>
    <m/>
  </r>
  <r>
    <x v="2"/>
    <m/>
    <x v="34"/>
    <x v="2"/>
    <s v="$$$$"/>
    <n v="2020"/>
    <x v="4"/>
    <m/>
    <m/>
    <m/>
    <m/>
    <m/>
    <x v="52"/>
    <m/>
    <m/>
    <m/>
    <m/>
    <n v="0"/>
    <m/>
    <m/>
  </r>
  <r>
    <x v="0"/>
    <m/>
    <x v="78"/>
    <x v="2"/>
    <s v="$$$$"/>
    <s v=""/>
    <x v="4"/>
    <m/>
    <m/>
    <m/>
    <m/>
    <m/>
    <x v="52"/>
    <m/>
    <m/>
    <m/>
    <m/>
    <n v="8"/>
    <m/>
    <m/>
  </r>
  <r>
    <x v="0"/>
    <m/>
    <x v="36"/>
    <x v="2"/>
    <s v="$$$"/>
    <s v=""/>
    <x v="4"/>
    <m/>
    <m/>
    <m/>
    <m/>
    <m/>
    <x v="53"/>
    <m/>
    <m/>
    <m/>
    <m/>
    <n v="7"/>
    <m/>
    <m/>
  </r>
  <r>
    <x v="2"/>
    <m/>
    <x v="43"/>
    <x v="2"/>
    <s v="$"/>
    <n v="2019"/>
    <x v="4"/>
    <m/>
    <m/>
    <m/>
    <m/>
    <m/>
    <x v="53"/>
    <m/>
    <m/>
    <m/>
    <m/>
    <n v="0"/>
    <m/>
    <m/>
  </r>
  <r>
    <x v="2"/>
    <m/>
    <x v="84"/>
    <x v="1"/>
    <s v="$"/>
    <n v="2023"/>
    <x v="4"/>
    <m/>
    <m/>
    <m/>
    <m/>
    <m/>
    <x v="54"/>
    <m/>
    <m/>
    <m/>
    <m/>
    <n v="0"/>
    <m/>
    <m/>
  </r>
  <r>
    <x v="2"/>
    <m/>
    <x v="81"/>
    <x v="1"/>
    <s v="$"/>
    <n v="2028"/>
    <x v="4"/>
    <m/>
    <m/>
    <m/>
    <m/>
    <m/>
    <x v="54"/>
    <m/>
    <m/>
    <m/>
    <m/>
    <n v="6"/>
    <m/>
    <m/>
  </r>
  <r>
    <x v="2"/>
    <m/>
    <x v="51"/>
    <x v="2"/>
    <s v="$$"/>
    <n v="2020"/>
    <x v="4"/>
    <m/>
    <m/>
    <m/>
    <m/>
    <m/>
    <x v="53"/>
    <m/>
    <m/>
    <m/>
    <m/>
    <n v="0"/>
    <m/>
    <m/>
  </r>
  <r>
    <x v="2"/>
    <m/>
    <x v="96"/>
    <x v="1"/>
    <s v="$$$"/>
    <n v="2023"/>
    <x v="4"/>
    <m/>
    <m/>
    <m/>
    <m/>
    <m/>
    <x v="55"/>
    <m/>
    <m/>
    <m/>
    <m/>
    <n v="0"/>
    <m/>
    <m/>
  </r>
  <r>
    <x v="2"/>
    <m/>
    <x v="42"/>
    <x v="1"/>
    <s v="$"/>
    <n v="2024"/>
    <x v="4"/>
    <m/>
    <m/>
    <m/>
    <m/>
    <m/>
    <x v="56"/>
    <m/>
    <m/>
    <m/>
    <m/>
    <n v="0"/>
    <m/>
    <m/>
  </r>
  <r>
    <x v="2"/>
    <m/>
    <x v="45"/>
    <x v="1"/>
    <s v="$$$$"/>
    <s v=""/>
    <x v="4"/>
    <m/>
    <m/>
    <m/>
    <m/>
    <m/>
    <x v="56"/>
    <m/>
    <m/>
    <m/>
    <m/>
    <n v="9"/>
    <m/>
    <m/>
  </r>
  <r>
    <x v="1"/>
    <m/>
    <x v="91"/>
    <x v="2"/>
    <s v="$$"/>
    <n v="2025"/>
    <x v="4"/>
    <m/>
    <m/>
    <m/>
    <m/>
    <m/>
    <x v="57"/>
    <m/>
    <m/>
    <m/>
    <m/>
    <n v="0"/>
    <m/>
    <m/>
  </r>
  <r>
    <x v="1"/>
    <s v="Waste Management "/>
    <x v="16"/>
    <x v="0"/>
    <s v="$"/>
    <s v=""/>
    <x v="4"/>
    <s v="Federal"/>
    <m/>
    <n v="370955"/>
    <n v="370955"/>
    <n v="2019"/>
    <x v="57"/>
    <m/>
    <s v="UP-COMING"/>
    <m/>
    <m/>
    <n v="5"/>
    <m/>
    <m/>
  </r>
  <r>
    <x v="0"/>
    <s v="Waste Management "/>
    <x v="98"/>
    <x v="0"/>
    <s v="$"/>
    <s v=""/>
    <x v="1"/>
    <s v="NYCHA Operating"/>
    <m/>
    <n v="137417.5"/>
    <n v="137417.5"/>
    <n v="2019"/>
    <x v="58"/>
    <m/>
    <s v="UP-COMING"/>
    <m/>
    <m/>
    <n v="359215.8130054081"/>
    <m/>
    <m/>
  </r>
  <r>
    <x v="0"/>
    <s v="Waste Management "/>
    <x v="6"/>
    <x v="0"/>
    <s v="$$$"/>
    <s v=""/>
    <x v="1"/>
    <s v="NYCHA Operating"/>
    <m/>
    <n v="632251.84219999996"/>
    <n v="632251.84219999996"/>
    <n v="2019"/>
    <x v="58"/>
    <m/>
    <s v="UP-COMING"/>
    <m/>
    <m/>
    <n v="1515925.1056017699"/>
    <m/>
    <m/>
  </r>
  <r>
    <x v="0"/>
    <s v="Waste Management "/>
    <x v="7"/>
    <x v="0"/>
    <s v="$$"/>
    <n v="2027"/>
    <x v="1"/>
    <s v="City Expense"/>
    <n v="1160763.6500000001"/>
    <m/>
    <n v="1160763.6500000001"/>
    <n v="2019"/>
    <x v="58"/>
    <m/>
    <s v="UP-COMING"/>
    <m/>
    <m/>
    <n v="2949350.8857286135"/>
    <m/>
    <m/>
  </r>
  <r>
    <x v="2"/>
    <m/>
    <x v="79"/>
    <x v="1"/>
    <s v="$$"/>
    <s v=""/>
    <x v="5"/>
    <m/>
    <m/>
    <m/>
    <m/>
    <m/>
    <x v="59"/>
    <m/>
    <m/>
    <m/>
    <m/>
    <n v="1307070"/>
    <m/>
    <m/>
  </r>
  <r>
    <x v="2"/>
    <m/>
    <x v="88"/>
    <x v="1"/>
    <s v="$$$$"/>
    <s v=""/>
    <x v="5"/>
    <m/>
    <m/>
    <m/>
    <m/>
    <m/>
    <x v="59"/>
    <m/>
    <m/>
    <m/>
    <m/>
    <n v="1307070"/>
    <m/>
    <m/>
  </r>
  <r>
    <x v="2"/>
    <m/>
    <x v="41"/>
    <x v="1"/>
    <s v="$"/>
    <s v=""/>
    <x v="5"/>
    <m/>
    <m/>
    <m/>
    <m/>
    <m/>
    <x v="59"/>
    <m/>
    <m/>
    <m/>
    <m/>
    <n v="1307070"/>
    <m/>
    <m/>
  </r>
  <r>
    <x v="2"/>
    <m/>
    <x v="42"/>
    <x v="1"/>
    <s v="$"/>
    <n v="2024"/>
    <x v="5"/>
    <m/>
    <m/>
    <m/>
    <m/>
    <m/>
    <x v="59"/>
    <m/>
    <m/>
    <m/>
    <m/>
    <n v="0"/>
    <m/>
    <m/>
  </r>
  <r>
    <x v="2"/>
    <m/>
    <x v="45"/>
    <x v="1"/>
    <s v="$$$$"/>
    <s v=""/>
    <x v="5"/>
    <m/>
    <m/>
    <m/>
    <m/>
    <m/>
    <x v="59"/>
    <m/>
    <m/>
    <m/>
    <m/>
    <n v="1307070"/>
    <m/>
    <m/>
  </r>
  <r>
    <x v="2"/>
    <m/>
    <x v="71"/>
    <x v="1"/>
    <s v="$$"/>
    <n v="2026"/>
    <x v="5"/>
    <m/>
    <m/>
    <m/>
    <m/>
    <m/>
    <x v="59"/>
    <m/>
    <m/>
    <m/>
    <m/>
    <n v="1307070"/>
    <m/>
    <m/>
  </r>
  <r>
    <x v="2"/>
    <m/>
    <x v="47"/>
    <x v="1"/>
    <s v="$$$"/>
    <n v="2028"/>
    <x v="5"/>
    <m/>
    <m/>
    <m/>
    <m/>
    <m/>
    <x v="59"/>
    <m/>
    <m/>
    <m/>
    <m/>
    <n v="1307070"/>
    <m/>
    <m/>
  </r>
  <r>
    <x v="2"/>
    <m/>
    <x v="90"/>
    <x v="1"/>
    <s v="$$$"/>
    <s v=""/>
    <x v="5"/>
    <m/>
    <m/>
    <m/>
    <m/>
    <m/>
    <x v="59"/>
    <m/>
    <m/>
    <m/>
    <m/>
    <n v="1307070"/>
    <m/>
    <m/>
  </r>
  <r>
    <x v="2"/>
    <m/>
    <x v="72"/>
    <x v="1"/>
    <s v="$$$$"/>
    <s v=""/>
    <x v="5"/>
    <m/>
    <m/>
    <m/>
    <m/>
    <m/>
    <x v="59"/>
    <m/>
    <m/>
    <m/>
    <m/>
    <n v="1307070"/>
    <m/>
    <m/>
  </r>
  <r>
    <x v="2"/>
    <m/>
    <x v="81"/>
    <x v="1"/>
    <s v="$"/>
    <n v="2028"/>
    <x v="5"/>
    <m/>
    <m/>
    <m/>
    <m/>
    <m/>
    <x v="59"/>
    <m/>
    <m/>
    <m/>
    <m/>
    <n v="1307070"/>
    <m/>
    <m/>
  </r>
  <r>
    <x v="0"/>
    <s v="Waste Management "/>
    <x v="7"/>
    <x v="0"/>
    <s v="$$"/>
    <n v="2027"/>
    <x v="5"/>
    <s v="Federal"/>
    <m/>
    <n v="1362690"/>
    <n v="1362690"/>
    <n v="2019"/>
    <x v="59"/>
    <m/>
    <s v="UP-COMING"/>
    <m/>
    <m/>
    <n v="1307070"/>
    <m/>
    <m/>
  </r>
  <r>
    <x v="2"/>
    <m/>
    <x v="52"/>
    <x v="1"/>
    <s v="$"/>
    <s v=""/>
    <x v="5"/>
    <m/>
    <m/>
    <m/>
    <m/>
    <m/>
    <x v="59"/>
    <m/>
    <m/>
    <m/>
    <m/>
    <n v="1307070"/>
    <m/>
    <m/>
  </r>
  <r>
    <x v="1"/>
    <s v="Waste Management "/>
    <x v="99"/>
    <x v="0"/>
    <s v="$$$"/>
    <s v=""/>
    <x v="5"/>
    <s v="Federal"/>
    <m/>
    <n v="1362690"/>
    <n v="1362690"/>
    <n v="2019"/>
    <x v="59"/>
    <m/>
    <s v="UP-COMING"/>
    <m/>
    <m/>
    <n v="1307070"/>
    <m/>
    <m/>
  </r>
  <r>
    <x v="2"/>
    <m/>
    <x v="92"/>
    <x v="1"/>
    <s v="$"/>
    <s v=""/>
    <x v="5"/>
    <m/>
    <m/>
    <m/>
    <m/>
    <m/>
    <x v="59"/>
    <m/>
    <m/>
    <m/>
    <m/>
    <n v="1307070"/>
    <m/>
    <m/>
  </r>
  <r>
    <x v="2"/>
    <m/>
    <x v="74"/>
    <x v="1"/>
    <s v="$"/>
    <s v=""/>
    <x v="5"/>
    <m/>
    <m/>
    <m/>
    <m/>
    <m/>
    <x v="59"/>
    <m/>
    <m/>
    <m/>
    <m/>
    <n v="1307070"/>
    <m/>
    <m/>
  </r>
  <r>
    <x v="2"/>
    <m/>
    <x v="95"/>
    <x v="1"/>
    <s v="$"/>
    <s v=""/>
    <x v="5"/>
    <m/>
    <m/>
    <m/>
    <m/>
    <m/>
    <x v="59"/>
    <m/>
    <m/>
    <m/>
    <m/>
    <n v="1307070"/>
    <m/>
    <m/>
  </r>
  <r>
    <x v="2"/>
    <m/>
    <x v="87"/>
    <x v="1"/>
    <s v="$$$"/>
    <s v=""/>
    <x v="5"/>
    <m/>
    <m/>
    <m/>
    <m/>
    <m/>
    <x v="59"/>
    <m/>
    <m/>
    <m/>
    <m/>
    <n v="1307070"/>
    <m/>
    <m/>
  </r>
  <r>
    <x v="2"/>
    <m/>
    <x v="86"/>
    <x v="1"/>
    <s v="$"/>
    <s v=""/>
    <x v="5"/>
    <m/>
    <m/>
    <m/>
    <m/>
    <m/>
    <x v="59"/>
    <m/>
    <m/>
    <m/>
    <m/>
    <n v="1307070"/>
    <m/>
    <m/>
  </r>
  <r>
    <x v="1"/>
    <s v="Waste Management "/>
    <x v="16"/>
    <x v="0"/>
    <s v="$"/>
    <s v=""/>
    <x v="5"/>
    <s v="Federal"/>
    <m/>
    <n v="1362690"/>
    <n v="1362690"/>
    <n v="2019"/>
    <x v="59"/>
    <m/>
    <s v="UP-COMING"/>
    <m/>
    <m/>
    <n v="1307070"/>
    <m/>
    <m/>
  </r>
  <r>
    <x v="2"/>
    <m/>
    <x v="79"/>
    <x v="1"/>
    <s v="$$"/>
    <s v=""/>
    <x v="2"/>
    <m/>
    <m/>
    <m/>
    <m/>
    <m/>
    <x v="59"/>
    <m/>
    <m/>
    <m/>
    <m/>
    <n v="37332.239999999998"/>
    <m/>
    <m/>
  </r>
  <r>
    <x v="2"/>
    <m/>
    <x v="88"/>
    <x v="1"/>
    <s v="$$$$"/>
    <s v=""/>
    <x v="2"/>
    <m/>
    <m/>
    <m/>
    <m/>
    <m/>
    <x v="59"/>
    <m/>
    <m/>
    <m/>
    <m/>
    <n v="37332.239999999998"/>
    <m/>
    <m/>
  </r>
  <r>
    <x v="2"/>
    <m/>
    <x v="41"/>
    <x v="1"/>
    <s v="$"/>
    <s v=""/>
    <x v="2"/>
    <m/>
    <m/>
    <m/>
    <m/>
    <m/>
    <x v="59"/>
    <m/>
    <m/>
    <m/>
    <m/>
    <n v="37332.239999999998"/>
    <m/>
    <m/>
  </r>
  <r>
    <x v="2"/>
    <m/>
    <x v="42"/>
    <x v="1"/>
    <s v="$"/>
    <n v="2024"/>
    <x v="2"/>
    <m/>
    <m/>
    <m/>
    <m/>
    <m/>
    <x v="59"/>
    <m/>
    <m/>
    <m/>
    <m/>
    <n v="0"/>
    <m/>
    <m/>
  </r>
  <r>
    <x v="2"/>
    <m/>
    <x v="45"/>
    <x v="1"/>
    <s v="$$$$"/>
    <s v=""/>
    <x v="2"/>
    <m/>
    <m/>
    <m/>
    <m/>
    <m/>
    <x v="59"/>
    <m/>
    <m/>
    <m/>
    <m/>
    <n v="37332.239999999998"/>
    <m/>
    <m/>
  </r>
  <r>
    <x v="2"/>
    <m/>
    <x v="71"/>
    <x v="1"/>
    <s v="$$"/>
    <n v="2026"/>
    <x v="2"/>
    <m/>
    <m/>
    <m/>
    <m/>
    <m/>
    <x v="59"/>
    <m/>
    <m/>
    <m/>
    <m/>
    <n v="37332.239999999998"/>
    <m/>
    <m/>
  </r>
  <r>
    <x v="2"/>
    <m/>
    <x v="47"/>
    <x v="1"/>
    <s v="$$$"/>
    <n v="2028"/>
    <x v="2"/>
    <m/>
    <m/>
    <m/>
    <m/>
    <m/>
    <x v="59"/>
    <m/>
    <m/>
    <m/>
    <m/>
    <n v="37332.239999999998"/>
    <m/>
    <m/>
  </r>
  <r>
    <x v="2"/>
    <m/>
    <x v="90"/>
    <x v="1"/>
    <s v="$$$"/>
    <s v=""/>
    <x v="2"/>
    <m/>
    <m/>
    <m/>
    <m/>
    <m/>
    <x v="59"/>
    <m/>
    <m/>
    <m/>
    <m/>
    <n v="37332.239999999998"/>
    <m/>
    <m/>
  </r>
  <r>
    <x v="2"/>
    <m/>
    <x v="72"/>
    <x v="1"/>
    <s v="$$$$"/>
    <s v=""/>
    <x v="2"/>
    <m/>
    <m/>
    <m/>
    <m/>
    <m/>
    <x v="59"/>
    <m/>
    <m/>
    <m/>
    <m/>
    <n v="37332.239999999998"/>
    <m/>
    <m/>
  </r>
  <r>
    <x v="2"/>
    <m/>
    <x v="81"/>
    <x v="1"/>
    <s v="$"/>
    <n v="2028"/>
    <x v="2"/>
    <m/>
    <m/>
    <m/>
    <m/>
    <m/>
    <x v="59"/>
    <m/>
    <m/>
    <m/>
    <m/>
    <n v="37332.239999999998"/>
    <m/>
    <m/>
  </r>
  <r>
    <x v="0"/>
    <s v="Waste Management "/>
    <x v="7"/>
    <x v="0"/>
    <s v="$$"/>
    <n v="2027"/>
    <x v="2"/>
    <s v="City Expense"/>
    <n v="33089.670899999997"/>
    <m/>
    <n v="33089.670899999997"/>
    <n v="2019"/>
    <x v="59"/>
    <m/>
    <s v="UP-COMING"/>
    <m/>
    <m/>
    <n v="37332.239999999998"/>
    <m/>
    <m/>
  </r>
  <r>
    <x v="1"/>
    <s v="Waste Management "/>
    <x v="8"/>
    <x v="0"/>
    <s v="$"/>
    <n v="2023"/>
    <x v="2"/>
    <s v="NYCHA Operating"/>
    <m/>
    <n v="34083.566126999998"/>
    <n v="34083.566126999998"/>
    <n v="2019"/>
    <x v="59"/>
    <m/>
    <s v="UP-COMING"/>
    <m/>
    <m/>
    <n v="0"/>
    <m/>
    <m/>
  </r>
  <r>
    <x v="2"/>
    <m/>
    <x v="52"/>
    <x v="1"/>
    <s v="$"/>
    <s v=""/>
    <x v="2"/>
    <m/>
    <m/>
    <m/>
    <m/>
    <m/>
    <x v="59"/>
    <m/>
    <m/>
    <m/>
    <m/>
    <n v="37332.239999999998"/>
    <m/>
    <m/>
  </r>
  <r>
    <x v="1"/>
    <s v="Waste Management "/>
    <x v="9"/>
    <x v="0"/>
    <s v="$$"/>
    <s v=""/>
    <x v="2"/>
    <s v="City Expense"/>
    <n v="33090.840899999996"/>
    <m/>
    <n v="33090.840899999996"/>
    <n v="2019"/>
    <x v="59"/>
    <m/>
    <s v="UP-COMING"/>
    <m/>
    <m/>
    <n v="37332.239999999998"/>
    <m/>
    <m/>
  </r>
  <r>
    <x v="1"/>
    <s v="Waste Management "/>
    <x v="10"/>
    <x v="0"/>
    <s v="$"/>
    <s v=""/>
    <x v="2"/>
    <s v="NYCHA Operating"/>
    <m/>
    <n v="33090.840899999996"/>
    <n v="33090.840899999996"/>
    <n v="2019"/>
    <x v="59"/>
    <m/>
    <s v="UP-COMING"/>
    <m/>
    <m/>
    <n v="37332.239999999998"/>
    <m/>
    <m/>
  </r>
  <r>
    <x v="2"/>
    <m/>
    <x v="92"/>
    <x v="1"/>
    <s v="$"/>
    <s v=""/>
    <x v="2"/>
    <m/>
    <m/>
    <m/>
    <m/>
    <m/>
    <x v="59"/>
    <m/>
    <m/>
    <m/>
    <m/>
    <n v="37332.239999999998"/>
    <m/>
    <m/>
  </r>
  <r>
    <x v="2"/>
    <m/>
    <x v="74"/>
    <x v="1"/>
    <s v="$"/>
    <s v=""/>
    <x v="2"/>
    <m/>
    <m/>
    <m/>
    <m/>
    <m/>
    <x v="59"/>
    <m/>
    <m/>
    <m/>
    <m/>
    <n v="37332.239999999998"/>
    <m/>
    <m/>
  </r>
  <r>
    <x v="0"/>
    <s v="Waste Management "/>
    <x v="11"/>
    <x v="0"/>
    <s v="$"/>
    <s v=""/>
    <x v="2"/>
    <s v="NYCHA Operating"/>
    <m/>
    <n v="37244.032963258331"/>
    <n v="37244.032963258331"/>
    <n v="2019"/>
    <x v="59"/>
    <m/>
    <s v="UP-COMING"/>
    <m/>
    <m/>
    <n v="37332.239999999998"/>
    <m/>
    <m/>
  </r>
  <r>
    <x v="2"/>
    <m/>
    <x v="95"/>
    <x v="1"/>
    <s v="$"/>
    <s v=""/>
    <x v="2"/>
    <m/>
    <m/>
    <m/>
    <m/>
    <m/>
    <x v="59"/>
    <m/>
    <m/>
    <m/>
    <m/>
    <n v="37332.239999999998"/>
    <m/>
    <m/>
  </r>
  <r>
    <x v="0"/>
    <s v="Waste Management "/>
    <x v="14"/>
    <x v="0"/>
    <s v="$"/>
    <s v=""/>
    <x v="2"/>
    <s v="NYCHA Operating"/>
    <m/>
    <n v="38361.353952156082"/>
    <n v="38361.353952156082"/>
    <n v="2019"/>
    <x v="59"/>
    <m/>
    <s v="UP-COMING"/>
    <m/>
    <m/>
    <n v="37332.239999999998"/>
    <m/>
    <m/>
  </r>
  <r>
    <x v="2"/>
    <m/>
    <x v="87"/>
    <x v="1"/>
    <s v="$$$"/>
    <s v=""/>
    <x v="2"/>
    <m/>
    <m/>
    <m/>
    <m/>
    <m/>
    <x v="59"/>
    <m/>
    <m/>
    <m/>
    <m/>
    <n v="37332.239999999998"/>
    <m/>
    <m/>
  </r>
  <r>
    <x v="2"/>
    <m/>
    <x v="86"/>
    <x v="1"/>
    <s v="$"/>
    <s v=""/>
    <x v="2"/>
    <m/>
    <m/>
    <m/>
    <m/>
    <m/>
    <x v="59"/>
    <m/>
    <m/>
    <m/>
    <m/>
    <n v="37332.239999999998"/>
    <m/>
    <m/>
  </r>
  <r>
    <x v="1"/>
    <s v="Waste Management "/>
    <x v="16"/>
    <x v="0"/>
    <s v="$"/>
    <s v=""/>
    <x v="2"/>
    <s v="City Expense"/>
    <n v="37244.032963258331"/>
    <m/>
    <n v="37244.032963258331"/>
    <n v="2019"/>
    <x v="59"/>
    <m/>
    <s v="UP-COMING"/>
    <m/>
    <m/>
    <n v="37332.239999999998"/>
    <m/>
    <m/>
  </r>
  <r>
    <x v="2"/>
    <m/>
    <x v="79"/>
    <x v="1"/>
    <s v="$$"/>
    <s v=""/>
    <x v="6"/>
    <m/>
    <m/>
    <m/>
    <m/>
    <m/>
    <x v="59"/>
    <m/>
    <m/>
    <m/>
    <m/>
    <n v="37000"/>
    <m/>
    <m/>
  </r>
  <r>
    <x v="2"/>
    <m/>
    <x v="42"/>
    <x v="1"/>
    <s v="$"/>
    <n v="2024"/>
    <x v="6"/>
    <m/>
    <m/>
    <m/>
    <m/>
    <m/>
    <x v="59"/>
    <m/>
    <m/>
    <m/>
    <m/>
    <n v="0"/>
    <m/>
    <m/>
  </r>
  <r>
    <x v="2"/>
    <m/>
    <x v="45"/>
    <x v="1"/>
    <s v="$$$$"/>
    <s v=""/>
    <x v="6"/>
    <m/>
    <m/>
    <m/>
    <m/>
    <m/>
    <x v="59"/>
    <m/>
    <m/>
    <m/>
    <m/>
    <n v="37000"/>
    <m/>
    <m/>
  </r>
  <r>
    <x v="2"/>
    <m/>
    <x v="71"/>
    <x v="1"/>
    <s v="$$"/>
    <n v="2026"/>
    <x v="6"/>
    <m/>
    <m/>
    <m/>
    <m/>
    <m/>
    <x v="59"/>
    <m/>
    <m/>
    <m/>
    <m/>
    <n v="37000"/>
    <m/>
    <m/>
  </r>
  <r>
    <x v="2"/>
    <m/>
    <x v="47"/>
    <x v="1"/>
    <s v="$$$"/>
    <n v="2028"/>
    <x v="6"/>
    <m/>
    <m/>
    <m/>
    <m/>
    <m/>
    <x v="59"/>
    <m/>
    <m/>
    <m/>
    <m/>
    <n v="37000"/>
    <m/>
    <m/>
  </r>
  <r>
    <x v="2"/>
    <m/>
    <x v="90"/>
    <x v="1"/>
    <s v="$$$"/>
    <s v=""/>
    <x v="6"/>
    <m/>
    <m/>
    <m/>
    <m/>
    <m/>
    <x v="59"/>
    <m/>
    <m/>
    <m/>
    <m/>
    <n v="37000"/>
    <m/>
    <m/>
  </r>
  <r>
    <x v="2"/>
    <m/>
    <x v="72"/>
    <x v="1"/>
    <s v="$$$$"/>
    <s v=""/>
    <x v="6"/>
    <m/>
    <m/>
    <m/>
    <m/>
    <m/>
    <x v="59"/>
    <m/>
    <m/>
    <m/>
    <m/>
    <n v="37000"/>
    <m/>
    <m/>
  </r>
  <r>
    <x v="2"/>
    <m/>
    <x v="74"/>
    <x v="1"/>
    <s v="$"/>
    <s v=""/>
    <x v="6"/>
    <m/>
    <m/>
    <m/>
    <m/>
    <m/>
    <x v="59"/>
    <m/>
    <m/>
    <m/>
    <m/>
    <n v="37000"/>
    <m/>
    <m/>
  </r>
  <r>
    <x v="2"/>
    <m/>
    <x v="95"/>
    <x v="1"/>
    <s v="$"/>
    <s v=""/>
    <x v="6"/>
    <m/>
    <m/>
    <m/>
    <m/>
    <m/>
    <x v="59"/>
    <m/>
    <m/>
    <m/>
    <m/>
    <n v="37000"/>
    <m/>
    <m/>
  </r>
  <r>
    <x v="2"/>
    <m/>
    <x v="87"/>
    <x v="1"/>
    <s v="$$$"/>
    <s v=""/>
    <x v="6"/>
    <m/>
    <m/>
    <m/>
    <m/>
    <m/>
    <x v="59"/>
    <m/>
    <m/>
    <m/>
    <m/>
    <n v="37000"/>
    <m/>
    <m/>
  </r>
  <r>
    <x v="2"/>
    <m/>
    <x v="86"/>
    <x v="1"/>
    <s v="$"/>
    <s v=""/>
    <x v="6"/>
    <m/>
    <m/>
    <m/>
    <m/>
    <m/>
    <x v="59"/>
    <m/>
    <m/>
    <m/>
    <m/>
    <n v="37000"/>
    <m/>
    <m/>
  </r>
  <r>
    <x v="2"/>
    <m/>
    <x v="32"/>
    <x v="1"/>
    <s v="$"/>
    <s v=""/>
    <x v="0"/>
    <m/>
    <m/>
    <m/>
    <m/>
    <m/>
    <x v="59"/>
    <m/>
    <m/>
    <m/>
    <m/>
    <n v="7400.8434999999999"/>
    <m/>
    <m/>
  </r>
  <r>
    <x v="0"/>
    <s v="Waste Management "/>
    <x v="77"/>
    <x v="0"/>
    <s v="$"/>
    <s v=""/>
    <x v="0"/>
    <s v="NYCHA Operating"/>
    <m/>
    <n v="3000"/>
    <n v="3000"/>
    <n v="2019"/>
    <x v="59"/>
    <m/>
    <s v="UP-COMING"/>
    <m/>
    <m/>
    <n v="7400.8434999999999"/>
    <m/>
    <m/>
  </r>
  <r>
    <x v="0"/>
    <s v="Waste Management "/>
    <x v="100"/>
    <x v="0"/>
    <s v="$"/>
    <s v=""/>
    <x v="0"/>
    <s v="NYCHA Operating"/>
    <m/>
    <n v="15000"/>
    <n v="15000"/>
    <n v="2019"/>
    <x v="59"/>
    <m/>
    <s v="UP-COMING"/>
    <m/>
    <m/>
    <n v="37004.217499999999"/>
    <m/>
    <m/>
  </r>
  <r>
    <x v="2"/>
    <m/>
    <x v="79"/>
    <x v="1"/>
    <s v="$$"/>
    <s v=""/>
    <x v="0"/>
    <m/>
    <m/>
    <m/>
    <m/>
    <m/>
    <x v="59"/>
    <m/>
    <m/>
    <m/>
    <m/>
    <n v="96210.965500000006"/>
    <m/>
    <m/>
  </r>
  <r>
    <x v="1"/>
    <s v="Waste Management "/>
    <x v="101"/>
    <x v="0"/>
    <s v="$"/>
    <n v="2025"/>
    <x v="0"/>
    <s v="NYCHA Operating"/>
    <m/>
    <n v="12000"/>
    <n v="12000"/>
    <n v="2019"/>
    <x v="59"/>
    <m/>
    <s v="UP-COMING"/>
    <m/>
    <m/>
    <n v="29603.374"/>
    <m/>
    <m/>
  </r>
  <r>
    <x v="1"/>
    <s v="Waste Management "/>
    <x v="102"/>
    <x v="0"/>
    <s v="$"/>
    <n v="2025"/>
    <x v="0"/>
    <s v="NYCHA Operating"/>
    <m/>
    <n v="9000"/>
    <n v="9000"/>
    <n v="2019"/>
    <x v="59"/>
    <m/>
    <s v="UP-COMING"/>
    <m/>
    <m/>
    <n v="22202.530500000001"/>
    <m/>
    <m/>
  </r>
  <r>
    <x v="2"/>
    <m/>
    <x v="88"/>
    <x v="1"/>
    <s v="$$$$"/>
    <s v=""/>
    <x v="0"/>
    <m/>
    <m/>
    <m/>
    <m/>
    <m/>
    <x v="59"/>
    <m/>
    <m/>
    <m/>
    <m/>
    <n v="44405.061000000002"/>
    <m/>
    <m/>
  </r>
  <r>
    <x v="1"/>
    <s v="Waste Management "/>
    <x v="103"/>
    <x v="0"/>
    <s v="$"/>
    <n v="2025"/>
    <x v="0"/>
    <s v="NYCHA Operating"/>
    <m/>
    <n v="3000"/>
    <n v="3000"/>
    <n v="2019"/>
    <x v="59"/>
    <m/>
    <s v="UP-COMING"/>
    <m/>
    <m/>
    <n v="7400.8434999999999"/>
    <m/>
    <m/>
  </r>
  <r>
    <x v="2"/>
    <m/>
    <x v="38"/>
    <x v="1"/>
    <s v="$"/>
    <n v="2026"/>
    <x v="0"/>
    <m/>
    <m/>
    <m/>
    <m/>
    <m/>
    <x v="59"/>
    <m/>
    <m/>
    <m/>
    <m/>
    <n v="7400.8434999999999"/>
    <m/>
    <m/>
  </r>
  <r>
    <x v="2"/>
    <m/>
    <x v="41"/>
    <x v="1"/>
    <s v="$"/>
    <s v=""/>
    <x v="0"/>
    <m/>
    <m/>
    <m/>
    <m/>
    <m/>
    <x v="59"/>
    <m/>
    <m/>
    <m/>
    <m/>
    <n v="37004.217499999999"/>
    <m/>
    <m/>
  </r>
  <r>
    <x v="1"/>
    <s v="Waste Management "/>
    <x v="80"/>
    <x v="0"/>
    <s v="$$"/>
    <s v=""/>
    <x v="0"/>
    <s v="City Expense"/>
    <n v="3000"/>
    <m/>
    <n v="3000"/>
    <n v="2019"/>
    <x v="59"/>
    <m/>
    <s v="UP-COMING"/>
    <m/>
    <m/>
    <n v="14801.687"/>
    <m/>
    <m/>
  </r>
  <r>
    <x v="2"/>
    <m/>
    <x v="42"/>
    <x v="1"/>
    <s v="$"/>
    <n v="2024"/>
    <x v="0"/>
    <m/>
    <m/>
    <m/>
    <m/>
    <m/>
    <x v="59"/>
    <m/>
    <m/>
    <m/>
    <m/>
    <n v="0"/>
    <m/>
    <m/>
  </r>
  <r>
    <x v="2"/>
    <m/>
    <x v="45"/>
    <x v="1"/>
    <s v="$$$$"/>
    <s v=""/>
    <x v="0"/>
    <m/>
    <m/>
    <m/>
    <m/>
    <m/>
    <x v="59"/>
    <m/>
    <m/>
    <m/>
    <m/>
    <n v="66607.591499999995"/>
    <m/>
    <m/>
  </r>
  <r>
    <x v="0"/>
    <s v="Waste Management "/>
    <x v="98"/>
    <x v="0"/>
    <s v="$"/>
    <s v=""/>
    <x v="0"/>
    <s v="NYCHA Operating"/>
    <m/>
    <n v="3000"/>
    <n v="3000"/>
    <n v="2019"/>
    <x v="59"/>
    <m/>
    <s v="UP-COMING"/>
    <m/>
    <m/>
    <n v="7400.8434999999999"/>
    <m/>
    <m/>
  </r>
  <r>
    <x v="2"/>
    <m/>
    <x v="71"/>
    <x v="1"/>
    <s v="$$"/>
    <n v="2026"/>
    <x v="0"/>
    <m/>
    <m/>
    <m/>
    <m/>
    <m/>
    <x v="59"/>
    <m/>
    <m/>
    <m/>
    <m/>
    <n v="251628.679"/>
    <m/>
    <m/>
  </r>
  <r>
    <x v="2"/>
    <m/>
    <x v="47"/>
    <x v="1"/>
    <s v="$$$"/>
    <n v="2028"/>
    <x v="0"/>
    <m/>
    <m/>
    <m/>
    <m/>
    <m/>
    <x v="59"/>
    <m/>
    <m/>
    <m/>
    <m/>
    <n v="125814.3395"/>
    <m/>
    <m/>
  </r>
  <r>
    <x v="2"/>
    <m/>
    <x v="90"/>
    <x v="1"/>
    <s v="$$$"/>
    <s v=""/>
    <x v="0"/>
    <m/>
    <m/>
    <m/>
    <m/>
    <m/>
    <x v="59"/>
    <m/>
    <m/>
    <m/>
    <m/>
    <n v="74008.434999999998"/>
    <m/>
    <m/>
  </r>
  <r>
    <x v="2"/>
    <m/>
    <x v="104"/>
    <x v="3"/>
    <n v="0"/>
    <s v=""/>
    <x v="0"/>
    <m/>
    <m/>
    <m/>
    <m/>
    <m/>
    <x v="59"/>
    <m/>
    <m/>
    <m/>
    <m/>
    <n v="29603.374"/>
    <m/>
    <m/>
  </r>
  <r>
    <x v="2"/>
    <m/>
    <x v="84"/>
    <x v="1"/>
    <s v="$"/>
    <n v="2023"/>
    <x v="0"/>
    <m/>
    <m/>
    <m/>
    <m/>
    <m/>
    <x v="59"/>
    <m/>
    <m/>
    <m/>
    <m/>
    <n v="0"/>
    <m/>
    <m/>
  </r>
  <r>
    <x v="2"/>
    <m/>
    <x v="72"/>
    <x v="1"/>
    <s v="$$$$"/>
    <s v=""/>
    <x v="0"/>
    <m/>
    <m/>
    <m/>
    <m/>
    <m/>
    <x v="59"/>
    <m/>
    <m/>
    <m/>
    <m/>
    <n v="148016.87"/>
    <m/>
    <m/>
  </r>
  <r>
    <x v="2"/>
    <m/>
    <x v="81"/>
    <x v="1"/>
    <s v="$"/>
    <n v="2028"/>
    <x v="0"/>
    <m/>
    <m/>
    <m/>
    <m/>
    <m/>
    <x v="59"/>
    <m/>
    <m/>
    <m/>
    <m/>
    <n v="44405.061000000002"/>
    <m/>
    <m/>
  </r>
  <r>
    <x v="2"/>
    <m/>
    <x v="52"/>
    <x v="1"/>
    <s v="$"/>
    <s v=""/>
    <x v="0"/>
    <m/>
    <m/>
    <m/>
    <m/>
    <m/>
    <x v="59"/>
    <m/>
    <m/>
    <m/>
    <m/>
    <n v="22202.530500000001"/>
    <m/>
    <m/>
  </r>
  <r>
    <x v="1"/>
    <s v="Waste Management "/>
    <x v="99"/>
    <x v="0"/>
    <s v="$$$"/>
    <s v=""/>
    <x v="0"/>
    <s v="City Expense"/>
    <n v="3000"/>
    <m/>
    <n v="3000"/>
    <n v="2019"/>
    <x v="59"/>
    <m/>
    <s v="UP-COMING"/>
    <m/>
    <m/>
    <n v="59206.748"/>
    <m/>
    <m/>
  </r>
  <r>
    <x v="2"/>
    <m/>
    <x v="54"/>
    <x v="1"/>
    <s v="$$$$"/>
    <s v=""/>
    <x v="0"/>
    <m/>
    <m/>
    <m/>
    <m/>
    <m/>
    <x v="59"/>
    <m/>
    <m/>
    <m/>
    <m/>
    <n v="7400.8434999999999"/>
    <m/>
    <m/>
  </r>
  <r>
    <x v="1"/>
    <s v="Waste Management "/>
    <x v="105"/>
    <x v="0"/>
    <s v="$$$$"/>
    <s v=""/>
    <x v="0"/>
    <s v="City Expense"/>
    <n v="6000"/>
    <m/>
    <n v="6000"/>
    <n v="2019"/>
    <x v="59"/>
    <m/>
    <s v="UP-COMING"/>
    <m/>
    <m/>
    <n v="14801.687"/>
    <m/>
    <m/>
  </r>
  <r>
    <x v="2"/>
    <m/>
    <x v="92"/>
    <x v="1"/>
    <s v="$"/>
    <s v=""/>
    <x v="0"/>
    <m/>
    <m/>
    <m/>
    <m/>
    <m/>
    <x v="59"/>
    <m/>
    <m/>
    <m/>
    <m/>
    <n v="59206.748"/>
    <m/>
    <m/>
  </r>
  <r>
    <x v="2"/>
    <m/>
    <x v="74"/>
    <x v="1"/>
    <s v="$"/>
    <s v=""/>
    <x v="0"/>
    <m/>
    <m/>
    <m/>
    <m/>
    <m/>
    <x v="59"/>
    <m/>
    <m/>
    <m/>
    <m/>
    <n v="66607.591499999995"/>
    <m/>
    <m/>
  </r>
  <r>
    <x v="2"/>
    <m/>
    <x v="68"/>
    <x v="1"/>
    <s v="$$"/>
    <s v=""/>
    <x v="0"/>
    <m/>
    <m/>
    <m/>
    <m/>
    <m/>
    <x v="59"/>
    <m/>
    <m/>
    <m/>
    <m/>
    <n v="14801.687"/>
    <m/>
    <m/>
  </r>
  <r>
    <x v="0"/>
    <s v="Waste Management "/>
    <x v="106"/>
    <x v="0"/>
    <s v="$"/>
    <s v=""/>
    <x v="0"/>
    <s v="NYCHA Operating"/>
    <m/>
    <n v="9000"/>
    <n v="9000"/>
    <n v="2019"/>
    <x v="59"/>
    <m/>
    <s v="UP-COMING"/>
    <m/>
    <m/>
    <n v="22202.530500000001"/>
    <m/>
    <m/>
  </r>
  <r>
    <x v="2"/>
    <m/>
    <x v="95"/>
    <x v="1"/>
    <s v="$"/>
    <s v=""/>
    <x v="0"/>
    <m/>
    <m/>
    <m/>
    <m/>
    <m/>
    <x v="59"/>
    <m/>
    <m/>
    <m/>
    <m/>
    <n v="103611.80899999999"/>
    <m/>
    <m/>
  </r>
  <r>
    <x v="2"/>
    <m/>
    <x v="57"/>
    <x v="1"/>
    <s v="$$"/>
    <n v="2026"/>
    <x v="0"/>
    <m/>
    <m/>
    <m/>
    <m/>
    <m/>
    <x v="59"/>
    <m/>
    <m/>
    <m/>
    <m/>
    <n v="296033.74"/>
    <m/>
    <m/>
  </r>
  <r>
    <x v="2"/>
    <m/>
    <x v="87"/>
    <x v="1"/>
    <s v="$$$"/>
    <s v=""/>
    <x v="0"/>
    <m/>
    <m/>
    <m/>
    <m/>
    <m/>
    <x v="59"/>
    <m/>
    <m/>
    <m/>
    <m/>
    <n v="133215.18299999999"/>
    <m/>
    <m/>
  </r>
  <r>
    <x v="1"/>
    <s v="Waste Management "/>
    <x v="107"/>
    <x v="0"/>
    <s v="$"/>
    <n v="2025"/>
    <x v="0"/>
    <s v="NYCHA Operating"/>
    <m/>
    <n v="6000"/>
    <n v="6000"/>
    <n v="2019"/>
    <x v="59"/>
    <m/>
    <s v="UP-COMING"/>
    <m/>
    <m/>
    <n v="14801.687"/>
    <m/>
    <m/>
  </r>
  <r>
    <x v="2"/>
    <m/>
    <x v="85"/>
    <x v="1"/>
    <s v="$"/>
    <s v=""/>
    <x v="0"/>
    <m/>
    <m/>
    <m/>
    <m/>
    <m/>
    <x v="59"/>
    <m/>
    <m/>
    <m/>
    <m/>
    <n v="7400.8434999999999"/>
    <m/>
    <m/>
  </r>
  <r>
    <x v="2"/>
    <m/>
    <x v="62"/>
    <x v="1"/>
    <s v="$"/>
    <s v=""/>
    <x v="0"/>
    <m/>
    <m/>
    <m/>
    <m/>
    <m/>
    <x v="59"/>
    <m/>
    <m/>
    <m/>
    <m/>
    <n v="7400.8434999999999"/>
    <m/>
    <m/>
  </r>
  <r>
    <x v="2"/>
    <m/>
    <x v="86"/>
    <x v="1"/>
    <s v="$"/>
    <s v=""/>
    <x v="0"/>
    <m/>
    <m/>
    <m/>
    <m/>
    <m/>
    <x v="59"/>
    <m/>
    <m/>
    <m/>
    <m/>
    <n v="162818.557"/>
    <m/>
    <m/>
  </r>
  <r>
    <x v="2"/>
    <m/>
    <x v="96"/>
    <x v="1"/>
    <s v="$$$"/>
    <n v="2023"/>
    <x v="0"/>
    <m/>
    <m/>
    <m/>
    <m/>
    <m/>
    <x v="59"/>
    <m/>
    <m/>
    <m/>
    <m/>
    <n v="0"/>
    <m/>
    <m/>
  </r>
  <r>
    <x v="2"/>
    <m/>
    <x v="64"/>
    <x v="1"/>
    <s v="$"/>
    <s v=""/>
    <x v="0"/>
    <m/>
    <m/>
    <m/>
    <m/>
    <m/>
    <x v="59"/>
    <m/>
    <m/>
    <m/>
    <m/>
    <n v="7400.8434999999999"/>
    <m/>
    <m/>
  </r>
  <r>
    <x v="2"/>
    <m/>
    <x v="75"/>
    <x v="1"/>
    <s v="$"/>
    <s v=""/>
    <x v="0"/>
    <m/>
    <m/>
    <m/>
    <m/>
    <m/>
    <x v="59"/>
    <m/>
    <m/>
    <m/>
    <m/>
    <n v="22202.530500000001"/>
    <m/>
    <m/>
  </r>
  <r>
    <x v="2"/>
    <m/>
    <x v="79"/>
    <x v="1"/>
    <s v="$$"/>
    <s v=""/>
    <x v="7"/>
    <m/>
    <m/>
    <m/>
    <m/>
    <m/>
    <x v="59"/>
    <m/>
    <m/>
    <m/>
    <m/>
    <n v="13656"/>
    <m/>
    <m/>
  </r>
  <r>
    <x v="2"/>
    <m/>
    <x v="88"/>
    <x v="1"/>
    <s v="$$$$"/>
    <s v=""/>
    <x v="7"/>
    <m/>
    <m/>
    <m/>
    <m/>
    <m/>
    <x v="59"/>
    <m/>
    <m/>
    <m/>
    <m/>
    <n v="13656"/>
    <m/>
    <m/>
  </r>
  <r>
    <x v="2"/>
    <m/>
    <x v="41"/>
    <x v="1"/>
    <s v="$"/>
    <s v=""/>
    <x v="7"/>
    <m/>
    <m/>
    <m/>
    <m/>
    <m/>
    <x v="59"/>
    <m/>
    <m/>
    <m/>
    <m/>
    <n v="13656"/>
    <m/>
    <m/>
  </r>
  <r>
    <x v="2"/>
    <m/>
    <x v="42"/>
    <x v="1"/>
    <s v="$"/>
    <n v="2024"/>
    <x v="7"/>
    <m/>
    <m/>
    <m/>
    <m/>
    <m/>
    <x v="59"/>
    <m/>
    <m/>
    <m/>
    <m/>
    <n v="0"/>
    <m/>
    <m/>
  </r>
  <r>
    <x v="2"/>
    <m/>
    <x v="45"/>
    <x v="1"/>
    <s v="$$$$"/>
    <s v=""/>
    <x v="7"/>
    <m/>
    <m/>
    <m/>
    <m/>
    <m/>
    <x v="59"/>
    <m/>
    <m/>
    <m/>
    <m/>
    <n v="13656"/>
    <m/>
    <m/>
  </r>
  <r>
    <x v="2"/>
    <m/>
    <x v="71"/>
    <x v="1"/>
    <s v="$$"/>
    <n v="2026"/>
    <x v="7"/>
    <m/>
    <m/>
    <m/>
    <m/>
    <m/>
    <x v="59"/>
    <m/>
    <m/>
    <m/>
    <m/>
    <n v="13656"/>
    <m/>
    <m/>
  </r>
  <r>
    <x v="2"/>
    <m/>
    <x v="47"/>
    <x v="1"/>
    <s v="$$$"/>
    <n v="2028"/>
    <x v="7"/>
    <m/>
    <m/>
    <m/>
    <m/>
    <m/>
    <x v="59"/>
    <m/>
    <m/>
    <m/>
    <m/>
    <n v="13656"/>
    <m/>
    <m/>
  </r>
  <r>
    <x v="2"/>
    <m/>
    <x v="90"/>
    <x v="1"/>
    <s v="$$$"/>
    <s v=""/>
    <x v="7"/>
    <m/>
    <m/>
    <m/>
    <m/>
    <m/>
    <x v="59"/>
    <m/>
    <m/>
    <m/>
    <m/>
    <n v="13656"/>
    <m/>
    <m/>
  </r>
  <r>
    <x v="2"/>
    <m/>
    <x v="72"/>
    <x v="1"/>
    <s v="$$$$"/>
    <s v=""/>
    <x v="7"/>
    <m/>
    <m/>
    <m/>
    <m/>
    <m/>
    <x v="59"/>
    <m/>
    <m/>
    <m/>
    <m/>
    <n v="13656"/>
    <m/>
    <m/>
  </r>
  <r>
    <x v="2"/>
    <m/>
    <x v="81"/>
    <x v="1"/>
    <s v="$"/>
    <n v="2028"/>
    <x v="7"/>
    <m/>
    <m/>
    <m/>
    <m/>
    <m/>
    <x v="59"/>
    <m/>
    <m/>
    <m/>
    <m/>
    <n v="13656"/>
    <m/>
    <m/>
  </r>
  <r>
    <x v="2"/>
    <m/>
    <x v="52"/>
    <x v="1"/>
    <s v="$"/>
    <s v=""/>
    <x v="7"/>
    <m/>
    <m/>
    <m/>
    <m/>
    <m/>
    <x v="59"/>
    <m/>
    <m/>
    <m/>
    <m/>
    <n v="13656"/>
    <m/>
    <m/>
  </r>
  <r>
    <x v="2"/>
    <m/>
    <x v="92"/>
    <x v="1"/>
    <s v="$"/>
    <s v=""/>
    <x v="7"/>
    <m/>
    <m/>
    <m/>
    <m/>
    <m/>
    <x v="59"/>
    <m/>
    <m/>
    <m/>
    <m/>
    <n v="13656"/>
    <m/>
    <m/>
  </r>
  <r>
    <x v="2"/>
    <m/>
    <x v="74"/>
    <x v="1"/>
    <s v="$"/>
    <s v=""/>
    <x v="7"/>
    <m/>
    <m/>
    <m/>
    <m/>
    <m/>
    <x v="59"/>
    <m/>
    <m/>
    <m/>
    <m/>
    <n v="13656"/>
    <m/>
    <m/>
  </r>
  <r>
    <x v="2"/>
    <m/>
    <x v="95"/>
    <x v="1"/>
    <s v="$"/>
    <s v=""/>
    <x v="7"/>
    <m/>
    <m/>
    <m/>
    <m/>
    <m/>
    <x v="59"/>
    <m/>
    <m/>
    <m/>
    <m/>
    <n v="13656"/>
    <m/>
    <m/>
  </r>
  <r>
    <x v="2"/>
    <m/>
    <x v="87"/>
    <x v="1"/>
    <s v="$$$"/>
    <s v=""/>
    <x v="7"/>
    <m/>
    <m/>
    <m/>
    <m/>
    <m/>
    <x v="59"/>
    <m/>
    <m/>
    <m/>
    <m/>
    <n v="13656"/>
    <m/>
    <m/>
  </r>
  <r>
    <x v="2"/>
    <m/>
    <x v="86"/>
    <x v="1"/>
    <s v="$"/>
    <s v=""/>
    <x v="7"/>
    <m/>
    <m/>
    <m/>
    <m/>
    <m/>
    <x v="59"/>
    <m/>
    <m/>
    <m/>
    <m/>
    <n v="13656"/>
    <m/>
    <m/>
  </r>
  <r>
    <x v="2"/>
    <m/>
    <x v="79"/>
    <x v="1"/>
    <s v="$$"/>
    <s v=""/>
    <x v="8"/>
    <m/>
    <m/>
    <m/>
    <m/>
    <m/>
    <x v="59"/>
    <m/>
    <m/>
    <m/>
    <m/>
    <n v="133611.6"/>
    <m/>
    <m/>
  </r>
  <r>
    <x v="2"/>
    <m/>
    <x v="42"/>
    <x v="1"/>
    <s v="$"/>
    <n v="2024"/>
    <x v="8"/>
    <m/>
    <m/>
    <m/>
    <m/>
    <m/>
    <x v="59"/>
    <m/>
    <m/>
    <m/>
    <m/>
    <n v="0"/>
    <m/>
    <m/>
  </r>
  <r>
    <x v="2"/>
    <m/>
    <x v="45"/>
    <x v="1"/>
    <s v="$$$$"/>
    <s v=""/>
    <x v="8"/>
    <m/>
    <m/>
    <m/>
    <m/>
    <m/>
    <x v="59"/>
    <m/>
    <m/>
    <m/>
    <m/>
    <n v="133611.6"/>
    <m/>
    <m/>
  </r>
  <r>
    <x v="2"/>
    <m/>
    <x v="71"/>
    <x v="1"/>
    <s v="$$"/>
    <n v="2026"/>
    <x v="8"/>
    <m/>
    <m/>
    <m/>
    <m/>
    <m/>
    <x v="59"/>
    <m/>
    <m/>
    <m/>
    <m/>
    <n v="133611.6"/>
    <m/>
    <m/>
  </r>
  <r>
    <x v="2"/>
    <m/>
    <x v="47"/>
    <x v="1"/>
    <s v="$$$"/>
    <n v="2028"/>
    <x v="8"/>
    <m/>
    <m/>
    <m/>
    <m/>
    <m/>
    <x v="59"/>
    <m/>
    <m/>
    <m/>
    <m/>
    <n v="133611.6"/>
    <m/>
    <m/>
  </r>
  <r>
    <x v="2"/>
    <m/>
    <x v="90"/>
    <x v="1"/>
    <s v="$$$"/>
    <s v=""/>
    <x v="8"/>
    <m/>
    <m/>
    <m/>
    <m/>
    <m/>
    <x v="59"/>
    <m/>
    <m/>
    <m/>
    <m/>
    <n v="133611.6"/>
    <m/>
    <m/>
  </r>
  <r>
    <x v="2"/>
    <m/>
    <x v="72"/>
    <x v="1"/>
    <s v="$$$$"/>
    <s v=""/>
    <x v="8"/>
    <m/>
    <m/>
    <m/>
    <m/>
    <m/>
    <x v="59"/>
    <m/>
    <m/>
    <m/>
    <m/>
    <n v="133611.6"/>
    <m/>
    <m/>
  </r>
  <r>
    <x v="0"/>
    <s v="Waste Management "/>
    <x v="7"/>
    <x v="0"/>
    <s v="$$"/>
    <n v="2027"/>
    <x v="8"/>
    <s v="Federal"/>
    <m/>
    <n v="800958.9"/>
    <n v="800958.9"/>
    <n v="2019"/>
    <x v="59"/>
    <m/>
    <m/>
    <m/>
    <m/>
    <n v="133611.6"/>
    <m/>
    <m/>
  </r>
  <r>
    <x v="2"/>
    <m/>
    <x v="74"/>
    <x v="1"/>
    <s v="$"/>
    <s v=""/>
    <x v="8"/>
    <m/>
    <m/>
    <m/>
    <m/>
    <m/>
    <x v="59"/>
    <m/>
    <m/>
    <m/>
    <m/>
    <n v="133611.6"/>
    <m/>
    <m/>
  </r>
  <r>
    <x v="2"/>
    <m/>
    <x v="95"/>
    <x v="1"/>
    <s v="$"/>
    <s v=""/>
    <x v="8"/>
    <m/>
    <m/>
    <m/>
    <m/>
    <m/>
    <x v="59"/>
    <m/>
    <m/>
    <m/>
    <m/>
    <n v="133611.6"/>
    <m/>
    <m/>
  </r>
  <r>
    <x v="2"/>
    <m/>
    <x v="87"/>
    <x v="1"/>
    <s v="$$$"/>
    <s v=""/>
    <x v="8"/>
    <m/>
    <m/>
    <m/>
    <m/>
    <m/>
    <x v="59"/>
    <m/>
    <m/>
    <m/>
    <m/>
    <n v="133611.6"/>
    <m/>
    <m/>
  </r>
  <r>
    <x v="2"/>
    <m/>
    <x v="86"/>
    <x v="1"/>
    <s v="$"/>
    <s v=""/>
    <x v="8"/>
    <m/>
    <m/>
    <m/>
    <m/>
    <m/>
    <x v="59"/>
    <m/>
    <m/>
    <m/>
    <m/>
    <n v="133611.6"/>
    <m/>
    <m/>
  </r>
  <r>
    <x v="2"/>
    <m/>
    <x v="96"/>
    <x v="1"/>
    <s v="$$$"/>
    <n v="2023"/>
    <x v="8"/>
    <m/>
    <m/>
    <m/>
    <m/>
    <m/>
    <x v="59"/>
    <m/>
    <m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8D871-5A55-4A89-9C57-EDF8468CB24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01" firstHeaderRow="0" firstDataRow="1" firstDataCol="1"/>
  <pivotFields count="20">
    <pivotField showAll="0"/>
    <pivotField showAll="0"/>
    <pivotField axis="axisRow" showAll="0">
      <items count="112">
        <item x="32"/>
        <item x="77"/>
        <item x="33"/>
        <item x="22"/>
        <item x="34"/>
        <item x="23"/>
        <item x="17"/>
        <item x="100"/>
        <item x="35"/>
        <item x="78"/>
        <item x="36"/>
        <item x="24"/>
        <item x="37"/>
        <item x="0"/>
        <item x="1"/>
        <item x="25"/>
        <item x="79"/>
        <item x="83"/>
        <item x="101"/>
        <item x="2"/>
        <item x="3"/>
        <item x="102"/>
        <item x="88"/>
        <item x="103"/>
        <item x="38"/>
        <item x="67"/>
        <item x="39"/>
        <item x="89"/>
        <item x="40"/>
        <item x="41"/>
        <item x="80"/>
        <item x="42"/>
        <item m="1" x="109"/>
        <item x="43"/>
        <item x="70"/>
        <item x="26"/>
        <item x="44"/>
        <item x="45"/>
        <item x="76"/>
        <item x="46"/>
        <item x="98"/>
        <item x="4"/>
        <item x="71"/>
        <item x="47"/>
        <item x="90"/>
        <item x="48"/>
        <item x="5"/>
        <item x="65"/>
        <item x="6"/>
        <item x="104"/>
        <item x="84"/>
        <item x="72"/>
        <item x="27"/>
        <item x="28"/>
        <item x="29"/>
        <item x="81"/>
        <item x="49"/>
        <item x="50"/>
        <item x="7"/>
        <item x="51"/>
        <item x="8"/>
        <item x="18"/>
        <item x="52"/>
        <item x="73"/>
        <item x="53"/>
        <item x="9"/>
        <item x="99"/>
        <item x="54"/>
        <item x="105"/>
        <item x="10"/>
        <item x="55"/>
        <item x="91"/>
        <item x="92"/>
        <item x="56"/>
        <item x="93"/>
        <item x="94"/>
        <item x="74"/>
        <item m="1" x="110"/>
        <item x="20"/>
        <item x="66"/>
        <item x="68"/>
        <item x="11"/>
        <item x="106"/>
        <item x="12"/>
        <item x="82"/>
        <item x="95"/>
        <item x="57"/>
        <item x="30"/>
        <item x="13"/>
        <item x="58"/>
        <item x="59"/>
        <item x="14"/>
        <item x="87"/>
        <item x="107"/>
        <item x="15"/>
        <item x="97"/>
        <item x="19"/>
        <item x="60"/>
        <item x="61"/>
        <item x="85"/>
        <item x="62"/>
        <item m="1" x="108"/>
        <item x="21"/>
        <item x="69"/>
        <item x="86"/>
        <item x="31"/>
        <item x="96"/>
        <item x="63"/>
        <item x="16"/>
        <item x="64"/>
        <item x="75"/>
        <item t="default"/>
      </items>
    </pivotField>
    <pivotField showAll="0"/>
    <pivotField showAll="0"/>
    <pivotField showAll="0"/>
    <pivotField axis="axisRow" showAll="0">
      <items count="12">
        <item x="5"/>
        <item x="2"/>
        <item x="6"/>
        <item x="0"/>
        <item x="3"/>
        <item m="1" x="10"/>
        <item x="1"/>
        <item x="4"/>
        <item x="7"/>
        <item x="8"/>
        <item m="1" x="9"/>
        <item t="default"/>
      </items>
    </pivotField>
    <pivotField showAll="0"/>
    <pivotField showAll="0"/>
    <pivotField showAll="0"/>
    <pivotField showAll="0"/>
    <pivotField showAll="0"/>
    <pivotField axis="axisRow" showAll="0" includeNewItemsInFilter="1">
      <items count="74">
        <item x="0"/>
        <item x="1"/>
        <item x="2"/>
        <item x="12"/>
        <item x="19"/>
        <item x="23"/>
        <item m="1" x="65"/>
        <item m="1" x="71"/>
        <item m="1" x="62"/>
        <item m="1" x="68"/>
        <item h="1" x="58"/>
        <item h="1" x="59"/>
        <item m="1" x="66"/>
        <item m="1" x="69"/>
        <item m="1" x="67"/>
        <item m="1" x="63"/>
        <item m="1" x="72"/>
        <item m="1" x="70"/>
        <item m="1" x="61"/>
        <item m="1" x="64"/>
        <item m="1" x="60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</pivotFields>
  <rowFields count="3">
    <field x="12"/>
    <field x="6"/>
    <field x="2"/>
  </rowFields>
  <rowItems count="298">
    <i>
      <x/>
    </i>
    <i r="1">
      <x v="3"/>
    </i>
    <i r="2">
      <x v="13"/>
    </i>
    <i r="2">
      <x v="14"/>
    </i>
    <i r="2">
      <x v="19"/>
    </i>
    <i r="2">
      <x v="20"/>
    </i>
    <i r="2">
      <x v="41"/>
    </i>
    <i r="2">
      <x v="46"/>
    </i>
    <i r="2">
      <x v="48"/>
    </i>
    <i r="2">
      <x v="58"/>
    </i>
    <i r="2">
      <x v="60"/>
    </i>
    <i r="2">
      <x v="65"/>
    </i>
    <i r="2">
      <x v="69"/>
    </i>
    <i r="2">
      <x v="81"/>
    </i>
    <i r="2">
      <x v="83"/>
    </i>
    <i r="2">
      <x v="88"/>
    </i>
    <i r="2">
      <x v="91"/>
    </i>
    <i r="2">
      <x v="94"/>
    </i>
    <i r="2">
      <x v="108"/>
    </i>
    <i r="1">
      <x v="6"/>
    </i>
    <i r="2">
      <x v="6"/>
    </i>
    <i r="2">
      <x v="61"/>
    </i>
    <i r="2">
      <x v="96"/>
    </i>
    <i>
      <x v="1"/>
    </i>
    <i r="1">
      <x v="1"/>
    </i>
    <i r="2">
      <x v="46"/>
    </i>
    <i r="2">
      <x v="78"/>
    </i>
    <i r="2">
      <x v="102"/>
    </i>
    <i r="1">
      <x v="3"/>
    </i>
    <i r="2">
      <x v="3"/>
    </i>
    <i r="2">
      <x v="5"/>
    </i>
    <i r="2">
      <x v="11"/>
    </i>
    <i r="2">
      <x v="15"/>
    </i>
    <i r="2">
      <x v="35"/>
    </i>
    <i r="2">
      <x v="52"/>
    </i>
    <i r="2">
      <x v="53"/>
    </i>
    <i r="2">
      <x v="54"/>
    </i>
    <i r="2">
      <x v="78"/>
    </i>
    <i r="2">
      <x v="87"/>
    </i>
    <i r="2">
      <x v="96"/>
    </i>
    <i r="2">
      <x v="105"/>
    </i>
    <i r="1">
      <x v="4"/>
    </i>
    <i r="2">
      <x/>
    </i>
    <i r="2">
      <x v="2"/>
    </i>
    <i r="2">
      <x v="4"/>
    </i>
    <i r="2">
      <x v="8"/>
    </i>
    <i r="2">
      <x v="10"/>
    </i>
    <i r="2">
      <x v="12"/>
    </i>
    <i r="2">
      <x v="24"/>
    </i>
    <i r="2">
      <x v="26"/>
    </i>
    <i r="2">
      <x v="28"/>
    </i>
    <i r="2">
      <x v="29"/>
    </i>
    <i r="2">
      <x v="31"/>
    </i>
    <i r="2">
      <x v="33"/>
    </i>
    <i r="2">
      <x v="36"/>
    </i>
    <i r="2">
      <x v="37"/>
    </i>
    <i r="2">
      <x v="39"/>
    </i>
    <i r="2">
      <x v="43"/>
    </i>
    <i r="2">
      <x v="45"/>
    </i>
    <i r="2">
      <x v="46"/>
    </i>
    <i r="2">
      <x v="56"/>
    </i>
    <i r="2">
      <x v="57"/>
    </i>
    <i r="2">
      <x v="59"/>
    </i>
    <i r="2">
      <x v="62"/>
    </i>
    <i r="2">
      <x v="64"/>
    </i>
    <i r="2">
      <x v="67"/>
    </i>
    <i r="2">
      <x v="70"/>
    </i>
    <i r="2">
      <x v="73"/>
    </i>
    <i r="2">
      <x v="86"/>
    </i>
    <i r="2">
      <x v="89"/>
    </i>
    <i r="2">
      <x v="90"/>
    </i>
    <i r="2">
      <x v="97"/>
    </i>
    <i r="2">
      <x v="98"/>
    </i>
    <i r="2">
      <x v="100"/>
    </i>
    <i r="2">
      <x v="107"/>
    </i>
    <i r="2">
      <x v="109"/>
    </i>
    <i r="1">
      <x v="6"/>
    </i>
    <i r="2">
      <x v="46"/>
    </i>
    <i r="2">
      <x v="47"/>
    </i>
    <i r="2">
      <x v="78"/>
    </i>
    <i r="2">
      <x v="79"/>
    </i>
    <i r="1">
      <x v="7"/>
    </i>
    <i r="2">
      <x v="52"/>
    </i>
    <i r="2">
      <x v="87"/>
    </i>
    <i r="2">
      <x v="102"/>
    </i>
    <i r="2">
      <x v="103"/>
    </i>
    <i>
      <x v="2"/>
    </i>
    <i r="1">
      <x/>
    </i>
    <i r="2">
      <x v="46"/>
    </i>
    <i r="2">
      <x v="78"/>
    </i>
    <i r="1">
      <x v="4"/>
    </i>
    <i r="2">
      <x v="34"/>
    </i>
    <i r="2">
      <x v="42"/>
    </i>
    <i r="2">
      <x v="51"/>
    </i>
    <i r="2">
      <x v="60"/>
    </i>
    <i r="2">
      <x v="63"/>
    </i>
    <i r="2">
      <x v="76"/>
    </i>
    <i r="2">
      <x v="110"/>
    </i>
    <i>
      <x v="3"/>
    </i>
    <i r="1">
      <x v="4"/>
    </i>
    <i r="2">
      <x v="1"/>
    </i>
    <i r="2">
      <x v="9"/>
    </i>
    <i r="2">
      <x v="16"/>
    </i>
    <i r="2">
      <x v="25"/>
    </i>
    <i r="2">
      <x v="30"/>
    </i>
    <i r="2">
      <x v="55"/>
    </i>
    <i r="2">
      <x v="84"/>
    </i>
    <i>
      <x v="4"/>
    </i>
    <i r="1">
      <x v="4"/>
    </i>
    <i r="2">
      <x v="17"/>
    </i>
    <i r="2">
      <x v="38"/>
    </i>
    <i r="2">
      <x v="50"/>
    </i>
    <i r="2">
      <x v="74"/>
    </i>
    <i r="2">
      <x v="80"/>
    </i>
    <i r="2">
      <x v="99"/>
    </i>
    <i r="2">
      <x v="104"/>
    </i>
    <i r="2">
      <x v="108"/>
    </i>
    <i>
      <x v="5"/>
    </i>
    <i r="1">
      <x v="4"/>
    </i>
    <i r="2">
      <x v="22"/>
    </i>
    <i r="2">
      <x v="27"/>
    </i>
    <i r="2">
      <x v="44"/>
    </i>
    <i r="2">
      <x v="71"/>
    </i>
    <i r="2">
      <x v="72"/>
    </i>
    <i r="2">
      <x v="75"/>
    </i>
    <i r="2">
      <x v="85"/>
    </i>
    <i r="2">
      <x v="92"/>
    </i>
    <i r="2">
      <x v="106"/>
    </i>
    <i>
      <x v="21"/>
    </i>
    <i r="1">
      <x v="7"/>
    </i>
    <i r="2">
      <x v="25"/>
    </i>
    <i>
      <x v="22"/>
    </i>
    <i r="1">
      <x v="7"/>
    </i>
    <i r="2">
      <x v="70"/>
    </i>
    <i r="2">
      <x v="80"/>
    </i>
    <i>
      <x v="23"/>
    </i>
    <i r="1">
      <x v="7"/>
    </i>
    <i r="2">
      <x v="73"/>
    </i>
    <i>
      <x v="24"/>
    </i>
    <i r="1">
      <x v="7"/>
    </i>
    <i r="2">
      <x v="89"/>
    </i>
    <i r="2">
      <x v="90"/>
    </i>
    <i r="2">
      <x v="98"/>
    </i>
    <i r="2">
      <x v="107"/>
    </i>
    <i>
      <x v="25"/>
    </i>
    <i r="1">
      <x v="7"/>
    </i>
    <i r="2">
      <x v="2"/>
    </i>
    <i>
      <x v="26"/>
    </i>
    <i r="1">
      <x v="7"/>
    </i>
    <i r="2">
      <x v="24"/>
    </i>
    <i>
      <x v="27"/>
    </i>
    <i r="1">
      <x v="7"/>
    </i>
    <i r="2">
      <x v="36"/>
    </i>
    <i>
      <x v="28"/>
    </i>
    <i r="1">
      <x v="7"/>
    </i>
    <i r="2">
      <x v="38"/>
    </i>
    <i>
      <x v="29"/>
    </i>
    <i r="1">
      <x v="7"/>
    </i>
    <i r="2">
      <x v="39"/>
    </i>
    <i>
      <x v="30"/>
    </i>
    <i r="1">
      <x v="7"/>
    </i>
    <i r="2">
      <x/>
    </i>
    <i>
      <x v="31"/>
    </i>
    <i r="1">
      <x v="7"/>
    </i>
    <i r="2">
      <x v="17"/>
    </i>
    <i>
      <x v="32"/>
    </i>
    <i r="1">
      <x v="7"/>
    </i>
    <i r="2">
      <x v="30"/>
    </i>
    <i>
      <x v="33"/>
    </i>
    <i r="1">
      <x v="7"/>
    </i>
    <i r="2">
      <x v="45"/>
    </i>
    <i>
      <x v="34"/>
    </i>
    <i r="1">
      <x v="7"/>
    </i>
    <i r="2">
      <x v="76"/>
    </i>
    <i>
      <x v="35"/>
    </i>
    <i r="1">
      <x v="7"/>
    </i>
    <i r="2">
      <x v="109"/>
    </i>
    <i>
      <x v="36"/>
    </i>
    <i r="1">
      <x v="7"/>
    </i>
    <i r="2">
      <x v="14"/>
    </i>
    <i>
      <x v="37"/>
    </i>
    <i r="1">
      <x v="7"/>
    </i>
    <i r="2">
      <x v="43"/>
    </i>
    <i>
      <x v="38"/>
    </i>
    <i r="1">
      <x v="7"/>
    </i>
    <i r="2">
      <x v="92"/>
    </i>
    <i>
      <x v="39"/>
    </i>
    <i r="1">
      <x v="7"/>
    </i>
    <i r="2">
      <x v="84"/>
    </i>
    <i>
      <x v="40"/>
    </i>
    <i r="1">
      <x v="7"/>
    </i>
    <i r="2">
      <x v="104"/>
    </i>
    <i>
      <x v="41"/>
    </i>
    <i r="1">
      <x v="7"/>
    </i>
    <i r="2">
      <x v="22"/>
    </i>
    <i>
      <x v="42"/>
    </i>
    <i r="1">
      <x v="7"/>
    </i>
    <i r="2">
      <x v="51"/>
    </i>
    <i>
      <x v="43"/>
    </i>
    <i r="1">
      <x v="7"/>
    </i>
    <i r="2">
      <x v="67"/>
    </i>
    <i>
      <x v="44"/>
    </i>
    <i r="1">
      <x v="7"/>
    </i>
    <i r="2">
      <x v="13"/>
    </i>
    <i>
      <x v="45"/>
    </i>
    <i r="1">
      <x v="7"/>
    </i>
    <i r="2">
      <x v="42"/>
    </i>
    <i>
      <x v="46"/>
    </i>
    <i r="1">
      <x v="7"/>
    </i>
    <i r="2">
      <x v="44"/>
    </i>
    <i>
      <x v="47"/>
    </i>
    <i r="1">
      <x v="7"/>
    </i>
    <i r="2">
      <x v="86"/>
    </i>
    <i>
      <x v="48"/>
    </i>
    <i r="1">
      <x v="7"/>
    </i>
    <i r="2">
      <x v="62"/>
    </i>
    <i>
      <x v="49"/>
    </i>
    <i r="1">
      <x v="7"/>
    </i>
    <i r="2">
      <x v="63"/>
    </i>
    <i>
      <x v="50"/>
    </i>
    <i r="1">
      <x v="7"/>
    </i>
    <i r="2">
      <x v="85"/>
    </i>
    <i>
      <x v="51"/>
    </i>
    <i r="1">
      <x v="7"/>
    </i>
    <i r="2">
      <x v="27"/>
    </i>
    <i>
      <x v="52"/>
    </i>
    <i r="1">
      <x v="7"/>
    </i>
    <i r="2">
      <x v="28"/>
    </i>
    <i>
      <x v="53"/>
    </i>
    <i r="1">
      <x v="7"/>
    </i>
    <i r="2">
      <x v="8"/>
    </i>
    <i r="2">
      <x v="16"/>
    </i>
    <i>
      <x v="54"/>
    </i>
    <i r="1">
      <x v="7"/>
    </i>
    <i r="2">
      <x v="26"/>
    </i>
    <i>
      <x v="55"/>
    </i>
    <i r="1">
      <x v="7"/>
    </i>
    <i r="2">
      <x v="29"/>
    </i>
    <i>
      <x v="56"/>
    </i>
    <i r="1">
      <x v="7"/>
    </i>
    <i r="2">
      <x v="34"/>
    </i>
    <i>
      <x v="57"/>
    </i>
    <i r="1">
      <x v="7"/>
    </i>
    <i r="2">
      <x v="64"/>
    </i>
    <i>
      <x v="58"/>
    </i>
    <i r="1">
      <x v="7"/>
    </i>
    <i r="2">
      <x v="97"/>
    </i>
    <i>
      <x v="59"/>
    </i>
    <i r="1">
      <x v="7"/>
    </i>
    <i r="2">
      <x v="75"/>
    </i>
    <i>
      <x v="60"/>
    </i>
    <i r="1">
      <x v="7"/>
    </i>
    <i r="2">
      <x v="12"/>
    </i>
    <i>
      <x v="61"/>
    </i>
    <i r="1">
      <x v="7"/>
    </i>
    <i r="2">
      <x v="74"/>
    </i>
    <i>
      <x v="62"/>
    </i>
    <i r="1">
      <x v="7"/>
    </i>
    <i r="2">
      <x v="56"/>
    </i>
    <i r="2">
      <x v="57"/>
    </i>
    <i r="2">
      <x v="95"/>
    </i>
    <i>
      <x v="63"/>
    </i>
    <i r="1">
      <x v="7"/>
    </i>
    <i r="2">
      <x v="110"/>
    </i>
    <i>
      <x v="64"/>
    </i>
    <i r="1">
      <x v="7"/>
    </i>
    <i r="2">
      <x v="72"/>
    </i>
    <i>
      <x v="65"/>
    </i>
    <i r="1">
      <x v="7"/>
    </i>
    <i r="2">
      <x v="99"/>
    </i>
    <i>
      <x v="66"/>
    </i>
    <i r="1">
      <x v="7"/>
    </i>
    <i r="2">
      <x v="100"/>
    </i>
    <i>
      <x v="67"/>
    </i>
    <i r="1">
      <x v="7"/>
    </i>
    <i r="2">
      <x v="4"/>
    </i>
    <i r="2">
      <x v="9"/>
    </i>
    <i>
      <x v="68"/>
    </i>
    <i r="1">
      <x v="7"/>
    </i>
    <i r="2">
      <x v="10"/>
    </i>
    <i r="2">
      <x v="33"/>
    </i>
    <i r="2">
      <x v="59"/>
    </i>
    <i>
      <x v="69"/>
    </i>
    <i r="1">
      <x v="7"/>
    </i>
    <i r="2">
      <x v="50"/>
    </i>
    <i r="2">
      <x v="55"/>
    </i>
    <i>
      <x v="70"/>
    </i>
    <i r="1">
      <x v="7"/>
    </i>
    <i r="2">
      <x v="106"/>
    </i>
    <i>
      <x v="71"/>
    </i>
    <i r="1">
      <x v="7"/>
    </i>
    <i r="2">
      <x v="31"/>
    </i>
    <i r="2">
      <x v="37"/>
    </i>
    <i>
      <x v="72"/>
    </i>
    <i r="1">
      <x v="7"/>
    </i>
    <i r="2">
      <x v="71"/>
    </i>
    <i r="2">
      <x v="1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16" baseField="11" baseItem="0" numFmtId="44"/>
    <dataField name="Sum of ESTIMATES" fld="17" baseField="1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78A29-C296-4B57-92FE-41896215E55E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30" firstHeaderRow="0" firstDataRow="1" firstDataCol="1"/>
  <pivotFields count="20">
    <pivotField axis="axisRow" multipleItemSelectionAllowed="1" showAll="0">
      <items count="6">
        <item x="1"/>
        <item x="0"/>
        <item x="2"/>
        <item h="1" m="1" x="4"/>
        <item x="3"/>
        <item t="default"/>
      </items>
    </pivotField>
    <pivotField showAll="0"/>
    <pivotField axis="axisRow" showAll="0">
      <items count="112">
        <item x="77"/>
        <item x="22"/>
        <item x="23"/>
        <item x="17"/>
        <item x="100"/>
        <item x="24"/>
        <item x="0"/>
        <item x="1"/>
        <item x="25"/>
        <item x="101"/>
        <item x="2"/>
        <item x="3"/>
        <item x="102"/>
        <item x="103"/>
        <item x="80"/>
        <item m="1" x="109"/>
        <item x="26"/>
        <item x="98"/>
        <item x="4"/>
        <item x="5"/>
        <item x="65"/>
        <item x="6"/>
        <item x="27"/>
        <item x="28"/>
        <item x="29"/>
        <item x="7"/>
        <item x="8"/>
        <item x="18"/>
        <item x="9"/>
        <item x="99"/>
        <item x="105"/>
        <item x="10"/>
        <item x="20"/>
        <item x="66"/>
        <item x="11"/>
        <item x="106"/>
        <item x="12"/>
        <item x="30"/>
        <item x="13"/>
        <item x="14"/>
        <item x="107"/>
        <item x="15"/>
        <item x="97"/>
        <item x="19"/>
        <item m="1" x="108"/>
        <item x="21"/>
        <item x="69"/>
        <item x="31"/>
        <item x="16"/>
        <item x="79"/>
        <item x="88"/>
        <item x="41"/>
        <item x="42"/>
        <item x="45"/>
        <item x="71"/>
        <item x="47"/>
        <item x="90"/>
        <item x="72"/>
        <item x="81"/>
        <item x="52"/>
        <item x="92"/>
        <item x="74"/>
        <item x="95"/>
        <item x="87"/>
        <item x="86"/>
        <item x="32"/>
        <item x="38"/>
        <item x="104"/>
        <item x="84"/>
        <item x="54"/>
        <item x="68"/>
        <item x="57"/>
        <item x="85"/>
        <item x="62"/>
        <item x="96"/>
        <item x="64"/>
        <item x="75"/>
        <item m="1" x="110"/>
        <item x="33"/>
        <item x="34"/>
        <item x="35"/>
        <item x="78"/>
        <item x="36"/>
        <item x="37"/>
        <item x="83"/>
        <item x="67"/>
        <item x="39"/>
        <item x="89"/>
        <item x="40"/>
        <item x="43"/>
        <item x="70"/>
        <item x="44"/>
        <item x="76"/>
        <item x="46"/>
        <item x="48"/>
        <item x="49"/>
        <item x="50"/>
        <item x="51"/>
        <item x="73"/>
        <item x="53"/>
        <item x="55"/>
        <item x="91"/>
        <item x="56"/>
        <item x="93"/>
        <item x="94"/>
        <item x="82"/>
        <item x="58"/>
        <item x="59"/>
        <item x="60"/>
        <item x="61"/>
        <item x="63"/>
        <item t="default"/>
      </items>
    </pivotField>
    <pivotField showAll="0"/>
    <pivotField showAll="0"/>
    <pivotField showAll="0"/>
    <pivotField axis="axisRow" showAll="0">
      <items count="12">
        <item x="5"/>
        <item x="2"/>
        <item x="0"/>
        <item x="3"/>
        <item m="1" x="10"/>
        <item x="1"/>
        <item x="4"/>
        <item x="8"/>
        <item x="6"/>
        <item m="1" x="9"/>
        <item x="7"/>
        <item t="default"/>
      </items>
    </pivotField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3">
    <field x="0"/>
    <field x="6"/>
    <field x="2"/>
  </rowFields>
  <rowItems count="327">
    <i>
      <x/>
    </i>
    <i r="1">
      <x/>
    </i>
    <i r="2">
      <x v="29"/>
    </i>
    <i r="2">
      <x v="48"/>
    </i>
    <i r="1">
      <x v="1"/>
    </i>
    <i r="2">
      <x v="26"/>
    </i>
    <i r="2">
      <x v="28"/>
    </i>
    <i r="2">
      <x v="31"/>
    </i>
    <i r="2">
      <x v="48"/>
    </i>
    <i r="1">
      <x v="2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8"/>
    </i>
    <i r="2">
      <x v="26"/>
    </i>
    <i r="2">
      <x v="28"/>
    </i>
    <i r="2">
      <x v="29"/>
    </i>
    <i r="2">
      <x v="30"/>
    </i>
    <i r="2">
      <x v="31"/>
    </i>
    <i r="2">
      <x v="40"/>
    </i>
    <i r="2">
      <x v="48"/>
    </i>
    <i r="1">
      <x v="3"/>
    </i>
    <i r="2">
      <x v="14"/>
    </i>
    <i r="2">
      <x v="26"/>
    </i>
    <i r="2">
      <x v="48"/>
    </i>
    <i r="2">
      <x v="83"/>
    </i>
    <i r="2">
      <x v="84"/>
    </i>
    <i r="2">
      <x v="85"/>
    </i>
    <i r="2">
      <x v="98"/>
    </i>
    <i r="2">
      <x v="99"/>
    </i>
    <i r="2">
      <x v="101"/>
    </i>
    <i r="2">
      <x v="105"/>
    </i>
    <i r="2">
      <x v="106"/>
    </i>
    <i r="2">
      <x v="107"/>
    </i>
    <i r="2">
      <x v="108"/>
    </i>
    <i r="2">
      <x v="109"/>
    </i>
    <i r="1">
      <x v="6"/>
    </i>
    <i r="2">
      <x v="7"/>
    </i>
    <i r="2">
      <x v="14"/>
    </i>
    <i r="2">
      <x v="42"/>
    </i>
    <i r="2">
      <x v="48"/>
    </i>
    <i r="2">
      <x v="83"/>
    </i>
    <i r="2">
      <x v="84"/>
    </i>
    <i r="2">
      <x v="85"/>
    </i>
    <i r="2">
      <x v="98"/>
    </i>
    <i r="2">
      <x v="99"/>
    </i>
    <i r="2">
      <x v="101"/>
    </i>
    <i r="2">
      <x v="105"/>
    </i>
    <i r="2">
      <x v="106"/>
    </i>
    <i r="2">
      <x v="107"/>
    </i>
    <i r="2">
      <x v="108"/>
    </i>
    <i r="2">
      <x v="109"/>
    </i>
    <i>
      <x v="1"/>
    </i>
    <i r="1">
      <x/>
    </i>
    <i r="2">
      <x v="25"/>
    </i>
    <i r="1">
      <x v="1"/>
    </i>
    <i r="2">
      <x v="25"/>
    </i>
    <i r="2">
      <x v="34"/>
    </i>
    <i r="2">
      <x v="39"/>
    </i>
    <i r="1">
      <x v="2"/>
    </i>
    <i r="2">
      <x/>
    </i>
    <i r="2">
      <x v="4"/>
    </i>
    <i r="2">
      <x v="6"/>
    </i>
    <i r="2">
      <x v="17"/>
    </i>
    <i r="2">
      <x v="21"/>
    </i>
    <i r="2">
      <x v="25"/>
    </i>
    <i r="2">
      <x v="34"/>
    </i>
    <i r="2">
      <x v="35"/>
    </i>
    <i r="2">
      <x v="39"/>
    </i>
    <i r="2">
      <x v="41"/>
    </i>
    <i r="1">
      <x v="3"/>
    </i>
    <i r="2">
      <x/>
    </i>
    <i r="2">
      <x v="81"/>
    </i>
    <i r="2">
      <x v="82"/>
    </i>
    <i r="2">
      <x v="94"/>
    </i>
    <i r="1">
      <x v="5"/>
    </i>
    <i r="2">
      <x v="17"/>
    </i>
    <i r="2">
      <x v="21"/>
    </i>
    <i r="2">
      <x v="25"/>
    </i>
    <i r="1">
      <x v="6"/>
    </i>
    <i r="2">
      <x v="6"/>
    </i>
    <i r="2">
      <x v="81"/>
    </i>
    <i r="2">
      <x v="82"/>
    </i>
    <i r="2">
      <x v="94"/>
    </i>
    <i r="1">
      <x v="7"/>
    </i>
    <i r="2">
      <x v="25"/>
    </i>
    <i>
      <x v="2"/>
    </i>
    <i r="1">
      <x/>
    </i>
    <i r="2">
      <x v="19"/>
    </i>
    <i r="2">
      <x v="32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1">
      <x v="1"/>
    </i>
    <i r="2">
      <x v="19"/>
    </i>
    <i r="2">
      <x v="32"/>
    </i>
    <i r="2">
      <x v="45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1">
      <x v="2"/>
    </i>
    <i r="2">
      <x v="1"/>
    </i>
    <i r="2">
      <x v="2"/>
    </i>
    <i r="2">
      <x v="5"/>
    </i>
    <i r="2">
      <x v="8"/>
    </i>
    <i r="2">
      <x v="16"/>
    </i>
    <i r="2">
      <x v="19"/>
    </i>
    <i r="2">
      <x v="22"/>
    </i>
    <i r="2">
      <x v="23"/>
    </i>
    <i r="2">
      <x v="24"/>
    </i>
    <i r="2">
      <x v="32"/>
    </i>
    <i r="2">
      <x v="36"/>
    </i>
    <i r="2">
      <x v="37"/>
    </i>
    <i r="2">
      <x v="38"/>
    </i>
    <i r="2">
      <x v="43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1">
      <x v="3"/>
    </i>
    <i r="2">
      <x v="19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5"/>
    </i>
    <i r="2">
      <x v="96"/>
    </i>
    <i r="2">
      <x v="97"/>
    </i>
    <i r="2">
      <x v="100"/>
    </i>
    <i r="2">
      <x v="102"/>
    </i>
    <i r="2">
      <x v="110"/>
    </i>
    <i r="1">
      <x v="5"/>
    </i>
    <i r="2">
      <x v="3"/>
    </i>
    <i r="2">
      <x v="19"/>
    </i>
    <i r="2">
      <x v="20"/>
    </i>
    <i r="2">
      <x v="27"/>
    </i>
    <i r="2">
      <x v="32"/>
    </i>
    <i r="2">
      <x v="33"/>
    </i>
    <i r="2">
      <x v="43"/>
    </i>
    <i r="1">
      <x v="6"/>
    </i>
    <i r="2">
      <x v="22"/>
    </i>
    <i r="2">
      <x v="37"/>
    </i>
    <i r="2">
      <x v="45"/>
    </i>
    <i r="2">
      <x v="46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8"/>
    </i>
    <i r="2">
      <x v="79"/>
    </i>
    <i r="2">
      <x v="80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5"/>
    </i>
    <i r="2">
      <x v="96"/>
    </i>
    <i r="2">
      <x v="97"/>
    </i>
    <i r="2">
      <x v="100"/>
    </i>
    <i r="2">
      <x v="102"/>
    </i>
    <i r="2">
      <x v="110"/>
    </i>
    <i r="1">
      <x v="7"/>
    </i>
    <i r="2">
      <x v="49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61"/>
    </i>
    <i r="2">
      <x v="62"/>
    </i>
    <i r="2">
      <x v="63"/>
    </i>
    <i r="2">
      <x v="64"/>
    </i>
    <i r="2">
      <x v="74"/>
    </i>
    <i r="1">
      <x v="8"/>
    </i>
    <i r="2">
      <x v="49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61"/>
    </i>
    <i r="2">
      <x v="62"/>
    </i>
    <i r="2">
      <x v="63"/>
    </i>
    <i r="2">
      <x v="64"/>
    </i>
    <i r="1">
      <x v="10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>
      <x v="4"/>
    </i>
    <i r="1">
      <x v="3"/>
    </i>
    <i r="2">
      <x v="103"/>
    </i>
    <i r="2">
      <x v="104"/>
    </i>
    <i r="1">
      <x v="6"/>
    </i>
    <i r="2">
      <x v="103"/>
    </i>
    <i r="2">
      <x v="10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16" baseField="2" baseItem="52" numFmtId="44"/>
    <dataField name="Sum of ESTIMATES" fld="17" baseField="2" baseItem="52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56C7D-971B-47FC-BBAE-BF226E51458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6" firstHeaderRow="0" firstDataRow="1" firstDataCol="1"/>
  <pivotFields count="20">
    <pivotField showAll="0"/>
    <pivotField showAll="0"/>
    <pivotField axis="axisRow" showAll="0">
      <items count="112">
        <item x="77"/>
        <item x="22"/>
        <item x="23"/>
        <item x="17"/>
        <item x="100"/>
        <item x="24"/>
        <item x="0"/>
        <item x="1"/>
        <item x="25"/>
        <item x="101"/>
        <item x="2"/>
        <item x="3"/>
        <item x="102"/>
        <item x="103"/>
        <item x="80"/>
        <item m="1" x="109"/>
        <item x="26"/>
        <item x="98"/>
        <item x="4"/>
        <item x="5"/>
        <item x="65"/>
        <item x="6"/>
        <item x="27"/>
        <item x="28"/>
        <item x="29"/>
        <item x="7"/>
        <item x="8"/>
        <item x="18"/>
        <item x="9"/>
        <item x="99"/>
        <item x="105"/>
        <item x="10"/>
        <item x="20"/>
        <item x="66"/>
        <item x="11"/>
        <item x="106"/>
        <item x="12"/>
        <item x="30"/>
        <item x="13"/>
        <item x="14"/>
        <item x="107"/>
        <item x="15"/>
        <item x="97"/>
        <item x="19"/>
        <item m="1" x="108"/>
        <item x="21"/>
        <item x="69"/>
        <item x="31"/>
        <item x="16"/>
        <item x="79"/>
        <item x="88"/>
        <item x="41"/>
        <item x="42"/>
        <item x="45"/>
        <item x="71"/>
        <item x="47"/>
        <item x="90"/>
        <item x="72"/>
        <item x="81"/>
        <item x="52"/>
        <item x="92"/>
        <item x="74"/>
        <item x="95"/>
        <item x="87"/>
        <item x="86"/>
        <item x="32"/>
        <item x="38"/>
        <item x="104"/>
        <item x="84"/>
        <item x="54"/>
        <item x="68"/>
        <item x="57"/>
        <item x="85"/>
        <item x="62"/>
        <item x="96"/>
        <item x="64"/>
        <item x="75"/>
        <item m="1" x="110"/>
        <item x="33"/>
        <item x="34"/>
        <item x="35"/>
        <item x="78"/>
        <item x="36"/>
        <item x="37"/>
        <item x="83"/>
        <item x="67"/>
        <item x="39"/>
        <item x="89"/>
        <item x="40"/>
        <item x="43"/>
        <item x="70"/>
        <item x="44"/>
        <item x="76"/>
        <item x="46"/>
        <item x="48"/>
        <item x="49"/>
        <item x="50"/>
        <item x="51"/>
        <item x="73"/>
        <item x="53"/>
        <item x="55"/>
        <item x="91"/>
        <item x="56"/>
        <item x="93"/>
        <item x="94"/>
        <item x="82"/>
        <item x="58"/>
        <item x="59"/>
        <item x="60"/>
        <item x="61"/>
        <item x="63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3"/>
    <field x="2"/>
  </rowFields>
  <rowItems count="1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>
      <x v="1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3"/>
    </i>
    <i r="1"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16" baseField="4" baseItem="0" numFmtId="44"/>
    <dataField name="Sum of ESTIMATES" fld="17" baseField="4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55FBD-8938-46FB-9191-539155747A11}" name="Table1" displayName="Table1" ref="A4:T303" totalsRowShown="0" headerRowDxfId="237" headerRowBorderDxfId="236" tableBorderDxfId="235" totalsRowBorderDxfId="234">
  <autoFilter ref="A4:T303" xr:uid="{5D8A1A48-7719-473C-9C3E-5A63DB73C02F}"/>
  <sortState xmlns:xlrd2="http://schemas.microsoft.com/office/spreadsheetml/2017/richdata2" ref="A5:T303">
    <sortCondition ref="M5:M303"/>
    <sortCondition ref="G5:G303"/>
  </sortState>
  <tableColumns count="20">
    <tableColumn id="1" xr3:uid="{9B79EDAF-9B2A-45FC-BE54-C9A080033180}" name="BOROUGH" dataDxfId="233">
      <calculatedColumnFormula>VLOOKUP(C5,Data[],2,FALSE)</calculatedColumnFormula>
    </tableColumn>
    <tableColumn id="2" xr3:uid="{AAAE801A-9C0F-4F0F-8CC3-E74C81404936}" name="PROGRAM AREA" dataDxfId="232"/>
    <tableColumn id="3" xr3:uid="{854D9797-6B2F-468B-AB5E-63AB02A91AC6}" name="DEVELOPMENT" dataDxfId="231"/>
    <tableColumn id="10" xr3:uid="{A11076EB-0B47-4EC3-AAB6-C6E0A3D47667}" name="NRR" dataDxfId="230">
      <calculatedColumnFormula>VLOOKUP(Table1[[#This Row],[DEVELOPMENT]],Data[],MATCH(Table1[[#Headers],[NRR]],Data[#Headers],0),FALSE)</calculatedColumnFormula>
    </tableColumn>
    <tableColumn id="17" xr3:uid="{3882DDC5-A88F-42CC-A9D5-C4060C858C0D}" name="Priority Level" dataDxfId="229">
      <calculatedColumnFormula>VLOOKUP(Table1[[#This Row],[DEVELOPMENT]],Data[],MATCH(Table1[[#Headers],[Priority Level]],Data[#Headers],0),FALSE)</calculatedColumnFormula>
    </tableColumn>
    <tableColumn id="19" xr3:uid="{FDA05C0B-DD8E-4B54-B3DE-082F813CAB45}" name="RAD/PACT" dataDxfId="228">
      <calculatedColumnFormula>VLOOKUP(Table1[[#This Row],[DEVELOPMENT]],Data[],MATCH(Table1[[#Headers],[RAD/PACT]],Data[#Headers],0),FALSE)</calculatedColumnFormula>
    </tableColumn>
    <tableColumn id="4" xr3:uid="{63F37561-10B3-4539-A09E-019171A618DD}" name="WORK TYPE" dataDxfId="227"/>
    <tableColumn id="5" xr3:uid="{8DBF63F7-B4CB-407B-A756-C91F5000E86B}" name="FUNDING SOURCE" dataDxfId="226" dataCellStyle="Currency"/>
    <tableColumn id="6" xr3:uid="{E0E28114-3348-490B-9088-4D6F5BE5F5DA}" name="CITY FUNDS" dataDxfId="225" dataCellStyle="Currency"/>
    <tableColumn id="7" xr3:uid="{B8516AF3-036F-435B-8DB6-BC39AD9155F1}" name="FEDERAL FUNDS" dataDxfId="224" dataCellStyle="Currency">
      <calculatedColumnFormula>K5</calculatedColumnFormula>
    </tableColumn>
    <tableColumn id="8" xr3:uid="{B568A3E8-8DAF-4E8D-824A-3830A283C67D}" name="TOTAL FUNDS" dataDxfId="223" dataCellStyle="Currency"/>
    <tableColumn id="9" xr3:uid="{795C7037-5AA7-4D0A-9BC9-AE87358CD9D2}" name="FUND YEAR " dataDxfId="222"/>
    <tableColumn id="11" xr3:uid="{E0475340-D3BE-48B7-BA02-A70B42129667}" name="CALENDAR YEAR" dataDxfId="221"/>
    <tableColumn id="12" xr3:uid="{C05A2BDA-EC91-49FE-9334-93D771ED36ED}" name="FISCAL YEAR" dataDxfId="220"/>
    <tableColumn id="13" xr3:uid="{449E13E6-2CAD-43F8-811B-3D05A7E91CEE}" name="STATUS" dataDxfId="219"/>
    <tableColumn id="18" xr3:uid="{D11C1F43-4CE0-4C06-B781-8DA58F14D65E}" name="COMPLETED" dataDxfId="218"/>
    <tableColumn id="14" xr3:uid="{C14BEF5D-376C-4B4C-8B01-38891EEC113C}" name="COST" dataDxfId="217" dataCellStyle="Currency"/>
    <tableColumn id="15" xr3:uid="{48253CA1-89AB-4DAD-9196-BB20B1BF9B8D}" name="ESTIMATES" dataDxfId="216" dataCellStyle="Currency"/>
    <tableColumn id="16" xr3:uid="{5DD7AE84-F2CA-4988-8540-B606784F9265}" name="RESOURCE" dataDxfId="215"/>
    <tableColumn id="20" xr3:uid="{BDE0C3DA-6D57-4AAC-A2A6-B31141DC8A3A}" name="Notes" dataDxfId="21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33AE94-0141-4685-81C8-C214E765949A}" name="Data" displayName="Data" ref="A2:AF323" totalsRowShown="0" headerRowDxfId="82" headerRowBorderDxfId="81">
  <autoFilter ref="A2:AF323" xr:uid="{A9F2E423-6220-4343-982F-B13543B67BCD}"/>
  <sortState xmlns:xlrd2="http://schemas.microsoft.com/office/spreadsheetml/2017/richdata2" ref="A3:AE323">
    <sortCondition ref="A3:A323"/>
  </sortState>
  <tableColumns count="32">
    <tableColumn id="2" xr3:uid="{C12551E6-B009-4860-BA25-45D2456DE39D}" name="DEVELOPMENT"/>
    <tableColumn id="1" xr3:uid="{92542205-3F07-4FA8-914F-2EB517459797}" name="BOROUGH" dataDxfId="80">
      <calculatedColumnFormula>VLOOKUP(Data[[#This Row],[DEVELOPMENT]],'[2]NYCHA_Development_Data_Book 201'!$B$2:$AY$324,40,FALSE)</calculatedColumnFormula>
    </tableColumn>
    <tableColumn id="3" xr3:uid="{5FBEF8C8-671B-4AF5-9A8C-E0F1DEB752D0}" name="Managed By" dataDxfId="79">
      <calculatedColumnFormula>VLOOKUP(Data[[#This Row],[DEVELOPMENT]],'[3]Cheat-Sheet'!$D$2:$Q$341,2,FALSE)</calculatedColumnFormula>
    </tableColumn>
    <tableColumn id="4" xr3:uid="{D605E5EA-5E3C-40D2-B41E-012194F75A30}" name="RAD/PACT" dataDxfId="78">
      <calculatedColumnFormula>IF(VLOOKUP(Data[[#This Row],[DEVELOPMENT]],'[4]IC Categories'!$A$2:$G$325,3,FALSE)=0,"",VLOOKUP(Data[[#This Row],[DEVELOPMENT]],'[4]IC Categories'!$A$2:$G$325,3,FALSE))</calculatedColumnFormula>
    </tableColumn>
    <tableColumn id="9" xr3:uid="{780F9E87-8D7F-40A4-AB03-32733124ACA7}" name="# Buildings" dataDxfId="77">
      <calculatedColumnFormula>VLOOKUP(Data[[#This Row],[DEVELOPMENT]],'[2]NYCHA_Development_Data_Book 201'!$B$2:$AY$324,21,FALSE)</calculatedColumnFormula>
    </tableColumn>
    <tableColumn id="10" xr3:uid="{751CE62E-3B86-4813-AEA0-5D59FED17879}" name="# Stairhalls" dataDxfId="76">
      <calculatedColumnFormula>VLOOKUP(Data[[#This Row],[DEVELOPMENT]],'[2]NYCHA_Development_Data_Book 201'!$B$2:$AY$324,23,FALSE)</calculatedColumnFormula>
    </tableColumn>
    <tableColumn id="5" xr3:uid="{66AD78D4-4F16-4E15-945A-980509BD36DA}" name="DUs" dataDxfId="75">
      <calculatedColumnFormula>VLOOKUP(Data[[#This Row],[DEVELOPMENT]],'[2]NYCHA_Development_Data_Book 201'!$B$2:$AY$324,12,FALSE)</calculatedColumnFormula>
    </tableColumn>
    <tableColumn id="6" xr3:uid="{9222AC48-208D-4C94-911E-990096652337}" name="NRR"/>
    <tableColumn id="28" xr3:uid="{5E14CA82-67B2-4C57-B515-E4DBA2C27925}" name="Priority Level"/>
    <tableColumn id="7" xr3:uid="{C64DFDDC-FE40-4593-91E1-F317E1534A16}" name="# Interior Compactors" dataDxfId="74">
      <calculatedColumnFormula>IFERROR(VLOOKUP(Data[[#This Row],[DEVELOPMENT]],[5]!Table1[[DEVELOPMENTS]:[Installation Date of Exterior Compactor]],4,FALSE),0)</calculatedColumnFormula>
    </tableColumn>
    <tableColumn id="8" xr3:uid="{FBF83FE9-CD10-45A3-A441-344915FEFB5C}" name="# Exterior Compactors" dataDxfId="73">
      <calculatedColumnFormula>IFERROR(VLOOKUP(Data[[#This Row],[DEVELOPMENT]],[5]!Table1[[DEVELOPMENTS]:[Installation Date of Exterior Compactor]],7,FALSE),0)</calculatedColumnFormula>
    </tableColumn>
    <tableColumn id="13" xr3:uid="{8E0FC496-CE36-46B0-8743-C0114D8FB7F1}" name="Int. Compactor Install" dataDxfId="72">
      <calculatedColumnFormula>IF(Data[[#This Row],['# Interior Compactors]]=0,"",VLOOKUP(Data[[#This Row],[DEVELOPMENT]],[5]!Table1[[DEVELOPMENTS]:[Installation Date of Exterior Compactor]],5,FALSE))</calculatedColumnFormula>
    </tableColumn>
    <tableColumn id="14" xr3:uid="{EB625BF5-698D-41A3-B65F-DAE34D74EA23}" name="Ext. Compactor Install" dataDxfId="71">
      <calculatedColumnFormula>IF(Data[[#This Row],['# Exterior Compactors]]=0,"",VLOOKUP(Data[[#This Row],[DEVELOPMENT]],[5]!Table1[[DEVELOPMENTS]:[Installation Date of Exterior Compactor]],8,FALSE))</calculatedColumnFormula>
    </tableColumn>
    <tableColumn id="15" xr3:uid="{FF639C42-85C6-40E4-9BED-BCD0AA31D1B1}" name="Enlarge Hopper Door" dataDxfId="70">
      <calculatedColumnFormula>Data[[#This Row],['# Interior Compactors]]</calculatedColumnFormula>
    </tableColumn>
    <tableColumn id="16" xr3:uid="{584262EC-5748-4CDF-B132-27E609014B7B}" name="Bulk Crusher" dataDxfId="69">
      <calculatedColumnFormula>1</calculatedColumnFormula>
    </tableColumn>
    <tableColumn id="17" xr3:uid="{7D0B10BD-488B-436D-BD93-3F7A0D185F6B}" name="Cardboard Baler" dataDxfId="68">
      <calculatedColumnFormula>1</calculatedColumnFormula>
    </tableColumn>
    <tableColumn id="18" xr3:uid="{508ABFCE-A7D6-43FB-8F99-7A01AF4EF2EE}" name="Mattress Recycling" dataDxfId="67">
      <calculatedColumnFormula>1</calculatedColumnFormula>
    </tableColumn>
    <tableColumn id="26" xr3:uid="{03C18148-9122-4C9C-9B37-F292AA0B3435}" name="Electric Tilt Truck" dataDxfId="66">
      <calculatedColumnFormula>1</calculatedColumnFormula>
    </tableColumn>
    <tableColumn id="27" xr3:uid="{E090ED1E-2F17-416C-B5B2-4FB8A7D878B1}" name="Secondary Collection Areas" dataDxfId="65">
      <calculatedColumnFormula>1</calculatedColumnFormula>
    </tableColumn>
    <tableColumn id="19" xr3:uid="{4BC391D9-3FAC-44EA-97DB-238B1A691023}" name="Food Waste Disposer" dataDxfId="64">
      <calculatedColumnFormula>Data[[#This Row],[DUs]]</calculatedColumnFormula>
    </tableColumn>
    <tableColumn id="11" xr3:uid="{89B29FEA-01E2-4959-AFF6-309402541090}" name="DSNY - # ext affected" dataDxfId="63">
      <calculatedColumnFormula>IF(AND(Data[[#This Row],['# Exterior Compactors]]=0,ISERROR(VLOOKUP(Data[[#This Row],[DEVELOPMENT]],[6]!Table1[[Development]:[Notes]],6,FALSE))),"",VLOOKUP(Data[[#This Row],[DEVELOPMENT]],[6]!Table1[[Development]:[Notes]],6,FALSE))</calculatedColumnFormula>
    </tableColumn>
    <tableColumn id="12" xr3:uid="{0201CF26-B8A9-4595-A5E4-44A698B419BC}" name="DSNY - replacement/new" dataDxfId="62">
      <calculatedColumnFormula>IF(AND(Data[[#This Row],['# Exterior Compactors]]=0,ISERROR(VLOOKUP(Data[[#This Row],[DEVELOPMENT]],[6]!Table1[[Development]:[Notes]],5,FALSE))),"",VLOOKUP(Data[[#This Row],[DEVELOPMENT]],[6]!Table1[[Development]:[Notes]],5,FALSE))</calculatedColumnFormula>
    </tableColumn>
    <tableColumn id="20" xr3:uid="{34944DE9-10BB-4B8C-ADC1-423E4065B84F}" name="DSNY - notes" dataDxfId="61">
      <calculatedColumnFormula>IF(AND(Data[[#This Row],['# Exterior Compactors]]=0,ISERROR(VLOOKUP(Data[[#This Row],[DEVELOPMENT]],[6]!Table1[[Development]:[Notes]],8,FALSE))),"",VLOOKUP(Data[[#This Row],[DEVELOPMENT]],[6]!Table1[[Development]:[Notes]],8,FALSE))</calculatedColumnFormula>
    </tableColumn>
    <tableColumn id="22" xr3:uid="{67080266-6CBF-44D0-B222-352EE10E8917}" name="TDS" dataDxfId="60">
      <calculatedColumnFormula>VLOOKUP(Data[[#This Row],[DEVELOPMENT]],'[2]NYCHA_Development_Data_Book 201'!$B$2:$E$324,3,FALSE)</calculatedColumnFormula>
    </tableColumn>
    <tableColumn id="23" xr3:uid="{1924E4C3-564A-4932-8B2B-112EDD42A1A0}" name="Newtown Creek" dataDxfId="59"/>
    <tableColumn id="21" xr3:uid="{9F091790-7083-4DB6-9467-256DE859F4E1}" name="PNA Ext." dataDxfId="58">
      <calculatedColumnFormula>IFERROR(VLOOKUP(Data[[#This Row],[TDS]],'[7]Static Ext by TDS'!$A$5:$E$120,2,FALSE),0)</calculatedColumnFormula>
    </tableColumn>
    <tableColumn id="24" xr3:uid="{E06F15F8-B6E5-4DDC-96DB-33243080B53C}" name="PNA Int." dataDxfId="57">
      <calculatedColumnFormula>IFERROR(VLOOKUP(Data[[#This Row],[TDS]],'[7]Static Int by TDS'!$A$6:$O$305,2,FALSE),0)</calculatedColumnFormula>
    </tableColumn>
    <tableColumn id="25" xr3:uid="{1B1529DB-BD31-478D-958D-388DD4298D00}" name="# Bulk Crushers" dataDxfId="56"/>
    <tableColumn id="29" xr3:uid="{1E65E23E-DC51-40C3-A68D-387A03561FEA}" name="Bulk Install Date" dataDxfId="55"/>
    <tableColumn id="30" xr3:uid="{AE78EB7E-EB42-48F9-A0BA-662B7F7A00DB}" name="# Ext RUL &lt;=5" dataDxfId="54">
      <calculatedColumnFormula>IFERROR(VLOOKUP(Data[[#This Row],[TDS]],'[7]Static Ext by TDS'!$A$5:$P$120,3,FALSE)+VLOOKUP(Data[[#This Row],[TDS]],'[7]Static Ext by TDS'!$A$5:$P$120,6,FALSE),0)</calculatedColumnFormula>
    </tableColumn>
    <tableColumn id="31" xr3:uid="{562480C3-588B-451F-B91C-55E6431E3897}" name="# Int RUL &lt;=5" dataDxfId="53">
      <calculatedColumnFormula>IFERROR(VLOOKUP(Data[[#This Row],[TDS]],'[7]Static Int by TDS'!$A$6:$O$305,3,FALSE)+VLOOKUP(Data[[#This Row],[TDS]],'[7]Static Int by TDS'!$A$6:$O$305,6,FALSE),0)</calculatedColumnFormula>
    </tableColumn>
    <tableColumn id="32" xr3:uid="{8A1F9AC8-5C01-48A8-BAC1-9DEACE317302}" name="311 Developments" dataDxfId="52">
      <calculatedColumnFormula>VLOOKUP(Data[[#This Row],[DEVELOPMENT]],[8]Developments!$A$2:$A$312,1,FALSE)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DD8EF5-C010-44F2-9D90-C43B85782C18}" name="all" displayName="all" ref="A3:W314" totalsRowShown="0" headerRowDxfId="213" dataDxfId="211" headerRowBorderDxfId="212" tableBorderDxfId="210" dataCellStyle="Currency">
  <autoFilter ref="A3:W314" xr:uid="{71F1F38E-B9F4-441E-9C42-08E812F0F9DA}"/>
  <sortState xmlns:xlrd2="http://schemas.microsoft.com/office/spreadsheetml/2017/richdata2" ref="A4:W314">
    <sortCondition ref="B4:B314"/>
  </sortState>
  <tableColumns count="23">
    <tableColumn id="12" xr3:uid="{D0847113-BE5B-49DB-B087-369B8756E3B3}" name="TDS" dataDxfId="209" dataCellStyle="Currency">
      <calculatedColumnFormula>VLOOKUP(B4,Data[],24,FALSE)</calculatedColumnFormula>
    </tableColumn>
    <tableColumn id="1" xr3:uid="{E3870EFA-BEED-4B71-ACD7-589319DC4DBA}" name="DEVELOPMENT"/>
    <tableColumn id="2" xr3:uid="{FD42F75E-BAD1-449F-80AD-894AF10C85DD}" name="BOROUGH">
      <calculatedColumnFormula>VLOOKUP(B4,Data[],2,FALSE)</calculatedColumnFormula>
    </tableColumn>
    <tableColumn id="13" xr3:uid="{974C7122-708E-499D-A1CE-FF4FCD8F4F94}" name="MANAGED BY" dataDxfId="208">
      <calculatedColumnFormula>VLOOKUP(all[[#This Row],[DEVELOPMENT]],Data[],3,FALSE)</calculatedColumnFormula>
    </tableColumn>
    <tableColumn id="3" xr3:uid="{57C33402-36E5-477F-93B1-B149B35FFD7E}" name="NRR">
      <calculatedColumnFormula>VLOOKUP(B4,Data[],8,FALSE)</calculatedColumnFormula>
    </tableColumn>
    <tableColumn id="4" xr3:uid="{1CEA481D-436C-4295-9618-7F338C8A7B49}" name="Priority Level">
      <calculatedColumnFormula>VLOOKUP(B4,Data[],9,FALSE)</calculatedColumnFormula>
    </tableColumn>
    <tableColumn id="5" xr3:uid="{2D6BBB10-D1FF-4B89-9ECC-8430CE04B00D}" name="RAD/PACT" dataDxfId="207">
      <calculatedColumnFormula>IFERROR(VLOOKUP(B4,Data[],4,FALSE),"")</calculatedColumnFormula>
    </tableColumn>
    <tableColumn id="6" xr3:uid="{28812A52-ACD0-47AC-B7F8-5EB3B31A10C9}" name="Is RAD/PACT w/in 5yr">
      <calculatedColumnFormula>IF(G4="","",IF((G4-YEAR(TODAY()))&lt;=5,"Yes",""))</calculatedColumnFormula>
    </tableColumn>
    <tableColumn id="14" xr3:uid="{21CCD509-CDA5-4E1E-B801-7D646F426695}" name="DUs" dataDxfId="206">
      <calculatedColumnFormula>VLOOKUP(all[[#This Row],[DEVELOPMENT]],Data[],7,FALSE)</calculatedColumnFormula>
    </tableColumn>
    <tableColumn id="23" xr3:uid="{C20FF665-5BB8-4417-BA0E-6A6556885E80}" name="Is in the Newtown Creek Watershed?" dataDxfId="205">
      <calculatedColumnFormula>VLOOKUP(all[[#This Row],[DEVELOPMENT]],Data[],25,FALSE)</calculatedColumnFormula>
    </tableColumn>
    <tableColumn id="15" xr3:uid="{67B2034A-4A87-4DA8-BAAA-1579F2F0B1DA}" name="# Buildings" dataDxfId="204">
      <calculatedColumnFormula>VLOOKUP(all[[#This Row],[DEVELOPMENT]],Data[],5,FALSE)</calculatedColumnFormula>
    </tableColumn>
    <tableColumn id="16" xr3:uid="{19CEE09B-3136-46D0-9FCE-E141F5DCE41C}" name="# Interior Compactors" dataDxfId="203">
      <calculatedColumnFormula>VLOOKUP(all[[#This Row],[DEVELOPMENT]],Data[],27,FALSE)</calculatedColumnFormula>
    </tableColumn>
    <tableColumn id="17" xr3:uid="{C4D1591D-F8B5-4E73-A2D4-8D67247D5856}" name="# Interior Compactors to Replace" dataDxfId="202">
      <calculatedColumnFormula>VLOOKUP(all[[#This Row],[DEVELOPMENT]],Data[],31,FALSE)</calculatedColumnFormula>
    </tableColumn>
    <tableColumn id="18" xr3:uid="{00946199-675C-4D3E-B657-BF3D3823AC36}" name="# Exterior Compactors" dataDxfId="201">
      <calculatedColumnFormula>VLOOKUP(all[[#This Row],[DEVELOPMENT]],Data[],26,FALSE)</calculatedColumnFormula>
    </tableColumn>
    <tableColumn id="21" xr3:uid="{4C6DDE13-7EB2-4D1B-A97B-A249E3E5173A}" name="# Exterior Compactors to Replace" dataDxfId="200">
      <calculatedColumnFormula>VLOOKUP(all[[#This Row],[DEVELOPMENT]],Data[],30,FALSE)</calculatedColumnFormula>
    </tableColumn>
    <tableColumn id="19" xr3:uid="{D0BA1DBB-1D5C-4E4E-A5CA-A27AC01EDD94}" name="# Bulk Crushers" dataDxfId="199">
      <calculatedColumnFormula>VLOOKUP(all[[#This Row],[DEVELOPMENT]],Data[],28,FALSE)</calculatedColumnFormula>
    </tableColumn>
    <tableColumn id="20" xr3:uid="{8887EB3D-03E9-4BE0-ACE2-6528F70398F2}" name="# Bulk Crushers to Install" dataDxfId="198">
      <calculatedColumnFormula>IF(all[[#This Row],['# Bulk Crushers]]=0,1,0)</calculatedColumnFormula>
    </tableColumn>
    <tableColumn id="7" xr3:uid="{8B70C691-DFBA-4709-A76F-A0524F7D4F13}" name="FWD Estimate" dataDxfId="197" dataCellStyle="Currency">
      <calculatedColumnFormula>IFERROR(INDEX(FWD[],MATCH($B4,FWD[DEVELOPMENT],0),MATCH("ESTIMATE",FWD[#Headers],0)),0)</calculatedColumnFormula>
    </tableColumn>
    <tableColumn id="8" xr3:uid="{FD2C6A37-4061-455E-82AB-E4997B6CF0DD}" name="EHD Estimate" dataDxfId="196" dataCellStyle="Currency">
      <calculatedColumnFormula>IFERROR(INDEX(EHD[],MATCH($B4,EHD[DEVELOPMENT],0),MATCH("ESTIMATE",EHD[#Headers],0)),0)</calculatedColumnFormula>
    </tableColumn>
    <tableColumn id="9" xr3:uid="{4DB0E7CA-00B6-4CF6-996A-C0478D832A59}" name="Interior Compactor Estimate" dataDxfId="195" dataCellStyle="Currency">
      <calculatedColumnFormula>IFERROR(INDEX(IntComp[],MATCH($B4,IntComp[DEVELOPMENT],0),MATCH("ESTIMATE",IntComp[#Headers],0)),0)</calculatedColumnFormula>
    </tableColumn>
    <tableColumn id="10" xr3:uid="{93FD6FF8-5F67-48CC-971C-DCBC2080C2E1}" name="Waste Yard Estimate" dataDxfId="194" dataCellStyle="Currency">
      <calculatedColumnFormula>IFERROR(INDEX(Yards[],MATCH($B4,Yards[DEVELOPMENT],0),MATCH("ESTIMATE",Yards[#Headers],0)),0)</calculatedColumnFormula>
    </tableColumn>
    <tableColumn id="11" xr3:uid="{87434FDB-E8F0-4819-97E0-130B143AC748}" name="SUM per Development" dataDxfId="193">
      <calculatedColumnFormula>SUM(R4:U4)</calculatedColumnFormula>
    </tableColumn>
    <tableColumn id="22" xr3:uid="{02ED170C-F7B1-44E5-BD04-3ED55D5C4530}" name="Notes" dataDxfId="192" dataCellStyle="Currenc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AE245C-214C-45BE-9E86-70A51CAD2B86}" name="FWD" displayName="FWD" ref="A3:N76" totalsRowShown="0" headerRowDxfId="191" headerRowBorderDxfId="190" tableBorderDxfId="189" totalsRowBorderDxfId="188">
  <autoFilter ref="A3:N76" xr:uid="{E1B005FE-AC35-41F8-A7FD-03616BE20849}"/>
  <sortState xmlns:xlrd2="http://schemas.microsoft.com/office/spreadsheetml/2017/richdata2" ref="A4:N76">
    <sortCondition ref="I4:I76"/>
  </sortState>
  <tableColumns count="14">
    <tableColumn id="1" xr3:uid="{DB96D6E2-EB98-454F-A836-37791745A510}" name="DEVELOPMENT" dataDxfId="187"/>
    <tableColumn id="2" xr3:uid="{1F1A98AA-2851-4820-83FE-D383E95C7352}" name="BOROUGH" dataDxfId="186">
      <calculatedColumnFormula>VLOOKUP(A4,Data[],2,FALSE)</calculatedColumnFormula>
    </tableColumn>
    <tableColumn id="3" xr3:uid="{D8B897EF-0401-45C2-85AC-853B92F50E4D}" name="WORK TYPE" dataDxfId="185"/>
    <tableColumn id="8" xr3:uid="{C445646F-8BF6-45B0-AB42-13407AD2FFD8}" name="Dwelling Units" dataDxfId="184">
      <calculatedColumnFormula>VLOOKUP(FWD[[#This Row],[DEVELOPMENT]],Data[],7,FALSE)</calculatedColumnFormula>
    </tableColumn>
    <tableColumn id="4" xr3:uid="{30230B86-DDBF-4CA3-9CB4-0D49998D6D0E}" name="NRR" dataDxfId="183">
      <calculatedColumnFormula>VLOOKUP(FWD[[#This Row],[DEVELOPMENT]],Data[],8,FALSE)</calculatedColumnFormula>
    </tableColumn>
    <tableColumn id="5" xr3:uid="{4A409E4B-D6DF-4E45-97C7-0D69C5BB8D47}" name="Priority Level" dataDxfId="182">
      <calculatedColumnFormula>VLOOKUP(FWD[[#This Row],[DEVELOPMENT]],Data[],9,FALSE)</calculatedColumnFormula>
    </tableColumn>
    <tableColumn id="6" xr3:uid="{D52EF31F-3EC4-4342-B1B1-0D8969B764AE}" name="RAD/PACT" dataDxfId="181">
      <calculatedColumnFormula>IFERROR(VLOOKUP(FWD[[#This Row],[DEVELOPMENT]],Data[],4,FALSE),"")</calculatedColumnFormula>
    </tableColumn>
    <tableColumn id="7" xr3:uid="{88D243E6-7F2C-4843-9417-F1203A9F1D4B}" name="Is RAD/PACT w/in 5yr" dataDxfId="180">
      <calculatedColumnFormula>IF(FWD[[#This Row],[RAD/PACT]]="","",IF((FWD[[#This Row],[RAD/PACT]]-YEAR(TODAY()))&lt;=5,"Yes",""))</calculatedColumnFormula>
    </tableColumn>
    <tableColumn id="14" xr3:uid="{01C14613-EB11-447D-B603-B5E9CBCE19D8}" name="CALENDAR YEAR" dataDxfId="179"/>
    <tableColumn id="15" xr3:uid="{33CE7B4B-9312-4CAE-9941-F18148768BEB}" name="FISCAL YEAR" dataDxfId="178"/>
    <tableColumn id="17" xr3:uid="{C52A8748-14FD-4794-9348-944604B366B6}" name="STATUS" dataDxfId="177"/>
    <tableColumn id="16" xr3:uid="{34C75B0E-E58D-40A7-9BE5-480F5B50A34B}" name="COST" dataDxfId="176"/>
    <tableColumn id="18" xr3:uid="{A3FA7612-466B-43D1-B7A3-935C56797F51}" name="ESTIMATE" dataDxfId="175" dataCellStyle="Currency">
      <calculatedColumnFormula>IF(FWD[[#This Row],[RAD/PACT]]="",INDEX(UnitCosts[],MATCH(FWD[[#This Row],[WORK TYPE]],UnitCosts[Work Type],0),2)*VLOOKUP(FWD[[#This Row],[DEVELOPMENT]],Data[],MATCH(FWD[[#This Row],[WORK TYPE]],Data[#Headers],0),FALSE),IF(FWD[[#This Row],[RAD/PACT]]-YEAR(TODAY())&lt;=5,0,INDEX(UnitCosts[],MATCH(FWD[[#This Row],[WORK TYPE]],UnitCosts[Work Type],0),2)*VLOOKUP(FWD[[#This Row],[DEVELOPMENT]],Data[],MATCH(FWD[[#This Row],[WORK TYPE]],Data[#Headers],0),FALSE)))</calculatedColumnFormula>
    </tableColumn>
    <tableColumn id="13" xr3:uid="{7BEEDB5E-FC11-4A0F-B20A-30F36B9B482D}" name="Running Cost/Yr" dataDxfId="174" dataCellStyle="Currency">
      <calculatedColumnFormula>IF(I4=I3,(M4+L4)+N3,(M4+L4))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F8406A-7D63-4FD2-A5C1-66E289FBE599}" name="EHD" displayName="EHD" ref="A3:N324" totalsRowShown="0" headerRowDxfId="173" headerRowBorderDxfId="172" tableBorderDxfId="171" totalsRowBorderDxfId="170">
  <autoFilter ref="A3:N324" xr:uid="{04BA41FC-E3EB-4AB6-843D-818C48B35579}"/>
  <sortState xmlns:xlrd2="http://schemas.microsoft.com/office/spreadsheetml/2017/richdata2" ref="A4:N324">
    <sortCondition ref="J4:J324"/>
    <sortCondition descending="1" ref="F4:F324"/>
    <sortCondition ref="E4:E324"/>
  </sortState>
  <tableColumns count="14">
    <tableColumn id="1" xr3:uid="{BA1AE244-0FDC-456B-9F4E-87485267E61E}" name="DEVELOPMENT" dataDxfId="169"/>
    <tableColumn id="2" xr3:uid="{6F44ACBB-8D1E-4C93-B625-163BD0A8E78C}" name="BOROUGH" dataDxfId="168">
      <calculatedColumnFormula>VLOOKUP(A4,Data[],2,FALSE)</calculatedColumnFormula>
    </tableColumn>
    <tableColumn id="3" xr3:uid="{AD63CAC2-B30E-4781-8039-75D9FC5881B8}" name="WORK TYPE" dataDxfId="167"/>
    <tableColumn id="14" xr3:uid="{9FB0E27C-CDB3-4B48-A1D7-D3D1995D9A44}" name="# Hopper Doors" dataDxfId="166">
      <calculatedColumnFormula>VLOOKUP(EHD[[#This Row],[DEVELOPMENT]],Data[],27,FALSE)</calculatedColumnFormula>
    </tableColumn>
    <tableColumn id="4" xr3:uid="{9C684EE6-6484-4693-A655-3199BB29B1C1}" name="NRR" dataDxfId="165">
      <calculatedColumnFormula>VLOOKUP(EHD[[#This Row],[DEVELOPMENT]],Data[],8,FALSE)</calculatedColumnFormula>
    </tableColumn>
    <tableColumn id="5" xr3:uid="{87D7A301-118A-4EB4-93C9-330704381F3C}" name="Priority Level" dataDxfId="164">
      <calculatedColumnFormula>VLOOKUP(EHD[[#This Row],[DEVELOPMENT]],Data[],9,FALSE)</calculatedColumnFormula>
    </tableColumn>
    <tableColumn id="6" xr3:uid="{ACCB2B1E-AD62-4555-84A2-C083A54E8301}" name="RAD/PACT" dataDxfId="163">
      <calculatedColumnFormula>IFERROR(VLOOKUP(EHD[[#This Row],[DEVELOPMENT]],Data[],4,FALSE),"")</calculatedColumnFormula>
    </tableColumn>
    <tableColumn id="7" xr3:uid="{ABC25C07-1AF5-4DCE-9822-0C8BF73F1435}" name="Is RAD/PACT w/in 5yr" dataDxfId="162">
      <calculatedColumnFormula>IF(EHD[[#This Row],[RAD/PACT]]="","",IF((EHD[[#This Row],[RAD/PACT]]-YEAR(TODAY()))&lt;=5,"Yes",""))</calculatedColumnFormula>
    </tableColumn>
    <tableColumn id="8" xr3:uid="{ECBA3FE3-A2BD-4B43-B822-EBF22247093B}" name="CALENDAR YEAR" dataDxfId="161"/>
    <tableColumn id="9" xr3:uid="{FEB783C4-756F-413D-AEA3-F573AAAE565B}" name="FISCAL YEAR" dataDxfId="160"/>
    <tableColumn id="10" xr3:uid="{E4BC1CB8-FD81-4B5A-9D62-CA5C54DB6B74}" name="STATUS" dataDxfId="159"/>
    <tableColumn id="11" xr3:uid="{440487AC-BD68-4800-9EC6-5F630B550587}" name="COST" dataDxfId="158"/>
    <tableColumn id="12" xr3:uid="{FA6A75A8-E2E2-4F04-ADBB-A5C8771115AE}" name="ESTIMATE" dataDxfId="157">
      <calculatedColumnFormula>IF(EHD[[#This Row],[RAD/PACT]]="",INDEX(UnitCosts[],MATCH(EHD[[#This Row],[WORK TYPE]],UnitCosts[Work Type],0),2)*VLOOKUP(EHD[[#This Row],[DEVELOPMENT]],Data[],MATCH(EHD[[#This Row],[WORK TYPE]],Data[#Headers],0),FALSE),IF(EHD[[#This Row],[RAD/PACT]]-YEAR(TODAY())&lt;=5,0,INDEX(UnitCosts[],MATCH(EHD[[#This Row],[WORK TYPE]],UnitCosts[Work Type],0),2)*VLOOKUP(EHD[[#This Row],[DEVELOPMENT]],Data[],MATCH(EHD[[#This Row],[WORK TYPE]],Data[#Headers],0),FALSE)))</calculatedColumnFormula>
    </tableColumn>
    <tableColumn id="13" xr3:uid="{8417925F-4A01-48E7-8288-2348A42F4A72}" name="Running Cost/Yr" dataDxfId="156">
      <calculatedColumnFormula>IF(I4=I3,(M4+L4)+N3,(M4+L4))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0D64C7-96FE-4025-9AC9-59AEA95F3B10}" name="Table3" displayName="Table3" ref="A3:K193" totalsRowShown="0" headerRowDxfId="155" headerRowBorderDxfId="154" tableBorderDxfId="153">
  <autoFilter ref="A3:K193" xr:uid="{AA06EA7B-EA70-4D69-A6F2-E698E0842E1C}"/>
  <tableColumns count="11">
    <tableColumn id="1" xr3:uid="{69C01430-5CB5-450D-B2DE-C1B123475D76}" name="BOROUGH" dataDxfId="152">
      <calculatedColumnFormula>VLOOKUP(C4,Data[],2,FALSE)</calculatedColumnFormula>
    </tableColumn>
    <tableColumn id="2" xr3:uid="{67246D2C-E812-49FB-932A-50702CCDFA95}" name="PROGRAM AREA" dataDxfId="151"/>
    <tableColumn id="3" xr3:uid="{E9DAFB39-BA64-43D5-B97A-060EA84F9FDE}" name="DEVELOPMENT" dataDxfId="150"/>
    <tableColumn id="11" xr3:uid="{160C0CCC-25CD-4AB6-B150-88FFDE90C377}" name="NRR" dataDxfId="149"/>
    <tableColumn id="4" xr3:uid="{B2EFED51-36E2-4151-97A2-73D316703038}" name="WORK TYPE" dataDxfId="148"/>
    <tableColumn id="5" xr3:uid="{6A04F244-672F-4261-BFFE-D2D04EA3EA8E}" name="CALENDAR YEAR" dataDxfId="147"/>
    <tableColumn id="6" xr3:uid="{936687AA-2D43-41F8-9C51-D3576D57E2B2}" name="FISCAL YEAR" dataDxfId="146"/>
    <tableColumn id="7" xr3:uid="{31B4A9CA-372D-4966-A977-143F2B415310}" name="STATUS" dataDxfId="145"/>
    <tableColumn id="8" xr3:uid="{B8E4AEF8-5183-4177-9906-46A85D3955E8}" name="COST" dataDxfId="144" dataCellStyle="Currency"/>
    <tableColumn id="9" xr3:uid="{FAAD4D99-4B84-42C2-91FF-1AFA88E93698}" name="ESTIMATES" dataDxfId="143" dataCellStyle="Currency">
      <calculatedColumnFormula>INDEX(UnitCosts[],MATCH(Table3[[#This Row],[WORK TYPE]],UnitCosts[Work Type],0),2)*VLOOKUP(Table3[[#This Row],[DEVELOPMENT]],Data[],MATCH(Table3[[#This Row],[WORK TYPE]],Data[#Headers],0),FALSE)</calculatedColumnFormula>
    </tableColumn>
    <tableColumn id="10" xr3:uid="{EF39A7A8-F6FD-4F31-BAA2-7DF663052D4B}" name="RESOURCE" dataDxfId="14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4BA89C-05CE-4625-9E7F-4A377E3AEBC7}" name="IntComp" displayName="IntComp" ref="A3:O324" totalsRowShown="0" headerRowDxfId="141" headerRowBorderDxfId="140" tableBorderDxfId="139" totalsRowBorderDxfId="138">
  <autoFilter ref="A3:O324" xr:uid="{DE7B7F90-D684-44B2-93A2-805900375B01}"/>
  <sortState xmlns:xlrd2="http://schemas.microsoft.com/office/spreadsheetml/2017/richdata2" ref="A4:O324">
    <sortCondition descending="1" ref="G3:G324"/>
  </sortState>
  <tableColumns count="15">
    <tableColumn id="2" xr3:uid="{2452592A-8DD1-413A-8238-AF98623C63F9}" name="DEVELOPMENT" dataDxfId="137"/>
    <tableColumn id="1" xr3:uid="{FC3F4F7E-8F54-4561-B606-E4BC71286926}" name="BOROUGH" dataDxfId="136">
      <calculatedColumnFormula>VLOOKUP(A4,Data[],2,FALSE)</calculatedColumnFormula>
    </tableColumn>
    <tableColumn id="3" xr3:uid="{C2D46A5F-84D1-44FC-8BBC-641BEA79A152}" name="WORK TYPE" dataDxfId="135"/>
    <tableColumn id="14" xr3:uid="{20DCF079-B7E8-4D33-99B5-BE50EDAB99A7}" name="# Int. Compactors to Replace" dataDxfId="134">
      <calculatedColumnFormula>VLOOKUP(IntComp[[#This Row],[DEVELOPMENT]],Data[],31,FALSE)</calculatedColumnFormula>
    </tableColumn>
    <tableColumn id="8" xr3:uid="{84A64621-313B-49FE-BEF2-2D5A94EC4E74}" name="NRR" dataDxfId="133">
      <calculatedColumnFormula>VLOOKUP(IntComp[[#This Row],[DEVELOPMENT]],Data[],8,FALSE)</calculatedColumnFormula>
    </tableColumn>
    <tableColumn id="12" xr3:uid="{39DB8D54-3DEF-411E-8F00-9164B526BD10}" name="Priority Level" dataDxfId="132">
      <calculatedColumnFormula>VLOOKUP(IntComp[[#This Row],[DEVELOPMENT]],Data[],9,FALSE)</calculatedColumnFormula>
    </tableColumn>
    <tableColumn id="15" xr3:uid="{DACD3211-A901-4B5D-BEF7-D6EE60C55426}" name="E&amp;S Priority" dataDxfId="131"/>
    <tableColumn id="5" xr3:uid="{B1BB3869-07A4-4EFA-B5C6-CA5852AD87C1}" name="RAD/PACT" dataDxfId="130">
      <calculatedColumnFormula>IFERROR(VLOOKUP(IntComp[[#This Row],[DEVELOPMENT]],Data[],4,FALSE),"")</calculatedColumnFormula>
    </tableColumn>
    <tableColumn id="7" xr3:uid="{E3742EBE-5B2A-4974-BB3D-97ADC286A12B}" name="RAD/PACT by 2025" dataDxfId="129">
      <calculatedColumnFormula>IF(IntComp[[#This Row],[RAD/PACT]]="","",IF(IntComp[[#This Row],[RAD/PACT]]&lt;=2025,"Yes",""))</calculatedColumnFormula>
    </tableColumn>
    <tableColumn id="4" xr3:uid="{4171AF3F-770A-4FDC-A0CA-14BFDF6FD0B8}" name="AGE (2019) (Y)" dataDxfId="128">
      <calculatedColumnFormula>IF(VLOOKUP(IntComp[[#This Row],[DEVELOPMENT]],Data[],10,FALSE)=0,"",DATEDIF(VLOOKUP(IntComp[[#This Row],[DEVELOPMENT]],Data[],12,FALSE),TODAY(),"Y"))</calculatedColumnFormula>
    </tableColumn>
    <tableColumn id="6" xr3:uid="{BDEC1DA3-05F6-46E5-A56F-FAF806D92D5A}" name="# to Replace" dataDxfId="127">
      <calculatedColumnFormula>IF(IntComp[[#This Row],[RAD/PACT]]="",VLOOKUP(IntComp[[#This Row],[DEVELOPMENT]],Data[],10,FALSE),IF(IntComp[[#This Row],[RAD/PACT by 2025]]="yes",0,VLOOKUP(IntComp[[#This Row],[DEVELOPMENT]],Data[],10,FALSE)))</calculatedColumnFormula>
    </tableColumn>
    <tableColumn id="9" xr3:uid="{CC9CB1D5-789F-402B-8BD5-E1B21B32D2F9}" name="Estimate" dataDxfId="0">
      <calculatedColumnFormula>IF(IntComp[[#This Row],[RAD/PACT by 2025]]="Yes",0,(IntComp[[#This Row],['# Int. Compactors to Replace]]*'Unit Costs'!$B$8)*(1+((IntComp[[#This Row],[est. Year]]-YEAR(TODAY()))*$L$2)))</calculatedColumnFormula>
    </tableColumn>
    <tableColumn id="10" xr3:uid="{035213B8-12AB-4D9B-921C-E94693DD7E5A}" name="Count" dataDxfId="126">
      <calculatedColumnFormula>SUM(INDEX(IntComp['# to Replace],1):IntComp[[#This Row],['# to Replace]])</calculatedColumnFormula>
    </tableColumn>
    <tableColumn id="11" xr3:uid="{A04998B1-8B8D-46FB-90BA-EA72D1A1C6F0}" name="est. Year" dataDxfId="125">
      <calculatedColumnFormula>ROUNDDOWN(IntComp[[#This Row],[Count]]/100,0)+$N$1</calculatedColumnFormula>
    </tableColumn>
    <tableColumn id="13" xr3:uid="{287BA27F-3D6D-41ED-862E-13FC530CDBED}" name="Running Cost/Yr" dataDxfId="124" dataCellStyle="Currency">
      <calculatedColumnFormula>IF(N4=N3,L4+O3,L4)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39658-43FF-41E1-8FE6-E6BE26D0B428}" name="Yards" displayName="Yards" ref="A4:P325" totalsRowShown="0" headerRowDxfId="123" headerRowBorderDxfId="122" tableBorderDxfId="121" totalsRowBorderDxfId="120">
  <autoFilter ref="A4:P325" xr:uid="{316E92D4-3B70-4634-B787-8D5F05561EC1}"/>
  <sortState xmlns:xlrd2="http://schemas.microsoft.com/office/spreadsheetml/2017/richdata2" ref="A5:P325">
    <sortCondition descending="1" ref="F4:F325"/>
  </sortState>
  <tableColumns count="16">
    <tableColumn id="1" xr3:uid="{C5147E45-F340-4E07-83CB-C80B79AEA8C7}" name="DEVELOPMENT" dataDxfId="119"/>
    <tableColumn id="2" xr3:uid="{82838382-374F-4F8B-A8CD-36E22C08BD74}" name="BOROUGH" dataDxfId="118">
      <calculatedColumnFormula>VLOOKUP(Yards[[#This Row],[DEVELOPMENT]],Data[],2,FALSE)</calculatedColumnFormula>
    </tableColumn>
    <tableColumn id="15" xr3:uid="{7649CDD4-B671-41D9-8FF5-6AFFCBC2BA26}" name="WORK TYPE" dataDxfId="117">
      <calculatedColumnFormula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calculatedColumnFormula>
    </tableColumn>
    <tableColumn id="3" xr3:uid="{F86A49D2-4A9E-45DC-A32B-06F1BF7A71FA}" name="# Ext. Compactors to Replace" dataDxfId="116">
      <calculatedColumnFormula>VLOOKUP(Yards[[#This Row],[DEVELOPMENT]],Data[],30,FALSE)</calculatedColumnFormula>
    </tableColumn>
    <tableColumn id="9" xr3:uid="{461D567C-1303-4B1E-A74F-DB73F23C1BCE}" name="# Bulk Crushers" dataDxfId="115">
      <calculatedColumnFormula>VLOOKUP(Yards[[#This Row],[DEVELOPMENT]],Data[],28,FALSE)</calculatedColumnFormula>
    </tableColumn>
    <tableColumn id="4" xr3:uid="{5DC0EC92-ACB4-4B19-9A54-83269B7B3853}" name="NRR" dataDxfId="114">
      <calculatedColumnFormula>VLOOKUP(Yards[[#This Row],[DEVELOPMENT]],Data[],8,FALSE)</calculatedColumnFormula>
    </tableColumn>
    <tableColumn id="5" xr3:uid="{81708631-886A-4D25-ADC6-A1D0938985FC}" name="Priority Level" dataDxfId="113">
      <calculatedColumnFormula>VLOOKUP(Yards[[#This Row],[DEVELOPMENT]],Data[],9,FALSE)</calculatedColumnFormula>
    </tableColumn>
    <tableColumn id="17" xr3:uid="{C3FF65B1-8292-4DAD-96CE-A908E4FA954D}" name="E&amp;S Priority" dataDxfId="112"/>
    <tableColumn id="6" xr3:uid="{5F5B447A-DA7D-49CE-B29C-70115E4661D8}" name="RAD/PACT" dataDxfId="111">
      <calculatedColumnFormula>IFERROR(VLOOKUP(Yards[[#This Row],[DEVELOPMENT]],Data[],4,FALSE),"")</calculatedColumnFormula>
    </tableColumn>
    <tableColumn id="7" xr3:uid="{923C4460-766A-4D78-A32E-36C7909216B6}" name="RAD/PACT by 2025" dataDxfId="110">
      <calculatedColumnFormula>IF(Yards[[#This Row],[RAD/PACT]]="","",IF((Yards[[#This Row],[RAD/PACT]]&lt;=2025),"Yes",""))</calculatedColumnFormula>
    </tableColumn>
    <tableColumn id="8" xr3:uid="{619F27FA-8CD8-4592-A85C-2C46D67B169A}" name="ext comp age?" dataDxfId="109">
      <calculatedColumnFormula>IF(VLOOKUP(Yards[[#This Row],[DEVELOPMENT]],ExtComp[],8,FALSE)&lt;=5,"new","old")</calculatedColumnFormula>
    </tableColumn>
    <tableColumn id="10" xr3:uid="{5D76B2B1-9D22-4F53-AB56-544983E5AA07}" name="Estimate" dataDxfId="108" dataCellStyle="Currency">
      <calculatedColumnFormula>IF(Yards[[#This Row],[RAD/PACT by 2025]]="Yes",0,INDEX(UnitCosts[],MATCH(Yards[[#This Row],[WORK TYPE]],UnitCosts[Work Type],0),2))</calculatedColumnFormula>
    </tableColumn>
    <tableColumn id="11" xr3:uid="{9C639903-3984-468D-81C4-F82B705581E4}" name="Count" dataDxfId="107"/>
    <tableColumn id="12" xr3:uid="{63CF00A5-2BD9-4EE8-A80B-F7350100868D}" name="est. Year" dataDxfId="106"/>
    <tableColumn id="13" xr3:uid="{D53BD55F-A333-45A0-9DC7-9AE2A91FDB78}" name="Running Cost/Yr" dataDxfId="105"/>
    <tableColumn id="16" xr3:uid="{A808799A-1DA8-4C01-8B2D-719E41087875}" name="Notes" dataDxfId="10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1FDE1B-61D8-44E6-9A2B-FD640305D851}" name="ExtComp" displayName="ExtComp" ref="A3:O324" totalsRowShown="0" headerRowDxfId="103" headerRowBorderDxfId="102" tableBorderDxfId="101" totalsRowBorderDxfId="100">
  <autoFilter ref="A3:O324" xr:uid="{DE7B7F90-D684-44B2-93A2-805900375B01}"/>
  <sortState xmlns:xlrd2="http://schemas.microsoft.com/office/spreadsheetml/2017/richdata2" ref="A4:O324">
    <sortCondition descending="1" ref="A4:A324"/>
  </sortState>
  <tableColumns count="15">
    <tableColumn id="2" xr3:uid="{1EFA641E-1F2C-4AA6-8C8D-976310434FD4}" name="DEVELOPMENT" dataDxfId="99"/>
    <tableColumn id="1" xr3:uid="{FD4A0A24-35AE-485F-B4E7-09DF745365C6}" name="BOROUGH" dataDxfId="98">
      <calculatedColumnFormula>VLOOKUP(A4,Data[],2,FALSE)</calculatedColumnFormula>
    </tableColumn>
    <tableColumn id="3" xr3:uid="{AE908AD1-786A-42CC-B48A-6B350B43645E}" name="WORK TYPE" dataDxfId="97"/>
    <tableColumn id="12" xr3:uid="{DC717C39-B626-4264-8A67-91D25DB37DF8}" name="NRR" dataDxfId="96">
      <calculatedColumnFormula>VLOOKUP(ExtComp[[#This Row],[DEVELOPMENT]],Data[],8,FALSE)</calculatedColumnFormula>
    </tableColumn>
    <tableColumn id="13" xr3:uid="{11CE8635-FDA2-4FBE-A380-1475165C487C}" name="Priority Level" dataDxfId="95">
      <calculatedColumnFormula>VLOOKUP(ExtComp[[#This Row],[DEVELOPMENT]],Data[],9,FALSE)</calculatedColumnFormula>
    </tableColumn>
    <tableColumn id="5" xr3:uid="{E777A3D3-770A-4F1C-9E35-8506CD3881D8}" name="RAD/PACT" dataDxfId="94">
      <calculatedColumnFormula>IFERROR(VLOOKUP(ExtComp[[#This Row],[DEVELOPMENT]],Data[],4,FALSE),"")</calculatedColumnFormula>
    </tableColumn>
    <tableColumn id="8" xr3:uid="{BFCA6DBF-2E03-4597-A8A7-E3A96F423B31}" name="RAD/PACT by 2025" dataDxfId="93">
      <calculatedColumnFormula>IF(ExtComp[[#This Row],[RAD/PACT]]="","",IF(ExtComp[[#This Row],[RAD/PACT]]&lt;=2025,"Yes",""))</calculatedColumnFormula>
    </tableColumn>
    <tableColumn id="4" xr3:uid="{0856D314-EBC4-4976-9898-73D4A012F202}" name="AGE (2019) (Y)" dataDxfId="92">
      <calculatedColumnFormula>IF(VLOOKUP(ExtComp[[#This Row],[DEVELOPMENT]],Data[],11,FALSE)=0,"",DATEDIF(VLOOKUP(ExtComp[[#This Row],[DEVELOPMENT]],Data[],13,FALSE),TODAY(),"Y"))</calculatedColumnFormula>
    </tableColumn>
    <tableColumn id="6" xr3:uid="{B0D311A9-EDF1-4C52-9CEE-7D2DDBCAE294}" name="# to Replace" dataDxfId="91">
      <calculatedColumnFormula>IF(ExtComp[[#This Row],[RAD/PACT]]="",VLOOKUP(ExtComp[[#This Row],[DEVELOPMENT]],Data[],11,FALSE),IF(ExtComp[[#This Row],[RAD/PACT by 2025]]="yes",0,VLOOKUP(ExtComp[[#This Row],[DEVELOPMENT]],Data[],11,FALSE)))</calculatedColumnFormula>
    </tableColumn>
    <tableColumn id="10" xr3:uid="{AEAE4539-74F7-4157-BC48-922EBD0E221D}" name="Cost per Development" dataDxfId="90">
      <calculatedColumnFormula>(ExtComp[[#This Row],['# to Replace]]*'Unit Costs'!$B$6)*(1+((ExtComp[[#This Row],[est. Year]]-YEAR(TODAY()))*$J$2))</calculatedColumnFormula>
    </tableColumn>
    <tableColumn id="9" xr3:uid="{C61C0249-46F3-4B12-9489-D991916F6EB1}" name="Count" dataDxfId="89">
      <calculatedColumnFormula>SUM(INDEX(ExtComp['# to Replace],1):ExtComp[[#This Row],['# to Replace]])</calculatedColumnFormula>
    </tableColumn>
    <tableColumn id="11" xr3:uid="{4B6331E8-800C-47C2-B3A3-899AAA9B087A}" name="est. Year" dataDxfId="88">
      <calculatedColumnFormula>ROUNDDOWN(ExtComp[[#This Row],[Count]]/50,0)+$L$1</calculatedColumnFormula>
    </tableColumn>
    <tableColumn id="7" xr3:uid="{C625CEA7-3AC2-4229-B6E4-D27A6D77BC8A}" name="Running Cost/Yr" dataDxfId="87" dataCellStyle="Currency">
      <calculatedColumnFormula>IF(L4=L3,J4+M3,J4)</calculatedColumnFormula>
    </tableColumn>
    <tableColumn id="16" xr3:uid="{DEE71A7F-9FCC-48D1-B46E-E75B2A79E671}" name="DSNY Priority" dataDxfId="86" dataCellStyle="Currency">
      <calculatedColumnFormula>IFERROR(VLOOKUP(ExtComp[[#This Row],[DEVELOPMENT]],Data[],22,FALSE),"")</calculatedColumnFormula>
    </tableColumn>
    <tableColumn id="15" xr3:uid="{0934250A-E7D5-4841-9347-D3AE7361F581}" name="DSNY Comments" dataDxfId="85">
      <calculatedColumnFormula>IFERROR(VLOOKUP(ExtComp[[#This Row],[DEVELOPMENT]],Data[],23,FALSE),"")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DBC50C-6874-48D0-A440-713377B7EFE1}" name="UnitCosts" displayName="UnitCosts" ref="A1:C19" totalsRowShown="0" headerRowDxfId="84">
  <autoFilter ref="A1:C19" xr:uid="{11641772-51A5-4FEB-AF1E-46F2EE1A20C8}"/>
  <sortState xmlns:xlrd2="http://schemas.microsoft.com/office/spreadsheetml/2017/richdata2" ref="A2:B12">
    <sortCondition ref="A2:A12"/>
  </sortState>
  <tableColumns count="3">
    <tableColumn id="1" xr3:uid="{1087773F-8FE8-466A-B9AD-DD7DE236F083}" name="Work Type"/>
    <tableColumn id="2" xr3:uid="{C508A82A-D4D2-4380-AA17-9FF6FE7DE8D6}" name="Unit Cost" dataCellStyle="Currency">
      <calculatedColumnFormula>INDEX([1]!Table1[#Data],MATCH(UnitCosts[[#This Row],[Work Type]],[1]!Table1[Work Type],0),12)</calculatedColumnFormula>
    </tableColumn>
    <tableColumn id="3" xr3:uid="{F312CBA7-B100-43AA-8555-9B87FA6B8CF4}" name="Funding" dataDxfId="83" dataCellStyle="Currenc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10B8-7E6A-4567-8460-4512611DBEEF}">
  <dimension ref="A1:T303"/>
  <sheetViews>
    <sheetView zoomScaleNormal="100" workbookViewId="0">
      <pane xSplit="3" ySplit="4" topLeftCell="G23" activePane="bottomRight" state="frozen"/>
      <selection pane="topRight" activeCell="D1" sqref="D1"/>
      <selection pane="bottomLeft" activeCell="A4" sqref="A4"/>
      <selection pane="bottomRight" activeCell="G24" sqref="G24"/>
    </sheetView>
  </sheetViews>
  <sheetFormatPr defaultRowHeight="15" x14ac:dyDescent="0.25"/>
  <cols>
    <col min="1" max="1" width="14.85546875" bestFit="1" customWidth="1"/>
    <col min="2" max="2" width="20.28515625" hidden="1" customWidth="1"/>
    <col min="3" max="3" width="39.5703125" bestFit="1" customWidth="1"/>
    <col min="4" max="4" width="9.28515625" bestFit="1" customWidth="1"/>
    <col min="5" max="5" width="17.28515625" bestFit="1" customWidth="1"/>
    <col min="6" max="6" width="14.7109375" bestFit="1" customWidth="1"/>
    <col min="7" max="7" width="24.85546875" bestFit="1" customWidth="1"/>
    <col min="8" max="8" width="22" bestFit="1" customWidth="1"/>
    <col min="9" max="9" width="17.42578125" hidden="1" customWidth="1"/>
    <col min="10" max="10" width="21.28515625" hidden="1" customWidth="1"/>
    <col min="11" max="11" width="19.28515625" hidden="1" customWidth="1"/>
    <col min="12" max="12" width="16.140625" style="77" bestFit="1" customWidth="1"/>
    <col min="13" max="13" width="20.140625" style="77" bestFit="1" customWidth="1"/>
    <col min="14" max="14" width="16.42578125" style="77" bestFit="1" customWidth="1"/>
    <col min="15" max="15" width="18" bestFit="1" customWidth="1"/>
    <col min="16" max="16" width="16.28515625" bestFit="1" customWidth="1"/>
    <col min="17" max="17" width="14.28515625" bestFit="1" customWidth="1"/>
    <col min="18" max="18" width="16.28515625" bestFit="1" customWidth="1"/>
    <col min="19" max="19" width="25.5703125" bestFit="1" customWidth="1"/>
    <col min="20" max="20" width="53" bestFit="1" customWidth="1"/>
    <col min="21" max="21" width="19.85546875" bestFit="1" customWidth="1"/>
    <col min="22" max="22" width="9.140625" customWidth="1"/>
  </cols>
  <sheetData>
    <row r="1" spans="1:20" x14ac:dyDescent="0.25">
      <c r="P1" t="s">
        <v>0</v>
      </c>
      <c r="Q1" t="s">
        <v>1</v>
      </c>
      <c r="R1" t="s">
        <v>2</v>
      </c>
    </row>
    <row r="2" spans="1:20" x14ac:dyDescent="0.25">
      <c r="A2" t="s">
        <v>3</v>
      </c>
      <c r="C2">
        <f>SUMPRODUCT(1/COUNTIF(Table1[DEVELOPMENT],Table1[DEVELOPMENT]))</f>
        <v>108.00000000000009</v>
      </c>
      <c r="H2" t="s">
        <v>4</v>
      </c>
      <c r="Q2" s="22">
        <f>SUM(Table1[COST])</f>
        <v>2134762.46</v>
      </c>
      <c r="R2" s="22">
        <f ca="1">SUM(Table1[ESTIMATES])</f>
        <v>39113666.734097824</v>
      </c>
      <c r="S2" s="22">
        <f ca="1">SUM(Q2:R2)</f>
        <v>41248429.194097824</v>
      </c>
    </row>
    <row r="4" spans="1:20" s="77" customFormat="1" x14ac:dyDescent="0.25">
      <c r="A4" s="107" t="s">
        <v>5</v>
      </c>
      <c r="B4" s="108" t="s">
        <v>6</v>
      </c>
      <c r="C4" s="108" t="s">
        <v>7</v>
      </c>
      <c r="D4" s="108" t="s">
        <v>8</v>
      </c>
      <c r="E4" s="108" t="s">
        <v>9</v>
      </c>
      <c r="F4" s="108" t="s">
        <v>10</v>
      </c>
      <c r="G4" s="108" t="s">
        <v>11</v>
      </c>
      <c r="H4" s="108" t="s">
        <v>12</v>
      </c>
      <c r="I4" s="109" t="s">
        <v>13</v>
      </c>
      <c r="J4" s="76" t="s">
        <v>14</v>
      </c>
      <c r="K4" s="110" t="s">
        <v>15</v>
      </c>
      <c r="L4" s="111" t="s">
        <v>16</v>
      </c>
      <c r="M4" s="108" t="s">
        <v>17</v>
      </c>
      <c r="N4" s="108" t="s">
        <v>18</v>
      </c>
      <c r="O4" s="108" t="s">
        <v>19</v>
      </c>
      <c r="P4" s="108" t="s">
        <v>20</v>
      </c>
      <c r="Q4" s="108" t="s">
        <v>21</v>
      </c>
      <c r="R4" s="108" t="s">
        <v>22</v>
      </c>
      <c r="S4" s="108" t="s">
        <v>23</v>
      </c>
      <c r="T4" s="112" t="s">
        <v>24</v>
      </c>
    </row>
    <row r="5" spans="1:20" x14ac:dyDescent="0.25">
      <c r="A5" s="13" t="str">
        <f>VLOOKUP(C5,Data[],2,FALSE)</f>
        <v>BROOKLYN</v>
      </c>
      <c r="B5" s="9" t="s">
        <v>25</v>
      </c>
      <c r="C5" s="9" t="s">
        <v>26</v>
      </c>
      <c r="D5" s="1" t="str">
        <f>VLOOKUP(Table1[[#This Row],[DEVELOPMENT]],Data[],MATCH(Table1[[#Headers],[NRR]],Data[#Headers],0),FALSE)</f>
        <v>Zone 1</v>
      </c>
      <c r="E5" s="1" t="str">
        <f>VLOOKUP(Table1[[#This Row],[DEVELOPMENT]],Data[],MATCH(Table1[[#Headers],[Priority Level]],Data[#Headers],0),FALSE)</f>
        <v>$$</v>
      </c>
      <c r="F5" s="1" t="str">
        <f>VLOOKUP(Table1[[#This Row],[DEVELOPMENT]],Data[],MATCH(Table1[[#Headers],[RAD/PACT]],Data[#Headers],0),FALSE)</f>
        <v/>
      </c>
      <c r="G5" s="9" t="s">
        <v>27</v>
      </c>
      <c r="H5" s="74" t="s">
        <v>28</v>
      </c>
      <c r="I5" s="10">
        <f>K5</f>
        <v>24000</v>
      </c>
      <c r="J5" s="10"/>
      <c r="K5" s="11">
        <v>24000</v>
      </c>
      <c r="L5" s="90">
        <v>2019</v>
      </c>
      <c r="M5" s="92">
        <v>2019</v>
      </c>
      <c r="N5" s="92">
        <v>2020</v>
      </c>
      <c r="O5" s="2" t="s">
        <v>29</v>
      </c>
      <c r="P5" s="2"/>
      <c r="Q5" s="3">
        <v>44243.94</v>
      </c>
      <c r="R5" s="3"/>
      <c r="S5" s="1" t="s">
        <v>30</v>
      </c>
      <c r="T5" s="16"/>
    </row>
    <row r="6" spans="1:20" x14ac:dyDescent="0.25">
      <c r="A6" s="13" t="str">
        <f>VLOOKUP(C6,Data[],2,FALSE)</f>
        <v>BRONX</v>
      </c>
      <c r="B6" s="9" t="s">
        <v>25</v>
      </c>
      <c r="C6" s="9" t="s">
        <v>31</v>
      </c>
      <c r="D6" s="1" t="str">
        <f>VLOOKUP(Table1[[#This Row],[DEVELOPMENT]],Data[],MATCH(Table1[[#Headers],[NRR]],Data[#Headers],0),FALSE)</f>
        <v>Zone 1</v>
      </c>
      <c r="E6" s="1" t="str">
        <f>VLOOKUP(Table1[[#This Row],[DEVELOPMENT]],Data[],MATCH(Table1[[#Headers],[Priority Level]],Data[#Headers],0),FALSE)</f>
        <v>$$</v>
      </c>
      <c r="F6" s="1" t="str">
        <f>VLOOKUP(Table1[[#This Row],[DEVELOPMENT]],Data[],MATCH(Table1[[#Headers],[RAD/PACT]],Data[#Headers],0),FALSE)</f>
        <v/>
      </c>
      <c r="G6" s="9" t="s">
        <v>27</v>
      </c>
      <c r="H6" s="74" t="s">
        <v>28</v>
      </c>
      <c r="I6" s="10">
        <f>K6</f>
        <v>18000</v>
      </c>
      <c r="J6" s="10"/>
      <c r="K6" s="11">
        <v>18000</v>
      </c>
      <c r="L6" s="90">
        <v>2019</v>
      </c>
      <c r="M6" s="92">
        <v>2019</v>
      </c>
      <c r="N6" s="92">
        <v>2020</v>
      </c>
      <c r="O6" s="2" t="s">
        <v>29</v>
      </c>
      <c r="P6" s="2"/>
      <c r="Q6" s="3">
        <f>INDEX(UnitCosts[],MATCH(Table1[[#This Row],[WORK TYPE]],UnitCosts[Work Type],0),2)*VLOOKUP(Table1[[#This Row],[DEVELOPMENT]],Data[],MATCH(Table1[[#This Row],[WORK TYPE]],Data[#Headers],0),FALSE)</f>
        <v>0</v>
      </c>
      <c r="R6" s="3"/>
      <c r="S6" s="1" t="s">
        <v>30</v>
      </c>
      <c r="T6" s="16"/>
    </row>
    <row r="7" spans="1:20" x14ac:dyDescent="0.25">
      <c r="A7" s="13" t="str">
        <f>VLOOKUP(C7,Data[],2,FALSE)</f>
        <v>BRONX</v>
      </c>
      <c r="B7" s="9" t="s">
        <v>25</v>
      </c>
      <c r="C7" s="9" t="s">
        <v>32</v>
      </c>
      <c r="D7" s="1" t="str">
        <f>VLOOKUP(Table1[[#This Row],[DEVELOPMENT]],Data[],MATCH(Table1[[#Headers],[NRR]],Data[#Headers],0),FALSE)</f>
        <v>Zone 1</v>
      </c>
      <c r="E7" s="1" t="str">
        <f>VLOOKUP(Table1[[#This Row],[DEVELOPMENT]],Data[],MATCH(Table1[[#Headers],[Priority Level]],Data[#Headers],0),FALSE)</f>
        <v>$</v>
      </c>
      <c r="F7" s="1">
        <f>VLOOKUP(Table1[[#This Row],[DEVELOPMENT]],Data[],MATCH(Table1[[#Headers],[RAD/PACT]],Data[#Headers],0),FALSE)</f>
        <v>2025</v>
      </c>
      <c r="G7" s="9" t="s">
        <v>27</v>
      </c>
      <c r="H7" s="74" t="s">
        <v>33</v>
      </c>
      <c r="I7" s="12"/>
      <c r="J7" s="10">
        <f>K7</f>
        <v>24000</v>
      </c>
      <c r="K7" s="11">
        <v>24000</v>
      </c>
      <c r="L7" s="90">
        <v>2019</v>
      </c>
      <c r="M7" s="92">
        <v>2019</v>
      </c>
      <c r="N7" s="92">
        <v>2020</v>
      </c>
      <c r="O7" s="2" t="s">
        <v>29</v>
      </c>
      <c r="P7" s="2"/>
      <c r="Q7" s="3">
        <f>INDEX(UnitCosts[],MATCH(Table1[[#This Row],[WORK TYPE]],UnitCosts[Work Type],0),2)*VLOOKUP(Table1[[#This Row],[DEVELOPMENT]],Data[],MATCH(Table1[[#This Row],[WORK TYPE]],Data[#Headers],0),FALSE)</f>
        <v>0</v>
      </c>
      <c r="R7" s="3"/>
      <c r="S7" s="1" t="s">
        <v>30</v>
      </c>
      <c r="T7" s="16"/>
    </row>
    <row r="8" spans="1:20" x14ac:dyDescent="0.25">
      <c r="A8" s="13" t="str">
        <f>VLOOKUP(C8,Data[],2,FALSE)</f>
        <v>BRONX</v>
      </c>
      <c r="B8" s="9" t="s">
        <v>25</v>
      </c>
      <c r="C8" s="9" t="s">
        <v>34</v>
      </c>
      <c r="D8" s="1" t="str">
        <f>VLOOKUP(Table1[[#This Row],[DEVELOPMENT]],Data[],MATCH(Table1[[#Headers],[NRR]],Data[#Headers],0),FALSE)</f>
        <v>Zone 1</v>
      </c>
      <c r="E8" s="1" t="str">
        <f>VLOOKUP(Table1[[#This Row],[DEVELOPMENT]],Data[],MATCH(Table1[[#Headers],[Priority Level]],Data[#Headers],0),FALSE)</f>
        <v>$</v>
      </c>
      <c r="F8" s="1">
        <f>VLOOKUP(Table1[[#This Row],[DEVELOPMENT]],Data[],MATCH(Table1[[#Headers],[RAD/PACT]],Data[#Headers],0),FALSE)</f>
        <v>2025</v>
      </c>
      <c r="G8" s="9" t="s">
        <v>27</v>
      </c>
      <c r="H8" s="74" t="s">
        <v>33</v>
      </c>
      <c r="I8" s="12"/>
      <c r="J8" s="10">
        <f>K8</f>
        <v>27000</v>
      </c>
      <c r="K8" s="11">
        <v>27000</v>
      </c>
      <c r="L8" s="90">
        <v>2019</v>
      </c>
      <c r="M8" s="92">
        <v>2019</v>
      </c>
      <c r="N8" s="92">
        <v>2020</v>
      </c>
      <c r="O8" s="2" t="s">
        <v>29</v>
      </c>
      <c r="P8" s="2"/>
      <c r="Q8" s="3">
        <f>INDEX(UnitCosts[],MATCH(Table1[[#This Row],[WORK TYPE]],UnitCosts[Work Type],0),2)*VLOOKUP(Table1[[#This Row],[DEVELOPMENT]],Data[],MATCH(Table1[[#This Row],[WORK TYPE]],Data[#Headers],0),FALSE)</f>
        <v>0</v>
      </c>
      <c r="R8" s="3"/>
      <c r="S8" s="1" t="s">
        <v>30</v>
      </c>
      <c r="T8" s="16"/>
    </row>
    <row r="9" spans="1:20" x14ac:dyDescent="0.25">
      <c r="A9" s="13" t="str">
        <f>VLOOKUP(C9,Data[],2,FALSE)</f>
        <v>BRONX</v>
      </c>
      <c r="B9" s="9" t="s">
        <v>25</v>
      </c>
      <c r="C9" s="9" t="s">
        <v>35</v>
      </c>
      <c r="D9" s="1" t="str">
        <f>VLOOKUP(Table1[[#This Row],[DEVELOPMENT]],Data[],MATCH(Table1[[#Headers],[NRR]],Data[#Headers],0),FALSE)</f>
        <v>Zone 1</v>
      </c>
      <c r="E9" s="1" t="str">
        <f>VLOOKUP(Table1[[#This Row],[DEVELOPMENT]],Data[],MATCH(Table1[[#Headers],[Priority Level]],Data[#Headers],0),FALSE)</f>
        <v>$</v>
      </c>
      <c r="F9" s="1" t="str">
        <f>VLOOKUP(Table1[[#This Row],[DEVELOPMENT]],Data[],MATCH(Table1[[#Headers],[RAD/PACT]],Data[#Headers],0),FALSE)</f>
        <v/>
      </c>
      <c r="G9" s="9" t="s">
        <v>27</v>
      </c>
      <c r="H9" s="74" t="s">
        <v>28</v>
      </c>
      <c r="I9" s="10">
        <f t="shared" ref="I9:I19" si="0">K9</f>
        <v>21000</v>
      </c>
      <c r="J9" s="10"/>
      <c r="K9" s="11">
        <v>21000</v>
      </c>
      <c r="L9" s="90">
        <v>2019</v>
      </c>
      <c r="M9" s="92">
        <v>2019</v>
      </c>
      <c r="N9" s="92">
        <v>2020</v>
      </c>
      <c r="O9" s="2" t="s">
        <v>29</v>
      </c>
      <c r="P9" s="2"/>
      <c r="Q9" s="3">
        <f>INDEX(UnitCosts[],MATCH(Table1[[#This Row],[WORK TYPE]],UnitCosts[Work Type],0),2)*VLOOKUP(Table1[[#This Row],[DEVELOPMENT]],Data[],MATCH(Table1[[#This Row],[WORK TYPE]],Data[#Headers],0),FALSE)</f>
        <v>0</v>
      </c>
      <c r="R9" s="3"/>
      <c r="S9" s="1" t="s">
        <v>30</v>
      </c>
      <c r="T9" s="16"/>
    </row>
    <row r="10" spans="1:20" x14ac:dyDescent="0.25">
      <c r="A10" s="13" t="str">
        <f>VLOOKUP(C10,Data[],2,FALSE)</f>
        <v>MANHATTAN</v>
      </c>
      <c r="B10" s="9" t="s">
        <v>25</v>
      </c>
      <c r="C10" s="9" t="s">
        <v>36</v>
      </c>
      <c r="D10" s="1" t="str">
        <f>VLOOKUP(Table1[[#This Row],[DEVELOPMENT]],Data[],MATCH(Table1[[#Headers],[NRR]],Data[#Headers],0),FALSE)</f>
        <v>Zone 1</v>
      </c>
      <c r="E10" s="1" t="str">
        <f>VLOOKUP(Table1[[#This Row],[DEVELOPMENT]],Data[],MATCH(Table1[[#Headers],[Priority Level]],Data[#Headers],0),FALSE)</f>
        <v>$$</v>
      </c>
      <c r="F10" s="1" t="str">
        <f>VLOOKUP(Table1[[#This Row],[DEVELOPMENT]],Data[],MATCH(Table1[[#Headers],[RAD/PACT]],Data[#Headers],0),FALSE)</f>
        <v/>
      </c>
      <c r="G10" s="9" t="s">
        <v>27</v>
      </c>
      <c r="H10" s="74" t="s">
        <v>28</v>
      </c>
      <c r="I10" s="10">
        <f t="shared" si="0"/>
        <v>27000</v>
      </c>
      <c r="J10" s="10"/>
      <c r="K10" s="11">
        <v>27000</v>
      </c>
      <c r="L10" s="90">
        <v>2019</v>
      </c>
      <c r="M10" s="92">
        <v>2019</v>
      </c>
      <c r="N10" s="92">
        <v>2020</v>
      </c>
      <c r="O10" s="2" t="s">
        <v>29</v>
      </c>
      <c r="P10" s="2"/>
      <c r="Q10" s="63">
        <v>56519.89</v>
      </c>
      <c r="R10" s="3"/>
      <c r="S10" s="1" t="s">
        <v>30</v>
      </c>
      <c r="T10" s="16"/>
    </row>
    <row r="11" spans="1:20" x14ac:dyDescent="0.25">
      <c r="A11" s="13" t="str">
        <f>VLOOKUP(C11,Data[],2,FALSE)</f>
        <v>BROOKLYN</v>
      </c>
      <c r="B11" s="9" t="s">
        <v>25</v>
      </c>
      <c r="C11" s="9" t="s">
        <v>37</v>
      </c>
      <c r="D11" s="1" t="str">
        <f>VLOOKUP(Table1[[#This Row],[DEVELOPMENT]],Data[],MATCH(Table1[[#Headers],[NRR]],Data[#Headers],0),FALSE)</f>
        <v>Zone 1</v>
      </c>
      <c r="E11" s="1" t="str">
        <f>VLOOKUP(Table1[[#This Row],[DEVELOPMENT]],Data[],MATCH(Table1[[#Headers],[Priority Level]],Data[#Headers],0),FALSE)</f>
        <v>$$$</v>
      </c>
      <c r="F11" s="1" t="str">
        <f>VLOOKUP(Table1[[#This Row],[DEVELOPMENT]],Data[],MATCH(Table1[[#Headers],[RAD/PACT]],Data[#Headers],0),FALSE)</f>
        <v/>
      </c>
      <c r="G11" s="9" t="s">
        <v>27</v>
      </c>
      <c r="H11" s="74" t="s">
        <v>28</v>
      </c>
      <c r="I11" s="10">
        <f t="shared" si="0"/>
        <v>21000</v>
      </c>
      <c r="J11" s="10"/>
      <c r="K11" s="11">
        <v>21000</v>
      </c>
      <c r="L11" s="90">
        <v>2019</v>
      </c>
      <c r="M11" s="92">
        <v>2019</v>
      </c>
      <c r="N11" s="92">
        <v>2020</v>
      </c>
      <c r="O11" s="2" t="s">
        <v>29</v>
      </c>
      <c r="P11" s="2"/>
      <c r="Q11" s="3">
        <f>INDEX(UnitCosts[],MATCH(Table1[[#This Row],[WORK TYPE]],UnitCosts[Work Type],0),2)*VLOOKUP(Table1[[#This Row],[DEVELOPMENT]],Data[],MATCH(Table1[[#This Row],[WORK TYPE]],Data[#Headers],0),FALSE)</f>
        <v>0</v>
      </c>
      <c r="R11" s="3"/>
      <c r="S11" s="1" t="s">
        <v>30</v>
      </c>
      <c r="T11" s="16"/>
    </row>
    <row r="12" spans="1:20" x14ac:dyDescent="0.25">
      <c r="A12" s="13" t="str">
        <f>VLOOKUP(C12,Data[],2,FALSE)</f>
        <v>BROOKLYN</v>
      </c>
      <c r="B12" s="9" t="s">
        <v>25</v>
      </c>
      <c r="C12" s="9" t="s">
        <v>38</v>
      </c>
      <c r="D12" s="1" t="str">
        <f>VLOOKUP(Table1[[#This Row],[DEVELOPMENT]],Data[],MATCH(Table1[[#Headers],[NRR]],Data[#Headers],0),FALSE)</f>
        <v>Zone 1</v>
      </c>
      <c r="E12" s="1" t="str">
        <f>VLOOKUP(Table1[[#This Row],[DEVELOPMENT]],Data[],MATCH(Table1[[#Headers],[Priority Level]],Data[#Headers],0),FALSE)</f>
        <v>$$</v>
      </c>
      <c r="F12" s="1">
        <f>VLOOKUP(Table1[[#This Row],[DEVELOPMENT]],Data[],MATCH(Table1[[#Headers],[RAD/PACT]],Data[#Headers],0),FALSE)</f>
        <v>2027</v>
      </c>
      <c r="G12" s="9" t="s">
        <v>27</v>
      </c>
      <c r="H12" s="74" t="s">
        <v>28</v>
      </c>
      <c r="I12" s="10">
        <f t="shared" si="0"/>
        <v>210000</v>
      </c>
      <c r="J12" s="10"/>
      <c r="K12" s="11">
        <v>210000</v>
      </c>
      <c r="L12" s="90">
        <v>2019</v>
      </c>
      <c r="M12" s="92">
        <v>2019</v>
      </c>
      <c r="N12" s="92">
        <v>2020</v>
      </c>
      <c r="O12" s="2" t="s">
        <v>29</v>
      </c>
      <c r="P12" s="2"/>
      <c r="Q12" s="3">
        <f>INDEX(UnitCosts[],MATCH(Table1[[#This Row],[WORK TYPE]],UnitCosts[Work Type],0),2)*VLOOKUP(Table1[[#This Row],[DEVELOPMENT]],Data[],MATCH(Table1[[#This Row],[WORK TYPE]],Data[#Headers],0),FALSE)</f>
        <v>0</v>
      </c>
      <c r="R12" s="3"/>
      <c r="S12" s="1" t="s">
        <v>30</v>
      </c>
      <c r="T12" s="16"/>
    </row>
    <row r="13" spans="1:20" x14ac:dyDescent="0.25">
      <c r="A13" s="13" t="str">
        <f>VLOOKUP(C13,Data[],2,FALSE)</f>
        <v>BRONX</v>
      </c>
      <c r="B13" s="9" t="s">
        <v>25</v>
      </c>
      <c r="C13" s="9" t="s">
        <v>39</v>
      </c>
      <c r="D13" s="1" t="str">
        <f>VLOOKUP(Table1[[#This Row],[DEVELOPMENT]],Data[],MATCH(Table1[[#Headers],[NRR]],Data[#Headers],0),FALSE)</f>
        <v>Zone 1</v>
      </c>
      <c r="E13" s="1" t="str">
        <f>VLOOKUP(Table1[[#This Row],[DEVELOPMENT]],Data[],MATCH(Table1[[#Headers],[Priority Level]],Data[#Headers],0),FALSE)</f>
        <v>$</v>
      </c>
      <c r="F13" s="1">
        <f>VLOOKUP(Table1[[#This Row],[DEVELOPMENT]],Data[],MATCH(Table1[[#Headers],[RAD/PACT]],Data[#Headers],0),FALSE)</f>
        <v>2023</v>
      </c>
      <c r="G13" s="9" t="s">
        <v>27</v>
      </c>
      <c r="H13" s="74" t="s">
        <v>28</v>
      </c>
      <c r="I13" s="10">
        <f t="shared" si="0"/>
        <v>24000</v>
      </c>
      <c r="J13" s="10"/>
      <c r="K13" s="11">
        <v>24000</v>
      </c>
      <c r="L13" s="90">
        <v>2019</v>
      </c>
      <c r="M13" s="92">
        <v>2019</v>
      </c>
      <c r="N13" s="92">
        <v>2020</v>
      </c>
      <c r="O13" s="2" t="s">
        <v>29</v>
      </c>
      <c r="P13" s="2"/>
      <c r="Q13" s="3">
        <f>INDEX(UnitCosts[],MATCH(Table1[[#This Row],[WORK TYPE]],UnitCosts[Work Type],0),2)*VLOOKUP(Table1[[#This Row],[DEVELOPMENT]],Data[],MATCH(Table1[[#This Row],[WORK TYPE]],Data[#Headers],0),FALSE)</f>
        <v>0</v>
      </c>
      <c r="R13" s="3"/>
      <c r="S13" s="1" t="s">
        <v>30</v>
      </c>
      <c r="T13" s="16"/>
    </row>
    <row r="14" spans="1:20" x14ac:dyDescent="0.25">
      <c r="A14" s="13" t="str">
        <f>VLOOKUP(C14,Data[],2,FALSE)</f>
        <v>BRONX</v>
      </c>
      <c r="B14" s="9" t="s">
        <v>25</v>
      </c>
      <c r="C14" s="9" t="s">
        <v>40</v>
      </c>
      <c r="D14" s="1" t="str">
        <f>VLOOKUP(Table1[[#This Row],[DEVELOPMENT]],Data[],MATCH(Table1[[#Headers],[NRR]],Data[#Headers],0),FALSE)</f>
        <v>Zone 1</v>
      </c>
      <c r="E14" s="1" t="str">
        <f>VLOOKUP(Table1[[#This Row],[DEVELOPMENT]],Data[],MATCH(Table1[[#Headers],[Priority Level]],Data[#Headers],0),FALSE)</f>
        <v>$$</v>
      </c>
      <c r="F14" s="1" t="str">
        <f>VLOOKUP(Table1[[#This Row],[DEVELOPMENT]],Data[],MATCH(Table1[[#Headers],[RAD/PACT]],Data[#Headers],0),FALSE)</f>
        <v/>
      </c>
      <c r="G14" s="9" t="s">
        <v>27</v>
      </c>
      <c r="H14" s="74" t="s">
        <v>28</v>
      </c>
      <c r="I14" s="10">
        <f t="shared" si="0"/>
        <v>51000</v>
      </c>
      <c r="J14" s="10"/>
      <c r="K14" s="11">
        <v>51000</v>
      </c>
      <c r="L14" s="90">
        <v>2019</v>
      </c>
      <c r="M14" s="92">
        <v>2019</v>
      </c>
      <c r="N14" s="92">
        <v>2020</v>
      </c>
      <c r="O14" s="2" t="s">
        <v>29</v>
      </c>
      <c r="P14" s="2"/>
      <c r="Q14" s="3">
        <f>INDEX(UnitCosts[],MATCH(Table1[[#This Row],[WORK TYPE]],UnitCosts[Work Type],0),2)*VLOOKUP(Table1[[#This Row],[DEVELOPMENT]],Data[],MATCH(Table1[[#This Row],[WORK TYPE]],Data[#Headers],0),FALSE)</f>
        <v>0</v>
      </c>
      <c r="R14" s="3"/>
      <c r="S14" s="1" t="s">
        <v>30</v>
      </c>
      <c r="T14" s="16"/>
    </row>
    <row r="15" spans="1:20" x14ac:dyDescent="0.25">
      <c r="A15" s="13" t="str">
        <f>VLOOKUP(C15,Data[],2,FALSE)</f>
        <v>BRONX</v>
      </c>
      <c r="B15" s="9" t="s">
        <v>25</v>
      </c>
      <c r="C15" s="9" t="s">
        <v>41</v>
      </c>
      <c r="D15" s="1" t="str">
        <f>VLOOKUP(Table1[[#This Row],[DEVELOPMENT]],Data[],MATCH(Table1[[#Headers],[NRR]],Data[#Headers],0),FALSE)</f>
        <v>Zone 1</v>
      </c>
      <c r="E15" s="1" t="str">
        <f>VLOOKUP(Table1[[#This Row],[DEVELOPMENT]],Data[],MATCH(Table1[[#Headers],[Priority Level]],Data[#Headers],0),FALSE)</f>
        <v>$</v>
      </c>
      <c r="F15" s="1" t="str">
        <f>VLOOKUP(Table1[[#This Row],[DEVELOPMENT]],Data[],MATCH(Table1[[#Headers],[RAD/PACT]],Data[#Headers],0),FALSE)</f>
        <v/>
      </c>
      <c r="G15" s="9" t="s">
        <v>27</v>
      </c>
      <c r="H15" s="74" t="s">
        <v>28</v>
      </c>
      <c r="I15" s="10">
        <f t="shared" si="0"/>
        <v>15000</v>
      </c>
      <c r="J15" s="10"/>
      <c r="K15" s="11">
        <v>15000</v>
      </c>
      <c r="L15" s="90">
        <v>2019</v>
      </c>
      <c r="M15" s="92">
        <v>2019</v>
      </c>
      <c r="N15" s="92">
        <v>2020</v>
      </c>
      <c r="O15" s="2" t="s">
        <v>29</v>
      </c>
      <c r="P15" s="2"/>
      <c r="Q15" s="3">
        <f>INDEX(UnitCosts[],MATCH(Table1[[#This Row],[WORK TYPE]],UnitCosts[Work Type],0),2)*VLOOKUP(Table1[[#This Row],[DEVELOPMENT]],Data[],MATCH(Table1[[#This Row],[WORK TYPE]],Data[#Headers],0),FALSE)</f>
        <v>0</v>
      </c>
      <c r="R15" s="3"/>
      <c r="S15" s="1" t="s">
        <v>30</v>
      </c>
      <c r="T15" s="16"/>
    </row>
    <row r="16" spans="1:20" x14ac:dyDescent="0.25">
      <c r="A16" s="13" t="str">
        <f>VLOOKUP(C16,Data[],2,FALSE)</f>
        <v>BROOKLYN</v>
      </c>
      <c r="B16" s="9" t="s">
        <v>25</v>
      </c>
      <c r="C16" s="9" t="s">
        <v>42</v>
      </c>
      <c r="D16" s="1" t="str">
        <f>VLOOKUP(Table1[[#This Row],[DEVELOPMENT]],Data[],MATCH(Table1[[#Headers],[NRR]],Data[#Headers],0),FALSE)</f>
        <v>Zone 1</v>
      </c>
      <c r="E16" s="1" t="str">
        <f>VLOOKUP(Table1[[#This Row],[DEVELOPMENT]],Data[],MATCH(Table1[[#Headers],[Priority Level]],Data[#Headers],0),FALSE)</f>
        <v>$</v>
      </c>
      <c r="F16" s="1" t="str">
        <f>VLOOKUP(Table1[[#This Row],[DEVELOPMENT]],Data[],MATCH(Table1[[#Headers],[RAD/PACT]],Data[#Headers],0),FALSE)</f>
        <v/>
      </c>
      <c r="G16" s="9" t="s">
        <v>27</v>
      </c>
      <c r="H16" s="74" t="s">
        <v>28</v>
      </c>
      <c r="I16" s="10">
        <f t="shared" si="0"/>
        <v>18000</v>
      </c>
      <c r="J16" s="10"/>
      <c r="K16" s="11">
        <v>18000</v>
      </c>
      <c r="L16" s="90">
        <v>2019</v>
      </c>
      <c r="M16" s="92">
        <v>2019</v>
      </c>
      <c r="N16" s="92">
        <v>2020</v>
      </c>
      <c r="O16" s="2" t="s">
        <v>29</v>
      </c>
      <c r="P16" s="2"/>
      <c r="Q16" s="3">
        <f>INDEX(UnitCosts[],MATCH(Table1[[#This Row],[WORK TYPE]],UnitCosts[Work Type],0),2)*VLOOKUP(Table1[[#This Row],[DEVELOPMENT]],Data[],MATCH(Table1[[#This Row],[WORK TYPE]],Data[#Headers],0),FALSE)</f>
        <v>0</v>
      </c>
      <c r="R16" s="3"/>
      <c r="S16" s="1" t="s">
        <v>30</v>
      </c>
      <c r="T16" s="16"/>
    </row>
    <row r="17" spans="1:20" x14ac:dyDescent="0.25">
      <c r="A17" s="13" t="str">
        <f>VLOOKUP(C17,Data[],2,FALSE)</f>
        <v>MANHATTAN</v>
      </c>
      <c r="B17" s="9" t="s">
        <v>25</v>
      </c>
      <c r="C17" s="9" t="s">
        <v>43</v>
      </c>
      <c r="D17" s="1" t="str">
        <f>VLOOKUP(Table1[[#This Row],[DEVELOPMENT]],Data[],MATCH(Table1[[#Headers],[NRR]],Data[#Headers],0),FALSE)</f>
        <v>Zone 1</v>
      </c>
      <c r="E17" s="1" t="str">
        <f>VLOOKUP(Table1[[#This Row],[DEVELOPMENT]],Data[],MATCH(Table1[[#Headers],[Priority Level]],Data[#Headers],0),FALSE)</f>
        <v>$</v>
      </c>
      <c r="F17" s="1" t="str">
        <f>VLOOKUP(Table1[[#This Row],[DEVELOPMENT]],Data[],MATCH(Table1[[#Headers],[RAD/PACT]],Data[#Headers],0),FALSE)</f>
        <v/>
      </c>
      <c r="G17" s="9" t="s">
        <v>27</v>
      </c>
      <c r="H17" s="74" t="s">
        <v>28</v>
      </c>
      <c r="I17" s="10">
        <f t="shared" si="0"/>
        <v>15000</v>
      </c>
      <c r="J17" s="10"/>
      <c r="K17" s="11">
        <v>15000</v>
      </c>
      <c r="L17" s="90">
        <v>2019</v>
      </c>
      <c r="M17" s="92">
        <v>2019</v>
      </c>
      <c r="N17" s="92">
        <v>2020</v>
      </c>
      <c r="O17" s="2" t="s">
        <v>29</v>
      </c>
      <c r="P17" s="2"/>
      <c r="Q17" s="63">
        <v>32007.26</v>
      </c>
      <c r="R17" s="3"/>
      <c r="S17" s="1" t="s">
        <v>30</v>
      </c>
      <c r="T17" s="16"/>
    </row>
    <row r="18" spans="1:20" x14ac:dyDescent="0.25">
      <c r="A18" s="13" t="str">
        <f>VLOOKUP(C18,Data[],2,FALSE)</f>
        <v>MANHATTAN</v>
      </c>
      <c r="B18" s="9" t="s">
        <v>25</v>
      </c>
      <c r="C18" s="9" t="s">
        <v>44</v>
      </c>
      <c r="D18" s="1" t="str">
        <f>VLOOKUP(Table1[[#This Row],[DEVELOPMENT]],Data[],MATCH(Table1[[#Headers],[NRR]],Data[#Headers],0),FALSE)</f>
        <v>Zone 1</v>
      </c>
      <c r="E18" s="1" t="str">
        <f>VLOOKUP(Table1[[#This Row],[DEVELOPMENT]],Data[],MATCH(Table1[[#Headers],[Priority Level]],Data[#Headers],0),FALSE)</f>
        <v>$</v>
      </c>
      <c r="F18" s="1" t="str">
        <f>VLOOKUP(Table1[[#This Row],[DEVELOPMENT]],Data[],MATCH(Table1[[#Headers],[RAD/PACT]],Data[#Headers],0),FALSE)</f>
        <v/>
      </c>
      <c r="G18" s="9" t="s">
        <v>27</v>
      </c>
      <c r="H18" s="74" t="s">
        <v>28</v>
      </c>
      <c r="I18" s="10">
        <f t="shared" si="0"/>
        <v>36000</v>
      </c>
      <c r="J18" s="10"/>
      <c r="K18" s="11">
        <v>36000</v>
      </c>
      <c r="L18" s="90">
        <v>2019</v>
      </c>
      <c r="M18" s="92">
        <v>2019</v>
      </c>
      <c r="N18" s="92">
        <v>2020</v>
      </c>
      <c r="O18" s="2" t="s">
        <v>29</v>
      </c>
      <c r="P18" s="2"/>
      <c r="Q18" s="63">
        <v>74933.740000000005</v>
      </c>
      <c r="R18" s="3"/>
      <c r="S18" s="1" t="s">
        <v>30</v>
      </c>
      <c r="T18" s="16"/>
    </row>
    <row r="19" spans="1:20" x14ac:dyDescent="0.25">
      <c r="A19" s="13" t="str">
        <f>VLOOKUP(C19,Data[],2,FALSE)</f>
        <v>BROOKLYN</v>
      </c>
      <c r="B19" s="9" t="s">
        <v>25</v>
      </c>
      <c r="C19" s="9" t="s">
        <v>45</v>
      </c>
      <c r="D19" s="1" t="str">
        <f>VLOOKUP(Table1[[#This Row],[DEVELOPMENT]],Data[],MATCH(Table1[[#Headers],[NRR]],Data[#Headers],0),FALSE)</f>
        <v>Zone 1</v>
      </c>
      <c r="E19" s="1" t="str">
        <f>VLOOKUP(Table1[[#This Row],[DEVELOPMENT]],Data[],MATCH(Table1[[#Headers],[Priority Level]],Data[#Headers],0),FALSE)</f>
        <v>$</v>
      </c>
      <c r="F19" s="1" t="str">
        <f>VLOOKUP(Table1[[#This Row],[DEVELOPMENT]],Data[],MATCH(Table1[[#Headers],[RAD/PACT]],Data[#Headers],0),FALSE)</f>
        <v/>
      </c>
      <c r="G19" s="9" t="s">
        <v>27</v>
      </c>
      <c r="H19" s="74" t="s">
        <v>28</v>
      </c>
      <c r="I19" s="10">
        <f t="shared" si="0"/>
        <v>72000</v>
      </c>
      <c r="J19" s="10"/>
      <c r="K19" s="11">
        <v>72000</v>
      </c>
      <c r="L19" s="90">
        <v>2019</v>
      </c>
      <c r="M19" s="92">
        <v>2019</v>
      </c>
      <c r="N19" s="92">
        <v>2020</v>
      </c>
      <c r="O19" s="2" t="s">
        <v>29</v>
      </c>
      <c r="P19" s="2"/>
      <c r="Q19" s="63">
        <v>148620.14000000001</v>
      </c>
      <c r="R19" s="3"/>
      <c r="S19" s="1" t="s">
        <v>30</v>
      </c>
      <c r="T19" s="16"/>
    </row>
    <row r="20" spans="1:20" x14ac:dyDescent="0.25">
      <c r="A20" s="13" t="str">
        <f>VLOOKUP(C20,Data[],2,FALSE)</f>
        <v>BROOKLYN</v>
      </c>
      <c r="B20" s="9" t="s">
        <v>25</v>
      </c>
      <c r="C20" s="9" t="s">
        <v>46</v>
      </c>
      <c r="D20" s="1" t="str">
        <f>VLOOKUP(Table1[[#This Row],[DEVELOPMENT]],Data[],MATCH(Table1[[#Headers],[NRR]],Data[#Headers],0),FALSE)</f>
        <v>Zone 1</v>
      </c>
      <c r="E20" s="1" t="str">
        <f>VLOOKUP(Table1[[#This Row],[DEVELOPMENT]],Data[],MATCH(Table1[[#Headers],[Priority Level]],Data[#Headers],0),FALSE)</f>
        <v>$</v>
      </c>
      <c r="F20" s="1" t="str">
        <f>VLOOKUP(Table1[[#This Row],[DEVELOPMENT]],Data[],MATCH(Table1[[#Headers],[RAD/PACT]],Data[#Headers],0),FALSE)</f>
        <v/>
      </c>
      <c r="G20" s="9" t="s">
        <v>27</v>
      </c>
      <c r="H20" s="74" t="s">
        <v>33</v>
      </c>
      <c r="I20" s="12"/>
      <c r="J20" s="10">
        <f>K20</f>
        <v>36000</v>
      </c>
      <c r="K20" s="11">
        <v>36000</v>
      </c>
      <c r="L20" s="90">
        <v>2019</v>
      </c>
      <c r="M20" s="92">
        <v>2019</v>
      </c>
      <c r="N20" s="92">
        <v>2020</v>
      </c>
      <c r="O20" s="2" t="s">
        <v>29</v>
      </c>
      <c r="P20" s="2"/>
      <c r="Q20" s="63">
        <v>74933.740000000005</v>
      </c>
      <c r="R20" s="3"/>
      <c r="S20" s="1" t="s">
        <v>30</v>
      </c>
      <c r="T20" s="16"/>
    </row>
    <row r="21" spans="1:20" x14ac:dyDescent="0.25">
      <c r="A21" s="13" t="str">
        <f>VLOOKUP(C21,Data[],2,FALSE)</f>
        <v>BRONX</v>
      </c>
      <c r="B21" s="9" t="s">
        <v>25</v>
      </c>
      <c r="C21" s="9" t="s">
        <v>47</v>
      </c>
      <c r="D21" s="1" t="str">
        <f>VLOOKUP(Table1[[#This Row],[DEVELOPMENT]],Data[],MATCH(Table1[[#Headers],[NRR]],Data[#Headers],0),FALSE)</f>
        <v>Zone 1</v>
      </c>
      <c r="E21" s="1" t="str">
        <f>VLOOKUP(Table1[[#This Row],[DEVELOPMENT]],Data[],MATCH(Table1[[#Headers],[Priority Level]],Data[#Headers],0),FALSE)</f>
        <v>$</v>
      </c>
      <c r="F21" s="1" t="str">
        <f>VLOOKUP(Table1[[#This Row],[DEVELOPMENT]],Data[],MATCH(Table1[[#Headers],[RAD/PACT]],Data[#Headers],0),FALSE)</f>
        <v/>
      </c>
      <c r="G21" s="9" t="s">
        <v>27</v>
      </c>
      <c r="H21" s="74" t="s">
        <v>28</v>
      </c>
      <c r="I21" s="10">
        <f>K21</f>
        <v>15000</v>
      </c>
      <c r="J21" s="10"/>
      <c r="K21" s="11">
        <v>15000</v>
      </c>
      <c r="L21" s="90">
        <v>2019</v>
      </c>
      <c r="M21" s="92">
        <v>2019</v>
      </c>
      <c r="N21" s="92">
        <v>2020</v>
      </c>
      <c r="O21" s="2" t="s">
        <v>29</v>
      </c>
      <c r="P21" s="2"/>
      <c r="Q21" s="3">
        <f>INDEX(UnitCosts[],MATCH(Table1[[#This Row],[WORK TYPE]],UnitCosts[Work Type],0),2)*VLOOKUP(Table1[[#This Row],[DEVELOPMENT]],Data[],MATCH(Table1[[#This Row],[WORK TYPE]],Data[#Headers],0),FALSE)</f>
        <v>0</v>
      </c>
      <c r="R21" s="3"/>
      <c r="S21" s="1" t="s">
        <v>30</v>
      </c>
      <c r="T21" s="16"/>
    </row>
    <row r="22" spans="1:20" x14ac:dyDescent="0.25">
      <c r="A22" s="13" t="str">
        <f>VLOOKUP(C22,Data[],2,FALSE)</f>
        <v>MANHATTAN</v>
      </c>
      <c r="B22" s="9" t="s">
        <v>25</v>
      </c>
      <c r="C22" s="9" t="s">
        <v>48</v>
      </c>
      <c r="D22" s="1" t="str">
        <f>VLOOKUP(Table1[[#This Row],[DEVELOPMENT]],Data[],MATCH(Table1[[#Headers],[NRR]],Data[#Headers],0),FALSE)</f>
        <v>Zone 1</v>
      </c>
      <c r="E22" s="1" t="str">
        <f>VLOOKUP(Table1[[#This Row],[DEVELOPMENT]],Data[],MATCH(Table1[[#Headers],[Priority Level]],Data[#Headers],0),FALSE)</f>
        <v>$</v>
      </c>
      <c r="F22" s="1" t="str">
        <f>VLOOKUP(Table1[[#This Row],[DEVELOPMENT]],Data[],MATCH(Table1[[#Headers],[RAD/PACT]],Data[#Headers],0),FALSE)</f>
        <v/>
      </c>
      <c r="G22" s="9" t="s">
        <v>49</v>
      </c>
      <c r="H22" s="75" t="s">
        <v>33</v>
      </c>
      <c r="I22" s="10"/>
      <c r="J22" s="10">
        <f>K22</f>
        <v>129527.5</v>
      </c>
      <c r="K22" s="11">
        <v>129527.5</v>
      </c>
      <c r="L22" s="91">
        <v>2019</v>
      </c>
      <c r="M22" s="92">
        <v>2019</v>
      </c>
      <c r="N22" s="92">
        <v>2020</v>
      </c>
      <c r="O22" s="2" t="s">
        <v>29</v>
      </c>
      <c r="P22" s="2"/>
      <c r="Q22" s="3">
        <f>400894.17+179611.06+18481.22+8280.07</f>
        <v>607266.5199999999</v>
      </c>
      <c r="R22" s="3"/>
      <c r="S22" s="1" t="s">
        <v>30</v>
      </c>
      <c r="T22" s="16"/>
    </row>
    <row r="23" spans="1:20" x14ac:dyDescent="0.25">
      <c r="A23" s="13" t="str">
        <f>VLOOKUP(C23,Data[],2,FALSE)</f>
        <v>MANHATTAN</v>
      </c>
      <c r="B23" s="9" t="s">
        <v>25</v>
      </c>
      <c r="C23" s="9" t="s">
        <v>50</v>
      </c>
      <c r="D23" s="1" t="str">
        <f>VLOOKUP(Table1[[#This Row],[DEVELOPMENT]],Data[],MATCH(Table1[[#Headers],[NRR]],Data[#Headers],0),FALSE)</f>
        <v>Zone 1</v>
      </c>
      <c r="E23" s="1" t="str">
        <f>VLOOKUP(Table1[[#This Row],[DEVELOPMENT]],Data[],MATCH(Table1[[#Headers],[Priority Level]],Data[#Headers],0),FALSE)</f>
        <v>$</v>
      </c>
      <c r="F23" s="1" t="str">
        <f>VLOOKUP(Table1[[#This Row],[DEVELOPMENT]],Data[],MATCH(Table1[[#Headers],[RAD/PACT]],Data[#Headers],0),FALSE)</f>
        <v/>
      </c>
      <c r="G23" s="9" t="s">
        <v>49</v>
      </c>
      <c r="H23" s="75" t="s">
        <v>33</v>
      </c>
      <c r="I23" s="10"/>
      <c r="J23" s="10">
        <f>K23</f>
        <v>150567.5</v>
      </c>
      <c r="K23" s="11">
        <v>150567.5</v>
      </c>
      <c r="L23" s="91">
        <v>2019</v>
      </c>
      <c r="M23" s="92">
        <v>2019</v>
      </c>
      <c r="N23" s="92">
        <v>2020</v>
      </c>
      <c r="O23" s="2" t="s">
        <v>29</v>
      </c>
      <c r="P23" s="2"/>
      <c r="Q23" s="4">
        <f>370426.21+140727.41+17076.65+6487.54</f>
        <v>534717.81000000006</v>
      </c>
      <c r="R23" s="3"/>
      <c r="S23" s="1" t="s">
        <v>30</v>
      </c>
      <c r="T23" s="16"/>
    </row>
    <row r="24" spans="1:20" x14ac:dyDescent="0.25">
      <c r="A24" s="13" t="str">
        <f>VLOOKUP(C24,Data[],2,FALSE)</f>
        <v>MANHATTAN</v>
      </c>
      <c r="B24" s="9" t="s">
        <v>25</v>
      </c>
      <c r="C24" s="9" t="s">
        <v>51</v>
      </c>
      <c r="D24" s="1" t="str">
        <f>VLOOKUP(Table1[[#This Row],[DEVELOPMENT]],Data[],MATCH(Table1[[#Headers],[NRR]],Data[#Headers],0),FALSE)</f>
        <v>Zone 1</v>
      </c>
      <c r="E24" s="1" t="str">
        <f>VLOOKUP(Table1[[#This Row],[DEVELOPMENT]],Data[],MATCH(Table1[[#Headers],[Priority Level]],Data[#Headers],0),FALSE)</f>
        <v>$</v>
      </c>
      <c r="F24" s="1" t="str">
        <f>VLOOKUP(Table1[[#This Row],[DEVELOPMENT]],Data[],MATCH(Table1[[#Headers],[RAD/PACT]],Data[#Headers],0),FALSE)</f>
        <v/>
      </c>
      <c r="G24" s="9" t="s">
        <v>49</v>
      </c>
      <c r="H24" s="75" t="s">
        <v>33</v>
      </c>
      <c r="I24" s="10"/>
      <c r="J24" s="10">
        <f>K24</f>
        <v>164375</v>
      </c>
      <c r="K24" s="11">
        <v>164375</v>
      </c>
      <c r="L24" s="91">
        <v>2019</v>
      </c>
      <c r="M24" s="92">
        <v>2019</v>
      </c>
      <c r="N24" s="92">
        <v>2020</v>
      </c>
      <c r="O24" s="2" t="s">
        <v>29</v>
      </c>
      <c r="P24" s="2"/>
      <c r="Q24" s="4">
        <f>317508.15+219265.98+14637.13+10108.16</f>
        <v>561519.42000000004</v>
      </c>
      <c r="R24" s="3"/>
      <c r="S24" s="1" t="s">
        <v>30</v>
      </c>
      <c r="T24" s="16"/>
    </row>
    <row r="25" spans="1:20" x14ac:dyDescent="0.25">
      <c r="A25" s="13" t="str">
        <f>VLOOKUP(C25,Data[],2,FALSE)</f>
        <v>MANHATTAN</v>
      </c>
      <c r="B25" s="9" t="s">
        <v>25</v>
      </c>
      <c r="C25" s="9" t="s">
        <v>36</v>
      </c>
      <c r="D25" s="1" t="str">
        <f>VLOOKUP(Table1[[#This Row],[DEVELOPMENT]],Data[],MATCH(Table1[[#Headers],[NRR]],Data[#Headers],0),FALSE)</f>
        <v>Zone 1</v>
      </c>
      <c r="E25" s="1" t="str">
        <f>VLOOKUP(Table1[[#This Row],[DEVELOPMENT]],Data[],MATCH(Table1[[#Headers],[Priority Level]],Data[#Headers],0),FALSE)</f>
        <v>$$</v>
      </c>
      <c r="F25" s="1" t="str">
        <f>VLOOKUP(Table1[[#This Row],[DEVELOPMENT]],Data[],MATCH(Table1[[#Headers],[RAD/PACT]],Data[#Headers],0),FALSE)</f>
        <v/>
      </c>
      <c r="G25" s="9" t="s">
        <v>52</v>
      </c>
      <c r="H25" s="74" t="s">
        <v>28</v>
      </c>
      <c r="I25" s="10">
        <f>K25</f>
        <v>38361.353952156082</v>
      </c>
      <c r="J25" s="10"/>
      <c r="K25" s="11">
        <v>38361.353952156082</v>
      </c>
      <c r="L25" s="90">
        <v>2019</v>
      </c>
      <c r="M25" s="92">
        <v>2020</v>
      </c>
      <c r="N25" s="92">
        <v>2020</v>
      </c>
      <c r="O25" s="2" t="s">
        <v>53</v>
      </c>
      <c r="P25" s="2"/>
      <c r="Q25" s="3"/>
      <c r="R2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5" s="1" t="s">
        <v>54</v>
      </c>
      <c r="T25" s="16"/>
    </row>
    <row r="26" spans="1:20" x14ac:dyDescent="0.25">
      <c r="A26" s="13" t="str">
        <f>VLOOKUP(C26,Data[],2,FALSE)</f>
        <v>MANHATTAN</v>
      </c>
      <c r="B26" s="9" t="s">
        <v>25</v>
      </c>
      <c r="C26" s="9" t="s">
        <v>55</v>
      </c>
      <c r="D26" s="1" t="str">
        <f>VLOOKUP(Table1[[#This Row],[DEVELOPMENT]],Data[],MATCH(Table1[[#Headers],[NRR]],Data[#Headers],0),FALSE)</f>
        <v>Zone 1</v>
      </c>
      <c r="E26" s="1" t="str">
        <f>VLOOKUP(Table1[[#This Row],[DEVELOPMENT]],Data[],MATCH(Table1[[#Headers],[Priority Level]],Data[#Headers],0),FALSE)</f>
        <v>$</v>
      </c>
      <c r="F26" s="1" t="str">
        <f>VLOOKUP(Table1[[#This Row],[DEVELOPMENT]],Data[],MATCH(Table1[[#Headers],[RAD/PACT]],Data[#Headers],0),FALSE)</f>
        <v/>
      </c>
      <c r="G26" s="9" t="s">
        <v>52</v>
      </c>
      <c r="H26" s="74" t="s">
        <v>28</v>
      </c>
      <c r="I26" s="10">
        <f>K26</f>
        <v>34083.566126999998</v>
      </c>
      <c r="J26" s="10"/>
      <c r="K26" s="11">
        <v>34083.566126999998</v>
      </c>
      <c r="L26" s="90">
        <v>2019</v>
      </c>
      <c r="M26" s="92">
        <v>2020</v>
      </c>
      <c r="N26" s="92">
        <v>2020</v>
      </c>
      <c r="O26" s="2" t="s">
        <v>53</v>
      </c>
      <c r="P26" s="2"/>
      <c r="Q26" s="3"/>
      <c r="R2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6" s="1" t="s">
        <v>54</v>
      </c>
      <c r="T26" s="16"/>
    </row>
    <row r="27" spans="1:20" x14ac:dyDescent="0.25">
      <c r="A27" s="13" t="str">
        <f>VLOOKUP(C27,Data[],2,FALSE)</f>
        <v>MANHATTAN</v>
      </c>
      <c r="B27" s="9" t="s">
        <v>25</v>
      </c>
      <c r="C27" s="9" t="s">
        <v>56</v>
      </c>
      <c r="D27" s="1" t="str">
        <f>VLOOKUP(Table1[[#This Row],[DEVELOPMENT]],Data[],MATCH(Table1[[#Headers],[NRR]],Data[#Headers],0),FALSE)</f>
        <v>Zone 1</v>
      </c>
      <c r="E27" s="1" t="str">
        <f>VLOOKUP(Table1[[#This Row],[DEVELOPMENT]],Data[],MATCH(Table1[[#Headers],[Priority Level]],Data[#Headers],0),FALSE)</f>
        <v>$$</v>
      </c>
      <c r="F27" s="1" t="str">
        <f>VLOOKUP(Table1[[#This Row],[DEVELOPMENT]],Data[],MATCH(Table1[[#Headers],[RAD/PACT]],Data[#Headers],0),FALSE)</f>
        <v/>
      </c>
      <c r="G27" s="9" t="s">
        <v>52</v>
      </c>
      <c r="H27" s="74" t="s">
        <v>28</v>
      </c>
      <c r="I27" s="10">
        <f>K27</f>
        <v>35106.073110810001</v>
      </c>
      <c r="J27" s="10"/>
      <c r="K27" s="11">
        <v>35106.073110810001</v>
      </c>
      <c r="L27" s="90">
        <v>2019</v>
      </c>
      <c r="M27" s="92">
        <v>2020</v>
      </c>
      <c r="N27" s="92">
        <v>2020</v>
      </c>
      <c r="O27" s="2" t="s">
        <v>53</v>
      </c>
      <c r="P27" s="2"/>
      <c r="Q27" s="3"/>
      <c r="R2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7" s="1" t="s">
        <v>54</v>
      </c>
      <c r="T27" s="16"/>
    </row>
    <row r="28" spans="1:20" x14ac:dyDescent="0.25">
      <c r="A28" s="13" t="str">
        <f>VLOOKUP(C28,Data[],2,FALSE)</f>
        <v>MANHATTAN</v>
      </c>
      <c r="B28" s="9" t="s">
        <v>25</v>
      </c>
      <c r="C28" s="106" t="s">
        <v>57</v>
      </c>
      <c r="D28" s="1" t="str">
        <f>VLOOKUP(Table1[[#This Row],[DEVELOPMENT]],Data[],MATCH(Table1[[#Headers],[NRR]],Data[#Headers],0),FALSE)</f>
        <v>Zone 1</v>
      </c>
      <c r="E28" s="1" t="str">
        <f>VLOOKUP(Table1[[#This Row],[DEVELOPMENT]],Data[],MATCH(Table1[[#Headers],[Priority Level]],Data[#Headers],0),FALSE)</f>
        <v>$$</v>
      </c>
      <c r="F28" s="1" t="str">
        <f>VLOOKUP(Table1[[#This Row],[DEVELOPMENT]],Data[],MATCH(Table1[[#Headers],[RAD/PACT]],Data[#Headers],0),FALSE)</f>
        <v/>
      </c>
      <c r="G28" s="9" t="s">
        <v>27</v>
      </c>
      <c r="H28" s="74" t="s">
        <v>33</v>
      </c>
      <c r="I28" s="12"/>
      <c r="J28" s="10">
        <f>K28</f>
        <v>3000</v>
      </c>
      <c r="K28" s="11">
        <v>3000</v>
      </c>
      <c r="L28" s="90">
        <v>2019</v>
      </c>
      <c r="M28" s="92">
        <v>2020</v>
      </c>
      <c r="N28" s="92">
        <v>2020</v>
      </c>
      <c r="O28" s="2" t="s">
        <v>53</v>
      </c>
      <c r="P28" s="2"/>
      <c r="Q28" s="3"/>
      <c r="R2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8" s="1" t="s">
        <v>30</v>
      </c>
      <c r="T28" s="16"/>
    </row>
    <row r="29" spans="1:20" x14ac:dyDescent="0.25">
      <c r="A29" s="13" t="str">
        <f>VLOOKUP(C29,Data[],2,FALSE)</f>
        <v>MANHATTAN</v>
      </c>
      <c r="B29" s="9" t="s">
        <v>25</v>
      </c>
      <c r="C29" s="9" t="s">
        <v>58</v>
      </c>
      <c r="D29" s="1" t="str">
        <f>VLOOKUP(Table1[[#This Row],[DEVELOPMENT]],Data[],MATCH(Table1[[#Headers],[NRR]],Data[#Headers],0),FALSE)</f>
        <v>Zone 1</v>
      </c>
      <c r="E29" s="1" t="str">
        <f>VLOOKUP(Table1[[#This Row],[DEVELOPMENT]],Data[],MATCH(Table1[[#Headers],[Priority Level]],Data[#Headers],0),FALSE)</f>
        <v>$</v>
      </c>
      <c r="F29" s="1" t="str">
        <f>VLOOKUP(Table1[[#This Row],[DEVELOPMENT]],Data[],MATCH(Table1[[#Headers],[RAD/PACT]],Data[#Headers],0),FALSE)</f>
        <v/>
      </c>
      <c r="G29" s="9" t="s">
        <v>27</v>
      </c>
      <c r="H29" s="74" t="s">
        <v>33</v>
      </c>
      <c r="I29" s="12"/>
      <c r="J29" s="10">
        <f>K29</f>
        <v>51000</v>
      </c>
      <c r="K29" s="11">
        <v>51000</v>
      </c>
      <c r="L29" s="90">
        <v>2019</v>
      </c>
      <c r="M29" s="92">
        <v>2020</v>
      </c>
      <c r="N29" s="92">
        <v>2020</v>
      </c>
      <c r="O29" s="2" t="s">
        <v>53</v>
      </c>
      <c r="P29" s="2"/>
      <c r="Q29" s="3"/>
      <c r="R2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9" s="1" t="s">
        <v>30</v>
      </c>
      <c r="T29" s="16"/>
    </row>
    <row r="30" spans="1:20" x14ac:dyDescent="0.25">
      <c r="A30" s="13" t="str">
        <f>VLOOKUP(C30,Data[],2,FALSE)</f>
        <v>MANHATTAN</v>
      </c>
      <c r="B30" s="9" t="s">
        <v>25</v>
      </c>
      <c r="C30" s="9" t="s">
        <v>59</v>
      </c>
      <c r="D30" s="1" t="str">
        <f>VLOOKUP(Table1[[#This Row],[DEVELOPMENT]],Data[],MATCH(Table1[[#Headers],[NRR]],Data[#Headers],0),FALSE)</f>
        <v>Zone 1</v>
      </c>
      <c r="E30" s="1" t="str">
        <f>VLOOKUP(Table1[[#This Row],[DEVELOPMENT]],Data[],MATCH(Table1[[#Headers],[Priority Level]],Data[#Headers],0),FALSE)</f>
        <v>$</v>
      </c>
      <c r="F30" s="1">
        <f>VLOOKUP(Table1[[#This Row],[DEVELOPMENT]],Data[],MATCH(Table1[[#Headers],[RAD/PACT]],Data[#Headers],0),FALSE)</f>
        <v>2026</v>
      </c>
      <c r="G30" s="9" t="s">
        <v>27</v>
      </c>
      <c r="H30" s="74" t="s">
        <v>33</v>
      </c>
      <c r="I30" s="12"/>
      <c r="J30" s="10">
        <f>K30</f>
        <v>6000</v>
      </c>
      <c r="K30" s="11">
        <v>6000</v>
      </c>
      <c r="L30" s="90">
        <v>2019</v>
      </c>
      <c r="M30" s="92">
        <v>2020</v>
      </c>
      <c r="N30" s="92">
        <v>2020</v>
      </c>
      <c r="O30" s="2" t="s">
        <v>53</v>
      </c>
      <c r="P30" s="2"/>
      <c r="Q30" s="3"/>
      <c r="R3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0" s="1" t="s">
        <v>30</v>
      </c>
      <c r="T30" s="16"/>
    </row>
    <row r="31" spans="1:20" x14ac:dyDescent="0.25">
      <c r="A31" s="13" t="str">
        <f>VLOOKUP(C31,Data[],2,FALSE)</f>
        <v>MANHATTAN</v>
      </c>
      <c r="B31" s="9" t="s">
        <v>25</v>
      </c>
      <c r="C31" s="9" t="s">
        <v>60</v>
      </c>
      <c r="D31" s="1" t="str">
        <f>VLOOKUP(Table1[[#This Row],[DEVELOPMENT]],Data[],MATCH(Table1[[#Headers],[NRR]],Data[#Headers],0),FALSE)</f>
        <v>Zone 1</v>
      </c>
      <c r="E31" s="1" t="str">
        <f>VLOOKUP(Table1[[#This Row],[DEVELOPMENT]],Data[],MATCH(Table1[[#Headers],[Priority Level]],Data[#Headers],0),FALSE)</f>
        <v>$$</v>
      </c>
      <c r="F31" s="1">
        <f>VLOOKUP(Table1[[#This Row],[DEVELOPMENT]],Data[],MATCH(Table1[[#Headers],[RAD/PACT]],Data[#Headers],0),FALSE)</f>
        <v>2026</v>
      </c>
      <c r="G31" s="9" t="s">
        <v>27</v>
      </c>
      <c r="H31" s="74" t="s">
        <v>33</v>
      </c>
      <c r="I31" s="12"/>
      <c r="J31" s="10">
        <f>K31</f>
        <v>9000</v>
      </c>
      <c r="K31" s="11">
        <v>9000</v>
      </c>
      <c r="L31" s="90">
        <v>2019</v>
      </c>
      <c r="M31" s="92">
        <v>2020</v>
      </c>
      <c r="N31" s="92">
        <v>2020</v>
      </c>
      <c r="O31" s="2" t="s">
        <v>53</v>
      </c>
      <c r="P31" s="2"/>
      <c r="Q31" s="3"/>
      <c r="R3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1" s="1" t="s">
        <v>30</v>
      </c>
      <c r="T31" s="16"/>
    </row>
    <row r="32" spans="1:20" x14ac:dyDescent="0.25">
      <c r="A32" s="13" t="str">
        <f>VLOOKUP(C32,Data[],2,FALSE)</f>
        <v>MANHATTAN</v>
      </c>
      <c r="B32" s="9" t="s">
        <v>25</v>
      </c>
      <c r="C32" s="9" t="s">
        <v>61</v>
      </c>
      <c r="D32" s="1" t="str">
        <f>VLOOKUP(Table1[[#This Row],[DEVELOPMENT]],Data[],MATCH(Table1[[#Headers],[NRR]],Data[#Headers],0),FALSE)</f>
        <v>Zone 1</v>
      </c>
      <c r="E32" s="1" t="str">
        <f>VLOOKUP(Table1[[#This Row],[DEVELOPMENT]],Data[],MATCH(Table1[[#Headers],[Priority Level]],Data[#Headers],0),FALSE)</f>
        <v>$</v>
      </c>
      <c r="F32" s="1" t="str">
        <f>VLOOKUP(Table1[[#This Row],[DEVELOPMENT]],Data[],MATCH(Table1[[#Headers],[RAD/PACT]],Data[#Headers],0),FALSE)</f>
        <v/>
      </c>
      <c r="G32" s="9" t="s">
        <v>27</v>
      </c>
      <c r="H32" s="74" t="s">
        <v>28</v>
      </c>
      <c r="I32" s="10">
        <f>K32</f>
        <v>12000</v>
      </c>
      <c r="J32" s="10"/>
      <c r="K32" s="11">
        <v>12000</v>
      </c>
      <c r="L32" s="90">
        <v>2019</v>
      </c>
      <c r="M32" s="92">
        <v>2020</v>
      </c>
      <c r="N32" s="92">
        <v>2020</v>
      </c>
      <c r="O32" s="2" t="s">
        <v>53</v>
      </c>
      <c r="P32" s="2"/>
      <c r="Q32" s="3"/>
      <c r="R3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2" s="1" t="s">
        <v>30</v>
      </c>
      <c r="T32" s="16"/>
    </row>
    <row r="33" spans="1:20" x14ac:dyDescent="0.25">
      <c r="A33" s="13" t="str">
        <f>VLOOKUP(C33,Data[],2,FALSE)</f>
        <v>MANHATTAN</v>
      </c>
      <c r="B33" s="9" t="s">
        <v>25</v>
      </c>
      <c r="C33" s="9" t="s">
        <v>62</v>
      </c>
      <c r="D33" s="1" t="str">
        <f>VLOOKUP(Table1[[#This Row],[DEVELOPMENT]],Data[],MATCH(Table1[[#Headers],[NRR]],Data[#Headers],0),FALSE)</f>
        <v>Zone 1</v>
      </c>
      <c r="E33" s="1" t="str">
        <f>VLOOKUP(Table1[[#This Row],[DEVELOPMENT]],Data[],MATCH(Table1[[#Headers],[Priority Level]],Data[#Headers],0),FALSE)</f>
        <v>$$</v>
      </c>
      <c r="F33" s="1" t="str">
        <f>VLOOKUP(Table1[[#This Row],[DEVELOPMENT]],Data[],MATCH(Table1[[#Headers],[RAD/PACT]],Data[#Headers],0),FALSE)</f>
        <v/>
      </c>
      <c r="G33" s="9" t="s">
        <v>27</v>
      </c>
      <c r="H33" s="74" t="s">
        <v>28</v>
      </c>
      <c r="I33" s="10">
        <f>K33</f>
        <v>3000</v>
      </c>
      <c r="J33" s="10"/>
      <c r="K33" s="11">
        <v>3000</v>
      </c>
      <c r="L33" s="90">
        <v>2019</v>
      </c>
      <c r="M33" s="92">
        <v>2020</v>
      </c>
      <c r="N33" s="92">
        <v>2020</v>
      </c>
      <c r="O33" s="2" t="s">
        <v>53</v>
      </c>
      <c r="P33" s="2"/>
      <c r="Q33" s="3"/>
      <c r="R3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3" s="1" t="s">
        <v>30</v>
      </c>
      <c r="T33" s="16"/>
    </row>
    <row r="34" spans="1:20" x14ac:dyDescent="0.25">
      <c r="A34" s="13" t="str">
        <f>VLOOKUP(C34,Data[],2,FALSE)</f>
        <v>MANHATTAN</v>
      </c>
      <c r="B34" s="9" t="s">
        <v>25</v>
      </c>
      <c r="C34" s="9" t="s">
        <v>63</v>
      </c>
      <c r="D34" s="1" t="str">
        <f>VLOOKUP(Table1[[#This Row],[DEVELOPMENT]],Data[],MATCH(Table1[[#Headers],[NRR]],Data[#Headers],0),FALSE)</f>
        <v>Zone 1</v>
      </c>
      <c r="E34" s="1" t="str">
        <f>VLOOKUP(Table1[[#This Row],[DEVELOPMENT]],Data[],MATCH(Table1[[#Headers],[Priority Level]],Data[#Headers],0),FALSE)</f>
        <v>$</v>
      </c>
      <c r="F34" s="1">
        <f>VLOOKUP(Table1[[#This Row],[DEVELOPMENT]],Data[],MATCH(Table1[[#Headers],[RAD/PACT]],Data[#Headers],0),FALSE)</f>
        <v>2026</v>
      </c>
      <c r="G34" s="9" t="s">
        <v>27</v>
      </c>
      <c r="H34" s="74" t="s">
        <v>28</v>
      </c>
      <c r="I34" s="10">
        <f>K34</f>
        <v>3000</v>
      </c>
      <c r="J34" s="10"/>
      <c r="K34" s="11">
        <v>3000</v>
      </c>
      <c r="L34" s="90">
        <v>2019</v>
      </c>
      <c r="M34" s="90">
        <v>2020</v>
      </c>
      <c r="N34" s="92">
        <v>2021</v>
      </c>
      <c r="O34" s="2" t="s">
        <v>53</v>
      </c>
      <c r="P34" s="2"/>
      <c r="Q34" s="3"/>
      <c r="R3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4" s="1" t="s">
        <v>30</v>
      </c>
      <c r="T34" s="16"/>
    </row>
    <row r="35" spans="1:20" x14ac:dyDescent="0.25">
      <c r="A35" s="13" t="str">
        <f>VLOOKUP(C35,Data[],2,FALSE)</f>
        <v>MANHATTAN</v>
      </c>
      <c r="B35" s="9" t="s">
        <v>25</v>
      </c>
      <c r="C35" s="9" t="s">
        <v>64</v>
      </c>
      <c r="D35" s="1" t="str">
        <f>VLOOKUP(Table1[[#This Row],[DEVELOPMENT]],Data[],MATCH(Table1[[#Headers],[NRR]],Data[#Headers],0),FALSE)</f>
        <v>Zone 1</v>
      </c>
      <c r="E35" s="1" t="str">
        <f>VLOOKUP(Table1[[#This Row],[DEVELOPMENT]],Data[],MATCH(Table1[[#Headers],[Priority Level]],Data[#Headers],0),FALSE)</f>
        <v>$$</v>
      </c>
      <c r="F35" s="1">
        <f>VLOOKUP(Table1[[#This Row],[DEVELOPMENT]],Data[],MATCH(Table1[[#Headers],[RAD/PACT]],Data[#Headers],0),FALSE)</f>
        <v>2026</v>
      </c>
      <c r="G35" s="9" t="s">
        <v>27</v>
      </c>
      <c r="H35" s="74" t="s">
        <v>28</v>
      </c>
      <c r="I35" s="10">
        <f>K35</f>
        <v>9000</v>
      </c>
      <c r="J35" s="10"/>
      <c r="K35" s="11">
        <v>9000</v>
      </c>
      <c r="L35" s="90">
        <v>2019</v>
      </c>
      <c r="M35" s="90">
        <v>2020</v>
      </c>
      <c r="N35" s="92">
        <v>2021</v>
      </c>
      <c r="O35" s="2" t="s">
        <v>53</v>
      </c>
      <c r="P35" s="2"/>
      <c r="Q35" s="3"/>
      <c r="R3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5" s="1" t="s">
        <v>30</v>
      </c>
      <c r="T35" s="16"/>
    </row>
    <row r="36" spans="1:20" x14ac:dyDescent="0.25">
      <c r="A36" s="13" t="str">
        <f>VLOOKUP(C36,Data[],2,FALSE)</f>
        <v>MANHATTAN</v>
      </c>
      <c r="B36" s="9" t="s">
        <v>25</v>
      </c>
      <c r="C36" s="9" t="s">
        <v>55</v>
      </c>
      <c r="D36" s="1" t="str">
        <f>VLOOKUP(Table1[[#This Row],[DEVELOPMENT]],Data[],MATCH(Table1[[#Headers],[NRR]],Data[#Headers],0),FALSE)</f>
        <v>Zone 1</v>
      </c>
      <c r="E36" s="1" t="str">
        <f>VLOOKUP(Table1[[#This Row],[DEVELOPMENT]],Data[],MATCH(Table1[[#Headers],[Priority Level]],Data[#Headers],0),FALSE)</f>
        <v>$</v>
      </c>
      <c r="F36" s="1" t="str">
        <f>VLOOKUP(Table1[[#This Row],[DEVELOPMENT]],Data[],MATCH(Table1[[#Headers],[RAD/PACT]],Data[#Headers],0),FALSE)</f>
        <v/>
      </c>
      <c r="G36" s="9" t="s">
        <v>27</v>
      </c>
      <c r="H36" s="74" t="s">
        <v>33</v>
      </c>
      <c r="I36" s="12"/>
      <c r="J36" s="10">
        <f>K36</f>
        <v>78000</v>
      </c>
      <c r="K36" s="11">
        <v>78000</v>
      </c>
      <c r="L36" s="90">
        <v>2019</v>
      </c>
      <c r="M36" s="90">
        <v>2020</v>
      </c>
      <c r="N36" s="92">
        <v>2021</v>
      </c>
      <c r="O36" s="2" t="s">
        <v>53</v>
      </c>
      <c r="P36" s="2"/>
      <c r="Q36" s="3"/>
      <c r="R3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6" s="1" t="s">
        <v>30</v>
      </c>
      <c r="T36" s="16"/>
    </row>
    <row r="37" spans="1:20" x14ac:dyDescent="0.25">
      <c r="A37" s="13" t="str">
        <f>VLOOKUP(C37,Data[],2,FALSE)</f>
        <v>MANHATTAN</v>
      </c>
      <c r="B37" s="9" t="s">
        <v>25</v>
      </c>
      <c r="C37" s="9" t="s">
        <v>65</v>
      </c>
      <c r="D37" s="1" t="str">
        <f>VLOOKUP(Table1[[#This Row],[DEVELOPMENT]],Data[],MATCH(Table1[[#Headers],[NRR]],Data[#Headers],0),FALSE)</f>
        <v>Zone 1</v>
      </c>
      <c r="E37" s="1" t="str">
        <f>VLOOKUP(Table1[[#This Row],[DEVELOPMENT]],Data[],MATCH(Table1[[#Headers],[Priority Level]],Data[#Headers],0),FALSE)</f>
        <v>$</v>
      </c>
      <c r="F37" s="1" t="str">
        <f>VLOOKUP(Table1[[#This Row],[DEVELOPMENT]],Data[],MATCH(Table1[[#Headers],[RAD/PACT]],Data[#Headers],0),FALSE)</f>
        <v/>
      </c>
      <c r="G37" s="9" t="s">
        <v>27</v>
      </c>
      <c r="H37" s="74" t="s">
        <v>28</v>
      </c>
      <c r="I37" s="10">
        <f>K37</f>
        <v>6000</v>
      </c>
      <c r="J37" s="10"/>
      <c r="K37" s="11">
        <v>6000</v>
      </c>
      <c r="L37" s="90">
        <v>2019</v>
      </c>
      <c r="M37" s="90">
        <v>2020</v>
      </c>
      <c r="N37" s="92">
        <v>2021</v>
      </c>
      <c r="O37" s="2" t="s">
        <v>53</v>
      </c>
      <c r="P37" s="2"/>
      <c r="Q37" s="3"/>
      <c r="R3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7" s="1" t="s">
        <v>30</v>
      </c>
      <c r="T37" s="16"/>
    </row>
    <row r="38" spans="1:20" x14ac:dyDescent="0.25">
      <c r="A38" s="13" t="str">
        <f>VLOOKUP(C38,Data[],2,FALSE)</f>
        <v>MANHATTAN</v>
      </c>
      <c r="B38" s="9" t="s">
        <v>25</v>
      </c>
      <c r="C38" s="9" t="s">
        <v>51</v>
      </c>
      <c r="D38" s="1" t="str">
        <f>VLOOKUP(Table1[[#This Row],[DEVELOPMENT]],Data[],MATCH(Table1[[#Headers],[NRR]],Data[#Headers],0),FALSE)</f>
        <v>Zone 1</v>
      </c>
      <c r="E38" s="1" t="str">
        <f>VLOOKUP(Table1[[#This Row],[DEVELOPMENT]],Data[],MATCH(Table1[[#Headers],[Priority Level]],Data[#Headers],0),FALSE)</f>
        <v>$</v>
      </c>
      <c r="F38" s="1" t="str">
        <f>VLOOKUP(Table1[[#This Row],[DEVELOPMENT]],Data[],MATCH(Table1[[#Headers],[RAD/PACT]],Data[#Headers],0),FALSE)</f>
        <v/>
      </c>
      <c r="G38" s="9" t="s">
        <v>27</v>
      </c>
      <c r="H38" s="74" t="s">
        <v>33</v>
      </c>
      <c r="I38" s="12"/>
      <c r="J38" s="10">
        <f>K38</f>
        <v>3000</v>
      </c>
      <c r="K38" s="11">
        <v>3000</v>
      </c>
      <c r="L38" s="90">
        <v>2019</v>
      </c>
      <c r="M38" s="90">
        <v>2020</v>
      </c>
      <c r="N38" s="92">
        <v>2021</v>
      </c>
      <c r="O38" s="2" t="s">
        <v>53</v>
      </c>
      <c r="P38" s="2"/>
      <c r="Q38" s="3"/>
      <c r="R3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8" s="1" t="s">
        <v>30</v>
      </c>
      <c r="T38" s="16"/>
    </row>
    <row r="39" spans="1:20" x14ac:dyDescent="0.25">
      <c r="A39" s="13" t="str">
        <f>VLOOKUP(C39,Data[],2,FALSE)</f>
        <v>MANHATTAN</v>
      </c>
      <c r="B39" s="9" t="s">
        <v>25</v>
      </c>
      <c r="C39" s="9" t="s">
        <v>66</v>
      </c>
      <c r="D39" s="1" t="str">
        <f>VLOOKUP(Table1[[#This Row],[DEVELOPMENT]],Data[],MATCH(Table1[[#Headers],[NRR]],Data[#Headers],0),FALSE)</f>
        <v>Zone 1</v>
      </c>
      <c r="E39" s="1" t="str">
        <f>VLOOKUP(Table1[[#This Row],[DEVELOPMENT]],Data[],MATCH(Table1[[#Headers],[Priority Level]],Data[#Headers],0),FALSE)</f>
        <v>$</v>
      </c>
      <c r="F39" s="1" t="str">
        <f>VLOOKUP(Table1[[#This Row],[DEVELOPMENT]],Data[],MATCH(Table1[[#Headers],[RAD/PACT]],Data[#Headers],0),FALSE)</f>
        <v/>
      </c>
      <c r="G39" s="9" t="s">
        <v>27</v>
      </c>
      <c r="H39" s="74" t="s">
        <v>33</v>
      </c>
      <c r="I39" s="12"/>
      <c r="J39" s="10">
        <f>K39</f>
        <v>48000</v>
      </c>
      <c r="K39" s="11">
        <v>48000</v>
      </c>
      <c r="L39" s="90">
        <v>2019</v>
      </c>
      <c r="M39" s="90">
        <v>2020</v>
      </c>
      <c r="N39" s="92">
        <v>2021</v>
      </c>
      <c r="O39" s="2" t="s">
        <v>53</v>
      </c>
      <c r="P39" s="2"/>
      <c r="Q39" s="3"/>
      <c r="R3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9" s="1" t="s">
        <v>30</v>
      </c>
      <c r="T39" s="16"/>
    </row>
    <row r="40" spans="1:20" x14ac:dyDescent="0.25">
      <c r="A40" s="13" t="str">
        <f>VLOOKUP(C40,Data[],2,FALSE)</f>
        <v>MANHATTAN</v>
      </c>
      <c r="B40" s="1"/>
      <c r="C40" s="1" t="s">
        <v>67</v>
      </c>
      <c r="D40" s="1" t="str">
        <f>VLOOKUP(Table1[[#This Row],[DEVELOPMENT]],Data[],MATCH(Table1[[#Headers],[NRR]],Data[#Headers],0),FALSE)</f>
        <v>Zone 2</v>
      </c>
      <c r="E40" s="1" t="str">
        <f>VLOOKUP(Table1[[#This Row],[DEVELOPMENT]],Data[],MATCH(Table1[[#Headers],[Priority Level]],Data[#Headers],0),FALSE)</f>
        <v>$</v>
      </c>
      <c r="F40" s="1" t="str">
        <f>VLOOKUP(Table1[[#This Row],[DEVELOPMENT]],Data[],MATCH(Table1[[#Headers],[RAD/PACT]],Data[#Headers],0),FALSE)</f>
        <v/>
      </c>
      <c r="G40" s="9" t="s">
        <v>68</v>
      </c>
      <c r="H40" s="7"/>
      <c r="I40" s="8"/>
      <c r="J40" s="8"/>
      <c r="K40" s="3"/>
      <c r="L40" s="93"/>
      <c r="M40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0" s="90"/>
      <c r="O40" s="2"/>
      <c r="P40" s="2"/>
      <c r="Q40" s="11"/>
      <c r="R4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0" s="9"/>
      <c r="T40" s="16"/>
    </row>
    <row r="41" spans="1:20" x14ac:dyDescent="0.25">
      <c r="A41" s="13" t="str">
        <f>VLOOKUP(C41,Data[],2,FALSE)</f>
        <v>MANHATTAN</v>
      </c>
      <c r="B41" s="1"/>
      <c r="C41" s="1" t="s">
        <v>69</v>
      </c>
      <c r="D41" s="9" t="str">
        <f>VLOOKUP(Table1[[#This Row],[DEVELOPMENT]],Data[],MATCH(Table1[[#Headers],[NRR]],Data[#Headers],0),FALSE)</f>
        <v>Zone 3</v>
      </c>
      <c r="E41" s="66" t="str">
        <f>VLOOKUP(Table1[[#This Row],[DEVELOPMENT]],Data[],MATCH(Table1[[#Headers],[Priority Level]],Data[#Headers],0),FALSE)</f>
        <v>$</v>
      </c>
      <c r="F41" s="66" t="str">
        <f>VLOOKUP(Table1[[#This Row],[DEVELOPMENT]],Data[],MATCH(Table1[[#Headers],[RAD/PACT]],Data[#Headers],0),FALSE)</f>
        <v/>
      </c>
      <c r="G41" s="1" t="s">
        <v>68</v>
      </c>
      <c r="H41" s="7"/>
      <c r="I41" s="8"/>
      <c r="J41" s="8">
        <f>K41</f>
        <v>0</v>
      </c>
      <c r="K41" s="3"/>
      <c r="L41" s="92"/>
      <c r="M41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1" s="90"/>
      <c r="O41" s="2"/>
      <c r="P41" s="2"/>
      <c r="Q41" s="11"/>
      <c r="R4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1" s="9"/>
      <c r="T41" s="16"/>
    </row>
    <row r="42" spans="1:20" x14ac:dyDescent="0.25">
      <c r="A42" s="13" t="str">
        <f>VLOOKUP(C42,Data[],2,FALSE)</f>
        <v>MANHATTAN</v>
      </c>
      <c r="B42" s="1"/>
      <c r="C42" s="1" t="s">
        <v>70</v>
      </c>
      <c r="D42" s="9" t="str">
        <f>VLOOKUP(Table1[[#This Row],[DEVELOPMENT]],Data[],MATCH(Table1[[#Headers],[NRR]],Data[#Headers],0),FALSE)</f>
        <v>Zone 3</v>
      </c>
      <c r="E42" s="66" t="str">
        <f>VLOOKUP(Table1[[#This Row],[DEVELOPMENT]],Data[],MATCH(Table1[[#Headers],[Priority Level]],Data[#Headers],0),FALSE)</f>
        <v>$$$$</v>
      </c>
      <c r="F42" s="66">
        <f>VLOOKUP(Table1[[#This Row],[DEVELOPMENT]],Data[],MATCH(Table1[[#Headers],[RAD/PACT]],Data[#Headers],0),FALSE)</f>
        <v>2020</v>
      </c>
      <c r="G42" s="1" t="s">
        <v>68</v>
      </c>
      <c r="H42" s="7"/>
      <c r="I42" s="8"/>
      <c r="J42" s="8">
        <f>K42</f>
        <v>0</v>
      </c>
      <c r="K42" s="3"/>
      <c r="L42" s="92"/>
      <c r="M42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2" s="90"/>
      <c r="O42" s="2"/>
      <c r="P42" s="2"/>
      <c r="Q42" s="11"/>
      <c r="R4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2" s="9"/>
      <c r="T42" s="16"/>
    </row>
    <row r="43" spans="1:20" x14ac:dyDescent="0.25">
      <c r="A43" s="13" t="str">
        <f>VLOOKUP(C43,Data[],2,FALSE)</f>
        <v>MANHATTAN</v>
      </c>
      <c r="B43" s="1"/>
      <c r="C43" s="1" t="s">
        <v>71</v>
      </c>
      <c r="D43" s="9" t="str">
        <f>VLOOKUP(Table1[[#This Row],[DEVELOPMENT]],Data[],MATCH(Table1[[#Headers],[NRR]],Data[#Headers],0),FALSE)</f>
        <v>Zone 3</v>
      </c>
      <c r="E43" s="66" t="str">
        <f>VLOOKUP(Table1[[#This Row],[DEVELOPMENT]],Data[],MATCH(Table1[[#Headers],[Priority Level]],Data[#Headers],0),FALSE)</f>
        <v>$$</v>
      </c>
      <c r="F43" s="66">
        <f>VLOOKUP(Table1[[#This Row],[DEVELOPMENT]],Data[],MATCH(Table1[[#Headers],[RAD/PACT]],Data[#Headers],0),FALSE)</f>
        <v>2020</v>
      </c>
      <c r="G43" s="1" t="s">
        <v>68</v>
      </c>
      <c r="H43" s="7"/>
      <c r="I43" s="8"/>
      <c r="J43" s="8">
        <f>K43</f>
        <v>0</v>
      </c>
      <c r="K43" s="3"/>
      <c r="L43" s="92"/>
      <c r="M43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3" s="90"/>
      <c r="O43" s="2"/>
      <c r="P43" s="2"/>
      <c r="Q43" s="11"/>
      <c r="R4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3" s="9"/>
      <c r="T43" s="16"/>
    </row>
    <row r="44" spans="1:20" x14ac:dyDescent="0.25">
      <c r="A44" s="13" t="str">
        <f>VLOOKUP(C44,Data[],2,FALSE)</f>
        <v>BROOKLYN</v>
      </c>
      <c r="B44" s="1"/>
      <c r="C44" s="1" t="s">
        <v>72</v>
      </c>
      <c r="D44" s="9" t="str">
        <f>VLOOKUP(Table1[[#This Row],[DEVELOPMENT]],Data[],MATCH(Table1[[#Headers],[NRR]],Data[#Headers],0),FALSE)</f>
        <v>Zone 3</v>
      </c>
      <c r="E44" s="66" t="str">
        <f>VLOOKUP(Table1[[#This Row],[DEVELOPMENT]],Data[],MATCH(Table1[[#Headers],[Priority Level]],Data[#Headers],0),FALSE)</f>
        <v>$$$</v>
      </c>
      <c r="F44" s="66" t="str">
        <f>VLOOKUP(Table1[[#This Row],[DEVELOPMENT]],Data[],MATCH(Table1[[#Headers],[RAD/PACT]],Data[#Headers],0),FALSE)</f>
        <v/>
      </c>
      <c r="G44" s="1" t="s">
        <v>68</v>
      </c>
      <c r="H44" s="7"/>
      <c r="I44" s="8"/>
      <c r="J44" s="8">
        <f>K44</f>
        <v>0</v>
      </c>
      <c r="K44" s="3"/>
      <c r="L44" s="92"/>
      <c r="M44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4" s="90"/>
      <c r="O44" s="2"/>
      <c r="P44" s="2"/>
      <c r="Q44" s="11"/>
      <c r="R4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4" s="9"/>
      <c r="T44" s="16"/>
    </row>
    <row r="45" spans="1:20" x14ac:dyDescent="0.25">
      <c r="A45" s="13" t="str">
        <f>VLOOKUP(C45,Data[],2,FALSE)</f>
        <v>BRONX</v>
      </c>
      <c r="B45" s="1"/>
      <c r="C45" s="1" t="s">
        <v>73</v>
      </c>
      <c r="D45" s="9" t="str">
        <f>VLOOKUP(Table1[[#This Row],[DEVELOPMENT]],Data[],MATCH(Table1[[#Headers],[NRR]],Data[#Headers],0),FALSE)</f>
        <v>Zone 3</v>
      </c>
      <c r="E45" s="66" t="str">
        <f>VLOOKUP(Table1[[#This Row],[DEVELOPMENT]],Data[],MATCH(Table1[[#Headers],[Priority Level]],Data[#Headers],0),FALSE)</f>
        <v>$</v>
      </c>
      <c r="F45" s="66" t="str">
        <f>VLOOKUP(Table1[[#This Row],[DEVELOPMENT]],Data[],MATCH(Table1[[#Headers],[RAD/PACT]],Data[#Headers],0),FALSE)</f>
        <v/>
      </c>
      <c r="G45" s="1" t="s">
        <v>68</v>
      </c>
      <c r="H45" s="7"/>
      <c r="I45" s="8"/>
      <c r="J45" s="8">
        <f>K45</f>
        <v>0</v>
      </c>
      <c r="K45" s="3"/>
      <c r="L45" s="92"/>
      <c r="M45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5" s="90"/>
      <c r="O45" s="2"/>
      <c r="P45" s="2"/>
      <c r="Q45" s="11"/>
      <c r="R4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5" s="9"/>
      <c r="T45" s="16"/>
    </row>
    <row r="46" spans="1:20" x14ac:dyDescent="0.25">
      <c r="A46" s="13" t="str">
        <f>VLOOKUP(C46,Data[],2,FALSE)</f>
        <v>MANHATTAN</v>
      </c>
      <c r="B46" s="1"/>
      <c r="C46" s="1" t="s">
        <v>74</v>
      </c>
      <c r="D46" s="1" t="str">
        <f>VLOOKUP(Table1[[#This Row],[DEVELOPMENT]],Data[],MATCH(Table1[[#Headers],[NRR]],Data[#Headers],0),FALSE)</f>
        <v>Zone 2</v>
      </c>
      <c r="E46" s="1" t="str">
        <f>VLOOKUP(Table1[[#This Row],[DEVELOPMENT]],Data[],MATCH(Table1[[#Headers],[Priority Level]],Data[#Headers],0),FALSE)</f>
        <v>$</v>
      </c>
      <c r="F46" s="1">
        <f>VLOOKUP(Table1[[#This Row],[DEVELOPMENT]],Data[],MATCH(Table1[[#Headers],[RAD/PACT]],Data[#Headers],0),FALSE)</f>
        <v>2026</v>
      </c>
      <c r="G46" s="9" t="s">
        <v>68</v>
      </c>
      <c r="H46" s="7"/>
      <c r="I46" s="8"/>
      <c r="J46" s="8"/>
      <c r="K46" s="3"/>
      <c r="L46" s="93"/>
      <c r="M46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6" s="90"/>
      <c r="O46" s="2"/>
      <c r="P46" s="2"/>
      <c r="Q46" s="11"/>
      <c r="R4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6" s="9"/>
      <c r="T46" s="16"/>
    </row>
    <row r="47" spans="1:20" x14ac:dyDescent="0.25">
      <c r="A47" s="13" t="str">
        <f>VLOOKUP(C47,Data[],2,FALSE)</f>
        <v>MANHATTAN</v>
      </c>
      <c r="B47" s="1"/>
      <c r="C47" s="1" t="s">
        <v>75</v>
      </c>
      <c r="D47" s="9" t="str">
        <f>VLOOKUP(Table1[[#This Row],[DEVELOPMENT]],Data[],MATCH(Table1[[#Headers],[NRR]],Data[#Headers],0),FALSE)</f>
        <v>Zone 3</v>
      </c>
      <c r="E47" s="66" t="str">
        <f>VLOOKUP(Table1[[#This Row],[DEVELOPMENT]],Data[],MATCH(Table1[[#Headers],[Priority Level]],Data[#Headers],0),FALSE)</f>
        <v>$</v>
      </c>
      <c r="F47" s="66" t="str">
        <f>VLOOKUP(Table1[[#This Row],[DEVELOPMENT]],Data[],MATCH(Table1[[#Headers],[RAD/PACT]],Data[#Headers],0),FALSE)</f>
        <v/>
      </c>
      <c r="G47" s="1" t="s">
        <v>68</v>
      </c>
      <c r="H47" s="7"/>
      <c r="I47" s="8"/>
      <c r="J47" s="8">
        <f>K47</f>
        <v>0</v>
      </c>
      <c r="K47" s="3"/>
      <c r="L47" s="92"/>
      <c r="M47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7" s="90"/>
      <c r="O47" s="2"/>
      <c r="P47" s="2"/>
      <c r="Q47" s="11"/>
      <c r="R4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7" s="9"/>
      <c r="T47" s="16"/>
    </row>
    <row r="48" spans="1:20" x14ac:dyDescent="0.25">
      <c r="A48" s="13" t="str">
        <f>VLOOKUP(C48,Data[],2,FALSE)</f>
        <v>MANHATTAN</v>
      </c>
      <c r="B48" s="1"/>
      <c r="C48" s="1" t="s">
        <v>76</v>
      </c>
      <c r="D48" s="9" t="str">
        <f>VLOOKUP(Table1[[#This Row],[DEVELOPMENT]],Data[],MATCH(Table1[[#Headers],[NRR]],Data[#Headers],0),FALSE)</f>
        <v>Zone 3</v>
      </c>
      <c r="E48" s="66" t="str">
        <f>VLOOKUP(Table1[[#This Row],[DEVELOPMENT]],Data[],MATCH(Table1[[#Headers],[Priority Level]],Data[#Headers],0),FALSE)</f>
        <v>$$$</v>
      </c>
      <c r="F48" s="66" t="str">
        <f>VLOOKUP(Table1[[#This Row],[DEVELOPMENT]],Data[],MATCH(Table1[[#Headers],[RAD/PACT]],Data[#Headers],0),FALSE)</f>
        <v/>
      </c>
      <c r="G48" s="1" t="s">
        <v>68</v>
      </c>
      <c r="H48" s="7"/>
      <c r="I48" s="8"/>
      <c r="J48" s="8">
        <f>K48</f>
        <v>0</v>
      </c>
      <c r="K48" s="3"/>
      <c r="L48" s="92"/>
      <c r="M48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8" s="90"/>
      <c r="O48" s="2"/>
      <c r="P48" s="2"/>
      <c r="Q48" s="11"/>
      <c r="R4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8" s="9"/>
      <c r="T48" s="16"/>
    </row>
    <row r="49" spans="1:20" x14ac:dyDescent="0.25">
      <c r="A49" s="13" t="str">
        <f>VLOOKUP(C49,Data[],2,FALSE)</f>
        <v>MANHATTAN</v>
      </c>
      <c r="B49" s="1"/>
      <c r="C49" s="1" t="s">
        <v>77</v>
      </c>
      <c r="D49" s="1" t="str">
        <f>VLOOKUP(Table1[[#This Row],[DEVELOPMENT]],Data[],MATCH(Table1[[#Headers],[NRR]],Data[#Headers],0),FALSE)</f>
        <v>Zone 2</v>
      </c>
      <c r="E49" s="1" t="str">
        <f>VLOOKUP(Table1[[#This Row],[DEVELOPMENT]],Data[],MATCH(Table1[[#Headers],[Priority Level]],Data[#Headers],0),FALSE)</f>
        <v>$</v>
      </c>
      <c r="F49" s="1" t="str">
        <f>VLOOKUP(Table1[[#This Row],[DEVELOPMENT]],Data[],MATCH(Table1[[#Headers],[RAD/PACT]],Data[#Headers],0),FALSE)</f>
        <v/>
      </c>
      <c r="G49" s="9" t="s">
        <v>68</v>
      </c>
      <c r="H49" s="7"/>
      <c r="I49" s="8"/>
      <c r="J49" s="8"/>
      <c r="K49" s="3"/>
      <c r="L49" s="93"/>
      <c r="M49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49" s="90"/>
      <c r="O49" s="2"/>
      <c r="P49" s="2"/>
      <c r="Q49" s="11"/>
      <c r="R4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49" s="9"/>
      <c r="T49" s="16"/>
    </row>
    <row r="50" spans="1:20" x14ac:dyDescent="0.25">
      <c r="A50" s="13" t="str">
        <f>VLOOKUP(C50,Data[],2,FALSE)</f>
        <v>MANHATTAN</v>
      </c>
      <c r="B50" s="1"/>
      <c r="C50" s="1" t="s">
        <v>78</v>
      </c>
      <c r="D50" s="1" t="str">
        <f>VLOOKUP(Table1[[#This Row],[DEVELOPMENT]],Data[],MATCH(Table1[[#Headers],[NRR]],Data[#Headers],0),FALSE)</f>
        <v>Zone 2</v>
      </c>
      <c r="E50" s="1" t="str">
        <f>VLOOKUP(Table1[[#This Row],[DEVELOPMENT]],Data[],MATCH(Table1[[#Headers],[Priority Level]],Data[#Headers],0),FALSE)</f>
        <v>$</v>
      </c>
      <c r="F50" s="1">
        <f>VLOOKUP(Table1[[#This Row],[DEVELOPMENT]],Data[],MATCH(Table1[[#Headers],[RAD/PACT]],Data[#Headers],0),FALSE)</f>
        <v>2024</v>
      </c>
      <c r="G50" s="9" t="s">
        <v>68</v>
      </c>
      <c r="H50" s="7"/>
      <c r="I50" s="8"/>
      <c r="J50" s="8"/>
      <c r="K50" s="3"/>
      <c r="L50" s="93"/>
      <c r="M50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50" s="90"/>
      <c r="O50" s="2"/>
      <c r="P50" s="2"/>
      <c r="Q50" s="11"/>
      <c r="R5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0" s="9"/>
      <c r="T50" s="16"/>
    </row>
    <row r="51" spans="1:20" x14ac:dyDescent="0.25">
      <c r="A51" s="13" t="str">
        <f>VLOOKUP(C51,Data[],2,FALSE)</f>
        <v>MANHATTAN</v>
      </c>
      <c r="B51" s="1"/>
      <c r="C51" s="1" t="s">
        <v>79</v>
      </c>
      <c r="D51" s="9" t="str">
        <f>VLOOKUP(Table1[[#This Row],[DEVELOPMENT]],Data[],MATCH(Table1[[#Headers],[NRR]],Data[#Headers],0),FALSE)</f>
        <v>Zone 3</v>
      </c>
      <c r="E51" s="66" t="str">
        <f>VLOOKUP(Table1[[#This Row],[DEVELOPMENT]],Data[],MATCH(Table1[[#Headers],[Priority Level]],Data[#Headers],0),FALSE)</f>
        <v>$</v>
      </c>
      <c r="F51" s="66">
        <f>VLOOKUP(Table1[[#This Row],[DEVELOPMENT]],Data[],MATCH(Table1[[#Headers],[RAD/PACT]],Data[#Headers],0),FALSE)</f>
        <v>2019</v>
      </c>
      <c r="G51" s="1" t="s">
        <v>68</v>
      </c>
      <c r="H51" s="7"/>
      <c r="I51" s="8"/>
      <c r="J51" s="8">
        <f>K51</f>
        <v>0</v>
      </c>
      <c r="K51" s="3"/>
      <c r="L51" s="92"/>
      <c r="M51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51" s="90"/>
      <c r="O51" s="2"/>
      <c r="P51" s="2"/>
      <c r="Q51" s="11"/>
      <c r="R5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1" s="9"/>
      <c r="T51" s="16"/>
    </row>
    <row r="52" spans="1:20" x14ac:dyDescent="0.25">
      <c r="A52" s="13" t="str">
        <f>VLOOKUP(C52,Data[],2,FALSE)</f>
        <v>MANHATTAN</v>
      </c>
      <c r="B52" s="1"/>
      <c r="C52" s="1" t="s">
        <v>80</v>
      </c>
      <c r="D52" s="9" t="str">
        <f>VLOOKUP(Table1[[#This Row],[DEVELOPMENT]],Data[],MATCH(Table1[[#Headers],[NRR]],Data[#Headers],0),FALSE)</f>
        <v>Zone 3</v>
      </c>
      <c r="E52" s="66" t="str">
        <f>VLOOKUP(Table1[[#This Row],[DEVELOPMENT]],Data[],MATCH(Table1[[#Headers],[Priority Level]],Data[#Headers],0),FALSE)</f>
        <v>$</v>
      </c>
      <c r="F52" s="66">
        <f>VLOOKUP(Table1[[#This Row],[DEVELOPMENT]],Data[],MATCH(Table1[[#Headers],[RAD/PACT]],Data[#Headers],0),FALSE)</f>
        <v>2019</v>
      </c>
      <c r="G52" s="1" t="s">
        <v>68</v>
      </c>
      <c r="H52" s="7"/>
      <c r="I52" s="8"/>
      <c r="J52" s="8">
        <f>K52</f>
        <v>0</v>
      </c>
      <c r="K52" s="3"/>
      <c r="L52" s="92"/>
      <c r="M52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52" s="90"/>
      <c r="O52" s="2"/>
      <c r="P52" s="2"/>
      <c r="Q52" s="11"/>
      <c r="R5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2" s="9"/>
      <c r="T52" s="16"/>
    </row>
    <row r="53" spans="1:20" x14ac:dyDescent="0.25">
      <c r="A53" s="13" t="str">
        <f>VLOOKUP(C53,Data[],2,FALSE)</f>
        <v>MANHATTAN</v>
      </c>
      <c r="B53" s="1"/>
      <c r="C53" s="1" t="s">
        <v>81</v>
      </c>
      <c r="D53" s="1" t="str">
        <f>VLOOKUP(Table1[[#This Row],[DEVELOPMENT]],Data[],MATCH(Table1[[#Headers],[NRR]],Data[#Headers],0),FALSE)</f>
        <v>Zone 2</v>
      </c>
      <c r="E53" s="1" t="str">
        <f>VLOOKUP(Table1[[#This Row],[DEVELOPMENT]],Data[],MATCH(Table1[[#Headers],[Priority Level]],Data[#Headers],0),FALSE)</f>
        <v>$$$$</v>
      </c>
      <c r="F53" s="1" t="str">
        <f>VLOOKUP(Table1[[#This Row],[DEVELOPMENT]],Data[],MATCH(Table1[[#Headers],[RAD/PACT]],Data[#Headers],0),FALSE)</f>
        <v/>
      </c>
      <c r="G53" s="9" t="s">
        <v>68</v>
      </c>
      <c r="H53" s="7"/>
      <c r="I53" s="8"/>
      <c r="J53" s="8"/>
      <c r="K53" s="3"/>
      <c r="L53" s="93"/>
      <c r="M53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53" s="90"/>
      <c r="O53" s="2"/>
      <c r="P53" s="2"/>
      <c r="Q53" s="11"/>
      <c r="R5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3" s="9"/>
      <c r="T53" s="16"/>
    </row>
    <row r="54" spans="1:20" x14ac:dyDescent="0.25">
      <c r="A54" s="13" t="str">
        <f>VLOOKUP(C54,Data[],2,FALSE)</f>
        <v>MANHATTAN</v>
      </c>
      <c r="B54" s="1"/>
      <c r="C54" s="1" t="s">
        <v>82</v>
      </c>
      <c r="D54" s="9" t="str">
        <f>VLOOKUP(Table1[[#This Row],[DEVELOPMENT]],Data[],MATCH(Table1[[#Headers],[NRR]],Data[#Headers],0),FALSE)</f>
        <v>Zone 3</v>
      </c>
      <c r="E54" s="66" t="str">
        <f>VLOOKUP(Table1[[#This Row],[DEVELOPMENT]],Data[],MATCH(Table1[[#Headers],[Priority Level]],Data[#Headers],0),FALSE)</f>
        <v>$$</v>
      </c>
      <c r="F54" s="66">
        <f>VLOOKUP(Table1[[#This Row],[DEVELOPMENT]],Data[],MATCH(Table1[[#Headers],[RAD/PACT]],Data[#Headers],0),FALSE)</f>
        <v>2020</v>
      </c>
      <c r="G54" s="1" t="s">
        <v>68</v>
      </c>
      <c r="H54" s="7"/>
      <c r="I54" s="8"/>
      <c r="J54" s="8">
        <f>K54</f>
        <v>0</v>
      </c>
      <c r="K54" s="3"/>
      <c r="L54" s="92"/>
      <c r="M54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54" s="90"/>
      <c r="O54" s="2"/>
      <c r="P54" s="2"/>
      <c r="Q54" s="11"/>
      <c r="R5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4" s="9"/>
      <c r="T54" s="16"/>
    </row>
    <row r="55" spans="1:20" x14ac:dyDescent="0.25">
      <c r="A55" s="13" t="str">
        <f>VLOOKUP(C55,Data[],2,FALSE)</f>
        <v>MANHATTAN</v>
      </c>
      <c r="B55" s="1"/>
      <c r="C55" s="1" t="s">
        <v>83</v>
      </c>
      <c r="D55" s="1" t="str">
        <f>VLOOKUP(Table1[[#This Row],[DEVELOPMENT]],Data[],MATCH(Table1[[#Headers],[NRR]],Data[#Headers],0),FALSE)</f>
        <v>Zone 2</v>
      </c>
      <c r="E55" s="1" t="str">
        <f>VLOOKUP(Table1[[#This Row],[DEVELOPMENT]],Data[],MATCH(Table1[[#Headers],[Priority Level]],Data[#Headers],0),FALSE)</f>
        <v>$$$</v>
      </c>
      <c r="F55" s="1">
        <f>VLOOKUP(Table1[[#This Row],[DEVELOPMENT]],Data[],MATCH(Table1[[#Headers],[RAD/PACT]],Data[#Headers],0),FALSE)</f>
        <v>2028</v>
      </c>
      <c r="G55" s="9" t="s">
        <v>68</v>
      </c>
      <c r="H55" s="7"/>
      <c r="I55" s="8"/>
      <c r="J55" s="8"/>
      <c r="K55" s="3"/>
      <c r="L55" s="93"/>
      <c r="M55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55" s="90"/>
      <c r="O55" s="2"/>
      <c r="P55" s="2"/>
      <c r="Q55" s="11"/>
      <c r="R5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5" s="9"/>
      <c r="T55" s="16"/>
    </row>
    <row r="56" spans="1:20" x14ac:dyDescent="0.25">
      <c r="A56" s="13" t="str">
        <f>VLOOKUP(C56,Data[],2,FALSE)</f>
        <v>BROOKLYN</v>
      </c>
      <c r="B56" s="1"/>
      <c r="C56" s="1" t="s">
        <v>84</v>
      </c>
      <c r="D56" s="9" t="str">
        <f>VLOOKUP(Table1[[#This Row],[DEVELOPMENT]],Data[],MATCH(Table1[[#Headers],[NRR]],Data[#Headers],0),FALSE)</f>
        <v>Zone 3</v>
      </c>
      <c r="E56" s="66" t="str">
        <f>VLOOKUP(Table1[[#This Row],[DEVELOPMENT]],Data[],MATCH(Table1[[#Headers],[Priority Level]],Data[#Headers],0),FALSE)</f>
        <v>$</v>
      </c>
      <c r="F56" s="66" t="str">
        <f>VLOOKUP(Table1[[#This Row],[DEVELOPMENT]],Data[],MATCH(Table1[[#Headers],[RAD/PACT]],Data[#Headers],0),FALSE)</f>
        <v/>
      </c>
      <c r="G56" s="1" t="s">
        <v>68</v>
      </c>
      <c r="H56" s="7"/>
      <c r="I56" s="8"/>
      <c r="J56" s="8">
        <f t="shared" ref="J56:J61" si="1">K56</f>
        <v>0</v>
      </c>
      <c r="K56" s="3"/>
      <c r="L56" s="92"/>
      <c r="M56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56" s="90"/>
      <c r="O56" s="2"/>
      <c r="P56" s="2"/>
      <c r="Q56" s="11"/>
      <c r="R5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6" s="9"/>
      <c r="T56" s="16"/>
    </row>
    <row r="57" spans="1:20" x14ac:dyDescent="0.25">
      <c r="A57" s="13" t="str">
        <f>VLOOKUP(C57,Data[],2,FALSE)</f>
        <v>MANHATTAN</v>
      </c>
      <c r="B57" s="9" t="s">
        <v>25</v>
      </c>
      <c r="C57" s="9" t="s">
        <v>36</v>
      </c>
      <c r="D57" s="1" t="str">
        <f>VLOOKUP(Table1[[#This Row],[DEVELOPMENT]],Data[],MATCH(Table1[[#Headers],[NRR]],Data[#Headers],0),FALSE)</f>
        <v>Zone 1</v>
      </c>
      <c r="E57" s="1" t="str">
        <f>VLOOKUP(Table1[[#This Row],[DEVELOPMENT]],Data[],MATCH(Table1[[#Headers],[Priority Level]],Data[#Headers],0),FALSE)</f>
        <v>$$</v>
      </c>
      <c r="F57" s="1" t="str">
        <f>VLOOKUP(Table1[[#This Row],[DEVELOPMENT]],Data[],MATCH(Table1[[#Headers],[RAD/PACT]],Data[#Headers],0),FALSE)</f>
        <v/>
      </c>
      <c r="G57" s="9" t="s">
        <v>68</v>
      </c>
      <c r="H57" s="75" t="s">
        <v>85</v>
      </c>
      <c r="I57" s="10"/>
      <c r="J57" s="10">
        <f t="shared" si="1"/>
        <v>374920</v>
      </c>
      <c r="K57" s="11">
        <v>374920</v>
      </c>
      <c r="L57" s="90">
        <v>2019</v>
      </c>
      <c r="M57" s="90">
        <v>2020</v>
      </c>
      <c r="N57" s="92">
        <v>2021</v>
      </c>
      <c r="O57" s="2" t="s">
        <v>53</v>
      </c>
      <c r="P57" s="2"/>
      <c r="Q57" s="3"/>
      <c r="R5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7" s="1" t="s">
        <v>86</v>
      </c>
      <c r="T57" s="16"/>
    </row>
    <row r="58" spans="1:20" x14ac:dyDescent="0.25">
      <c r="A58" s="13" t="str">
        <f>VLOOKUP(C58,Data[],2,FALSE)</f>
        <v>MANHATTAN</v>
      </c>
      <c r="B58" s="1"/>
      <c r="C58" s="1" t="s">
        <v>87</v>
      </c>
      <c r="D58" s="9" t="str">
        <f>VLOOKUP(Table1[[#This Row],[DEVELOPMENT]],Data[],MATCH(Table1[[#Headers],[NRR]],Data[#Headers],0),FALSE)</f>
        <v>Zone 3</v>
      </c>
      <c r="E58" s="66" t="str">
        <f>VLOOKUP(Table1[[#This Row],[DEVELOPMENT]],Data[],MATCH(Table1[[#Headers],[Priority Level]],Data[#Headers],0),FALSE)</f>
        <v>$</v>
      </c>
      <c r="F58" s="66">
        <f>VLOOKUP(Table1[[#This Row],[DEVELOPMENT]],Data[],MATCH(Table1[[#Headers],[RAD/PACT]],Data[#Headers],0),FALSE)</f>
        <v>2019</v>
      </c>
      <c r="G58" s="1" t="s">
        <v>68</v>
      </c>
      <c r="H58" s="7"/>
      <c r="I58" s="8"/>
      <c r="J58" s="8">
        <f t="shared" si="1"/>
        <v>0</v>
      </c>
      <c r="K58" s="3"/>
      <c r="L58" s="92"/>
      <c r="M58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58" s="90"/>
      <c r="O58" s="2"/>
      <c r="P58" s="2"/>
      <c r="Q58" s="11"/>
      <c r="R5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8" s="9"/>
      <c r="T58" s="16"/>
    </row>
    <row r="59" spans="1:20" x14ac:dyDescent="0.25">
      <c r="A59" s="13" t="str">
        <f>VLOOKUP(C59,Data[],2,FALSE)</f>
        <v>MANHATTAN</v>
      </c>
      <c r="B59" s="1"/>
      <c r="C59" s="1" t="s">
        <v>88</v>
      </c>
      <c r="D59" s="9" t="str">
        <f>VLOOKUP(Table1[[#This Row],[DEVELOPMENT]],Data[],MATCH(Table1[[#Headers],[NRR]],Data[#Headers],0),FALSE)</f>
        <v>Zone 3</v>
      </c>
      <c r="E59" s="66" t="str">
        <f>VLOOKUP(Table1[[#This Row],[DEVELOPMENT]],Data[],MATCH(Table1[[#Headers],[Priority Level]],Data[#Headers],0),FALSE)</f>
        <v>$</v>
      </c>
      <c r="F59" s="66">
        <f>VLOOKUP(Table1[[#This Row],[DEVELOPMENT]],Data[],MATCH(Table1[[#Headers],[RAD/PACT]],Data[#Headers],0),FALSE)</f>
        <v>2019</v>
      </c>
      <c r="G59" s="1" t="s">
        <v>68</v>
      </c>
      <c r="H59" s="7"/>
      <c r="I59" s="8"/>
      <c r="J59" s="8">
        <f t="shared" si="1"/>
        <v>0</v>
      </c>
      <c r="K59" s="3"/>
      <c r="L59" s="92"/>
      <c r="M59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59" s="90"/>
      <c r="O59" s="2"/>
      <c r="P59" s="2"/>
      <c r="Q59" s="11"/>
      <c r="R5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59" s="9"/>
      <c r="T59" s="16"/>
    </row>
    <row r="60" spans="1:20" x14ac:dyDescent="0.25">
      <c r="A60" s="13" t="str">
        <f>VLOOKUP(C60,Data[],2,FALSE)</f>
        <v>MANHATTAN</v>
      </c>
      <c r="B60" s="1"/>
      <c r="C60" s="1" t="s">
        <v>89</v>
      </c>
      <c r="D60" s="9" t="str">
        <f>VLOOKUP(Table1[[#This Row],[DEVELOPMENT]],Data[],MATCH(Table1[[#Headers],[NRR]],Data[#Headers],0),FALSE)</f>
        <v>Zone 3</v>
      </c>
      <c r="E60" s="66" t="str">
        <f>VLOOKUP(Table1[[#This Row],[DEVELOPMENT]],Data[],MATCH(Table1[[#Headers],[Priority Level]],Data[#Headers],0),FALSE)</f>
        <v>$$</v>
      </c>
      <c r="F60" s="66">
        <f>VLOOKUP(Table1[[#This Row],[DEVELOPMENT]],Data[],MATCH(Table1[[#Headers],[RAD/PACT]],Data[#Headers],0),FALSE)</f>
        <v>2020</v>
      </c>
      <c r="G60" s="1" t="s">
        <v>68</v>
      </c>
      <c r="H60" s="7"/>
      <c r="I60" s="8"/>
      <c r="J60" s="8">
        <f t="shared" si="1"/>
        <v>0</v>
      </c>
      <c r="K60" s="3"/>
      <c r="L60" s="92"/>
      <c r="M60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0" s="90"/>
      <c r="O60" s="2"/>
      <c r="P60" s="2"/>
      <c r="Q60" s="11"/>
      <c r="R6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0" s="9"/>
      <c r="T60" s="16"/>
    </row>
    <row r="61" spans="1:20" x14ac:dyDescent="0.25">
      <c r="A61" s="13" t="str">
        <f>VLOOKUP(C61,Data[],2,FALSE)</f>
        <v>BRONX</v>
      </c>
      <c r="B61" s="9" t="s">
        <v>25</v>
      </c>
      <c r="C61" s="9" t="s">
        <v>39</v>
      </c>
      <c r="D61" s="1" t="str">
        <f>VLOOKUP(Table1[[#This Row],[DEVELOPMENT]],Data[],MATCH(Table1[[#Headers],[NRR]],Data[#Headers],0),FALSE)</f>
        <v>Zone 1</v>
      </c>
      <c r="E61" s="1" t="str">
        <f>VLOOKUP(Table1[[#This Row],[DEVELOPMENT]],Data[],MATCH(Table1[[#Headers],[Priority Level]],Data[#Headers],0),FALSE)</f>
        <v>$</v>
      </c>
      <c r="F61" s="1">
        <f>VLOOKUP(Table1[[#This Row],[DEVELOPMENT]],Data[],MATCH(Table1[[#Headers],[RAD/PACT]],Data[#Headers],0),FALSE)</f>
        <v>2023</v>
      </c>
      <c r="G61" s="9" t="s">
        <v>68</v>
      </c>
      <c r="H61" s="12" t="s">
        <v>85</v>
      </c>
      <c r="I61" s="10"/>
      <c r="J61" s="10">
        <f t="shared" si="1"/>
        <v>374920</v>
      </c>
      <c r="K61" s="11">
        <v>374920</v>
      </c>
      <c r="L61" s="90">
        <v>2019</v>
      </c>
      <c r="M61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1" s="92"/>
      <c r="O61" s="2" t="s">
        <v>53</v>
      </c>
      <c r="P61" s="2"/>
      <c r="Q61" s="3"/>
      <c r="R6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1" s="1"/>
      <c r="T61" s="16"/>
    </row>
    <row r="62" spans="1:20" x14ac:dyDescent="0.25">
      <c r="A62" s="13" t="str">
        <f>VLOOKUP(C62,Data[],2,FALSE)</f>
        <v>MANHATTAN</v>
      </c>
      <c r="B62" s="1"/>
      <c r="C62" s="1" t="s">
        <v>90</v>
      </c>
      <c r="D62" s="1" t="str">
        <f>VLOOKUP(Table1[[#This Row],[DEVELOPMENT]],Data[],MATCH(Table1[[#Headers],[NRR]],Data[#Headers],0),FALSE)</f>
        <v>Zone 2</v>
      </c>
      <c r="E62" s="1" t="str">
        <f>VLOOKUP(Table1[[#This Row],[DEVELOPMENT]],Data[],MATCH(Table1[[#Headers],[Priority Level]],Data[#Headers],0),FALSE)</f>
        <v>$</v>
      </c>
      <c r="F62" s="1" t="str">
        <f>VLOOKUP(Table1[[#This Row],[DEVELOPMENT]],Data[],MATCH(Table1[[#Headers],[RAD/PACT]],Data[#Headers],0),FALSE)</f>
        <v/>
      </c>
      <c r="G62" s="9" t="s">
        <v>68</v>
      </c>
      <c r="H62" s="7"/>
      <c r="I62" s="8"/>
      <c r="J62" s="8"/>
      <c r="K62" s="3"/>
      <c r="L62" s="93"/>
      <c r="M62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2" s="90"/>
      <c r="O62" s="2"/>
      <c r="P62" s="2"/>
      <c r="Q62" s="11"/>
      <c r="R6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2" s="9"/>
      <c r="T62" s="16"/>
    </row>
    <row r="63" spans="1:20" x14ac:dyDescent="0.25">
      <c r="A63" s="13" t="str">
        <f>VLOOKUP(C63,Data[],2,FALSE)</f>
        <v>BRONX</v>
      </c>
      <c r="B63" s="1"/>
      <c r="C63" s="1" t="s">
        <v>91</v>
      </c>
      <c r="D63" s="9" t="str">
        <f>VLOOKUP(Table1[[#This Row],[DEVELOPMENT]],Data[],MATCH(Table1[[#Headers],[NRR]],Data[#Headers],0),FALSE)</f>
        <v>Zone 3</v>
      </c>
      <c r="E63" s="66" t="str">
        <f>VLOOKUP(Table1[[#This Row],[DEVELOPMENT]],Data[],MATCH(Table1[[#Headers],[Priority Level]],Data[#Headers],0),FALSE)</f>
        <v>$$</v>
      </c>
      <c r="F63" s="66" t="str">
        <f>VLOOKUP(Table1[[#This Row],[DEVELOPMENT]],Data[],MATCH(Table1[[#Headers],[RAD/PACT]],Data[#Headers],0),FALSE)</f>
        <v/>
      </c>
      <c r="G63" s="1" t="s">
        <v>68</v>
      </c>
      <c r="H63" s="7"/>
      <c r="I63" s="8"/>
      <c r="J63" s="8">
        <f>K63</f>
        <v>0</v>
      </c>
      <c r="K63" s="3"/>
      <c r="L63" s="92"/>
      <c r="M63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3" s="90"/>
      <c r="O63" s="2"/>
      <c r="P63" s="2"/>
      <c r="Q63" s="11"/>
      <c r="R6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3" s="9"/>
      <c r="T63" s="16"/>
    </row>
    <row r="64" spans="1:20" x14ac:dyDescent="0.25">
      <c r="A64" s="13" t="str">
        <f>VLOOKUP(C64,Data[],2,FALSE)</f>
        <v>MANHATTAN</v>
      </c>
      <c r="B64" s="1"/>
      <c r="C64" s="1" t="s">
        <v>92</v>
      </c>
      <c r="D64" s="1" t="str">
        <f>VLOOKUP(Table1[[#This Row],[DEVELOPMENT]],Data[],MATCH(Table1[[#Headers],[NRR]],Data[#Headers],0),FALSE)</f>
        <v>Zone 2</v>
      </c>
      <c r="E64" s="1" t="str">
        <f>VLOOKUP(Table1[[#This Row],[DEVELOPMENT]],Data[],MATCH(Table1[[#Headers],[Priority Level]],Data[#Headers],0),FALSE)</f>
        <v>$$$$</v>
      </c>
      <c r="F64" s="1" t="str">
        <f>VLOOKUP(Table1[[#This Row],[DEVELOPMENT]],Data[],MATCH(Table1[[#Headers],[RAD/PACT]],Data[#Headers],0),FALSE)</f>
        <v/>
      </c>
      <c r="G64" s="9" t="s">
        <v>68</v>
      </c>
      <c r="H64" s="7"/>
      <c r="I64" s="8"/>
      <c r="J64" s="8"/>
      <c r="K64" s="3"/>
      <c r="L64" s="93"/>
      <c r="M64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4" s="90"/>
      <c r="O64" s="2"/>
      <c r="P64" s="2"/>
      <c r="Q64" s="11"/>
      <c r="R6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4" s="9"/>
      <c r="T64" s="16"/>
    </row>
    <row r="65" spans="1:20" x14ac:dyDescent="0.25">
      <c r="A65" s="13" t="str">
        <f>VLOOKUP(C65,Data[],2,FALSE)</f>
        <v>MANHATTAN</v>
      </c>
      <c r="B65" s="1"/>
      <c r="C65" s="1" t="s">
        <v>93</v>
      </c>
      <c r="D65" s="9" t="str">
        <f>VLOOKUP(Table1[[#This Row],[DEVELOPMENT]],Data[],MATCH(Table1[[#Headers],[NRR]],Data[#Headers],0),FALSE)</f>
        <v>Zone 3</v>
      </c>
      <c r="E65" s="66" t="str">
        <f>VLOOKUP(Table1[[#This Row],[DEVELOPMENT]],Data[],MATCH(Table1[[#Headers],[Priority Level]],Data[#Headers],0),FALSE)</f>
        <v>$$</v>
      </c>
      <c r="F65" s="66">
        <f>VLOOKUP(Table1[[#This Row],[DEVELOPMENT]],Data[],MATCH(Table1[[#Headers],[RAD/PACT]],Data[#Headers],0),FALSE)</f>
        <v>2019</v>
      </c>
      <c r="G65" s="1" t="s">
        <v>68</v>
      </c>
      <c r="H65" s="7"/>
      <c r="I65" s="8"/>
      <c r="J65" s="8">
        <f>K65</f>
        <v>0</v>
      </c>
      <c r="K65" s="3"/>
      <c r="L65" s="92"/>
      <c r="M65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5" s="90"/>
      <c r="O65" s="2"/>
      <c r="P65" s="2"/>
      <c r="Q65" s="11"/>
      <c r="R6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5" s="9"/>
      <c r="T65" s="16"/>
    </row>
    <row r="66" spans="1:20" x14ac:dyDescent="0.25">
      <c r="A66" s="13" t="str">
        <f>VLOOKUP(C66,Data[],2,FALSE)</f>
        <v>MANHATTAN</v>
      </c>
      <c r="B66" s="1"/>
      <c r="C66" s="1" t="s">
        <v>94</v>
      </c>
      <c r="D66" s="9" t="str">
        <f>VLOOKUP(Table1[[#This Row],[DEVELOPMENT]],Data[],MATCH(Table1[[#Headers],[NRR]],Data[#Headers],0),FALSE)</f>
        <v>Zone 3</v>
      </c>
      <c r="E66" s="66" t="str">
        <f>VLOOKUP(Table1[[#This Row],[DEVELOPMENT]],Data[],MATCH(Table1[[#Headers],[Priority Level]],Data[#Headers],0),FALSE)</f>
        <v>$</v>
      </c>
      <c r="F66" s="66">
        <f>VLOOKUP(Table1[[#This Row],[DEVELOPMENT]],Data[],MATCH(Table1[[#Headers],[RAD/PACT]],Data[#Headers],0),FALSE)</f>
        <v>2019</v>
      </c>
      <c r="G66" s="1" t="s">
        <v>68</v>
      </c>
      <c r="H66" s="7"/>
      <c r="I66" s="8"/>
      <c r="J66" s="8">
        <f>K66</f>
        <v>0</v>
      </c>
      <c r="K66" s="3"/>
      <c r="L66" s="92"/>
      <c r="M66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6" s="90"/>
      <c r="O66" s="2"/>
      <c r="P66" s="2"/>
      <c r="Q66" s="11"/>
      <c r="R6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6" s="9"/>
      <c r="T66" s="16"/>
    </row>
    <row r="67" spans="1:20" x14ac:dyDescent="0.25">
      <c r="A67" s="13" t="str">
        <f>VLOOKUP(C67,Data[],2,FALSE)</f>
        <v>MANHATTAN</v>
      </c>
      <c r="B67" s="1"/>
      <c r="C67" s="1" t="s">
        <v>95</v>
      </c>
      <c r="D67" s="1" t="str">
        <f>VLOOKUP(Table1[[#This Row],[DEVELOPMENT]],Data[],MATCH(Table1[[#Headers],[NRR]],Data[#Headers],0),FALSE)</f>
        <v>Zone 2</v>
      </c>
      <c r="E67" s="1" t="str">
        <f>VLOOKUP(Table1[[#This Row],[DEVELOPMENT]],Data[],MATCH(Table1[[#Headers],[Priority Level]],Data[#Headers],0),FALSE)</f>
        <v>$$</v>
      </c>
      <c r="F67" s="1">
        <f>VLOOKUP(Table1[[#This Row],[DEVELOPMENT]],Data[],MATCH(Table1[[#Headers],[RAD/PACT]],Data[#Headers],0),FALSE)</f>
        <v>2026</v>
      </c>
      <c r="G67" s="9" t="s">
        <v>68</v>
      </c>
      <c r="H67" s="7"/>
      <c r="I67" s="8"/>
      <c r="J67" s="8"/>
      <c r="K67" s="3"/>
      <c r="L67" s="93"/>
      <c r="M67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7" s="90"/>
      <c r="O67" s="2"/>
      <c r="P67" s="2"/>
      <c r="Q67" s="11"/>
      <c r="R6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7" s="9"/>
      <c r="T67" s="16"/>
    </row>
    <row r="68" spans="1:20" x14ac:dyDescent="0.25">
      <c r="A68" s="13" t="str">
        <f>VLOOKUP(C68,Data[],2,FALSE)</f>
        <v>BRONX</v>
      </c>
      <c r="B68" s="1"/>
      <c r="C68" s="1" t="s">
        <v>96</v>
      </c>
      <c r="D68" s="9" t="str">
        <f>VLOOKUP(Table1[[#This Row],[DEVELOPMENT]],Data[],MATCH(Table1[[#Headers],[NRR]],Data[#Headers],0),FALSE)</f>
        <v>Zone 3</v>
      </c>
      <c r="E68" s="66" t="str">
        <f>VLOOKUP(Table1[[#This Row],[DEVELOPMENT]],Data[],MATCH(Table1[[#Headers],[Priority Level]],Data[#Headers],0),FALSE)</f>
        <v>$$</v>
      </c>
      <c r="F68" s="66">
        <f>VLOOKUP(Table1[[#This Row],[DEVELOPMENT]],Data[],MATCH(Table1[[#Headers],[RAD/PACT]],Data[#Headers],0),FALSE)</f>
        <v>2026</v>
      </c>
      <c r="G68" s="1" t="s">
        <v>68</v>
      </c>
      <c r="H68" s="7"/>
      <c r="I68" s="8"/>
      <c r="J68" s="8">
        <f>K68</f>
        <v>0</v>
      </c>
      <c r="K68" s="3"/>
      <c r="L68" s="92"/>
      <c r="M68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8" s="90"/>
      <c r="O68" s="2"/>
      <c r="P68" s="2"/>
      <c r="Q68" s="11"/>
      <c r="R6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8" s="9"/>
      <c r="T68" s="16"/>
    </row>
    <row r="69" spans="1:20" x14ac:dyDescent="0.25">
      <c r="A69" s="13" t="str">
        <f>VLOOKUP(C69,Data[],2,FALSE)</f>
        <v>BRONX</v>
      </c>
      <c r="B69" s="1"/>
      <c r="C69" s="1" t="s">
        <v>97</v>
      </c>
      <c r="D69" s="9" t="str">
        <f>VLOOKUP(Table1[[#This Row],[DEVELOPMENT]],Data[],MATCH(Table1[[#Headers],[NRR]],Data[#Headers],0),FALSE)</f>
        <v>Zone 3</v>
      </c>
      <c r="E69" s="66" t="str">
        <f>VLOOKUP(Table1[[#This Row],[DEVELOPMENT]],Data[],MATCH(Table1[[#Headers],[Priority Level]],Data[#Headers],0),FALSE)</f>
        <v>$$$</v>
      </c>
      <c r="F69" s="66">
        <f>VLOOKUP(Table1[[#This Row],[DEVELOPMENT]],Data[],MATCH(Table1[[#Headers],[RAD/PACT]],Data[#Headers],0),FALSE)</f>
        <v>2026</v>
      </c>
      <c r="G69" s="1" t="s">
        <v>68</v>
      </c>
      <c r="H69" s="7"/>
      <c r="I69" s="8"/>
      <c r="J69" s="8">
        <f>K69</f>
        <v>0</v>
      </c>
      <c r="K69" s="3"/>
      <c r="L69" s="92"/>
      <c r="M69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69" s="90"/>
      <c r="O69" s="2"/>
      <c r="P69" s="2"/>
      <c r="Q69" s="11"/>
      <c r="R6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69" s="9"/>
      <c r="T69" s="16"/>
    </row>
    <row r="70" spans="1:20" x14ac:dyDescent="0.25">
      <c r="A70" s="13" t="str">
        <f>VLOOKUP(C70,Data[],2,FALSE)</f>
        <v>BRONX</v>
      </c>
      <c r="B70" s="1"/>
      <c r="C70" s="1" t="s">
        <v>98</v>
      </c>
      <c r="D70" s="9" t="str">
        <f>VLOOKUP(Table1[[#This Row],[DEVELOPMENT]],Data[],MATCH(Table1[[#Headers],[NRR]],Data[#Headers],0),FALSE)</f>
        <v>Zone 3</v>
      </c>
      <c r="E70" s="66" t="str">
        <f>VLOOKUP(Table1[[#This Row],[DEVELOPMENT]],Data[],MATCH(Table1[[#Headers],[Priority Level]],Data[#Headers],0),FALSE)</f>
        <v>$</v>
      </c>
      <c r="F70" s="66">
        <f>VLOOKUP(Table1[[#This Row],[DEVELOPMENT]],Data[],MATCH(Table1[[#Headers],[RAD/PACT]],Data[#Headers],0),FALSE)</f>
        <v>2026</v>
      </c>
      <c r="G70" s="1" t="s">
        <v>68</v>
      </c>
      <c r="H70" s="7"/>
      <c r="I70" s="8"/>
      <c r="J70" s="8">
        <f>K70</f>
        <v>0</v>
      </c>
      <c r="K70" s="3"/>
      <c r="L70" s="92"/>
      <c r="M70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70" s="90"/>
      <c r="O70" s="2"/>
      <c r="P70" s="2"/>
      <c r="Q70" s="11"/>
      <c r="R7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70" s="9"/>
      <c r="T70" s="16"/>
    </row>
    <row r="71" spans="1:20" x14ac:dyDescent="0.25">
      <c r="A71" s="13" t="str">
        <f>VLOOKUP(C71,Data[],2,FALSE)</f>
        <v>BRONX</v>
      </c>
      <c r="B71" s="1"/>
      <c r="C71" s="1" t="s">
        <v>99</v>
      </c>
      <c r="D71" s="9" t="str">
        <f>VLOOKUP(Table1[[#This Row],[DEVELOPMENT]],Data[],MATCH(Table1[[#Headers],[NRR]],Data[#Headers],0),FALSE)</f>
        <v>Zone 3</v>
      </c>
      <c r="E71" s="66" t="str">
        <f>VLOOKUP(Table1[[#This Row],[DEVELOPMENT]],Data[],MATCH(Table1[[#Headers],[Priority Level]],Data[#Headers],0),FALSE)</f>
        <v>$</v>
      </c>
      <c r="F71" s="66">
        <f>VLOOKUP(Table1[[#This Row],[DEVELOPMENT]],Data[],MATCH(Table1[[#Headers],[RAD/PACT]],Data[#Headers],0),FALSE)</f>
        <v>2026</v>
      </c>
      <c r="G71" s="1" t="s">
        <v>68</v>
      </c>
      <c r="H71" s="7"/>
      <c r="I71" s="8"/>
      <c r="J71" s="8">
        <f>K71</f>
        <v>0</v>
      </c>
      <c r="K71" s="3"/>
      <c r="L71" s="92"/>
      <c r="M71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71" s="90"/>
      <c r="O71" s="2"/>
      <c r="P71" s="2"/>
      <c r="Q71" s="11"/>
      <c r="R7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71" s="9"/>
      <c r="T71" s="16"/>
    </row>
    <row r="72" spans="1:20" x14ac:dyDescent="0.25">
      <c r="A72" s="13" t="str">
        <f>VLOOKUP(C72,Data[],2,FALSE)</f>
        <v>MANHATTAN</v>
      </c>
      <c r="B72" s="1"/>
      <c r="C72" s="1" t="s">
        <v>100</v>
      </c>
      <c r="D72" s="1" t="str">
        <f>VLOOKUP(Table1[[#This Row],[DEVELOPMENT]],Data[],MATCH(Table1[[#Headers],[NRR]],Data[#Headers],0),FALSE)</f>
        <v>Zone 2</v>
      </c>
      <c r="E72" s="1" t="str">
        <f>VLOOKUP(Table1[[#This Row],[DEVELOPMENT]],Data[],MATCH(Table1[[#Headers],[Priority Level]],Data[#Headers],0),FALSE)</f>
        <v>$</v>
      </c>
      <c r="F72" s="1" t="str">
        <f>VLOOKUP(Table1[[#This Row],[DEVELOPMENT]],Data[],MATCH(Table1[[#Headers],[RAD/PACT]],Data[#Headers],0),FALSE)</f>
        <v/>
      </c>
      <c r="G72" s="9" t="s">
        <v>68</v>
      </c>
      <c r="H72" s="7"/>
      <c r="I72" s="8"/>
      <c r="J72" s="8"/>
      <c r="K72" s="3"/>
      <c r="L72" s="93"/>
      <c r="M72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72" s="90"/>
      <c r="O72" s="2"/>
      <c r="P72" s="2"/>
      <c r="Q72" s="11"/>
      <c r="R7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72" s="9"/>
      <c r="T72" s="16"/>
    </row>
    <row r="73" spans="1:20" x14ac:dyDescent="0.25">
      <c r="A73" s="13" t="str">
        <f>VLOOKUP(C73,Data[],2,FALSE)</f>
        <v>MANHATTAN</v>
      </c>
      <c r="B73" s="1"/>
      <c r="C73" s="1" t="s">
        <v>101</v>
      </c>
      <c r="D73" s="9" t="str">
        <f>VLOOKUP(Table1[[#This Row],[DEVELOPMENT]],Data[],MATCH(Table1[[#Headers],[NRR]],Data[#Headers],0),FALSE)</f>
        <v>Zone 3</v>
      </c>
      <c r="E73" s="66" t="str">
        <f>VLOOKUP(Table1[[#This Row],[DEVELOPMENT]],Data[],MATCH(Table1[[#Headers],[Priority Level]],Data[#Headers],0),FALSE)</f>
        <v>$</v>
      </c>
      <c r="F73" s="66">
        <f>VLOOKUP(Table1[[#This Row],[DEVELOPMENT]],Data[],MATCH(Table1[[#Headers],[RAD/PACT]],Data[#Headers],0),FALSE)</f>
        <v>2019</v>
      </c>
      <c r="G73" s="1" t="s">
        <v>68</v>
      </c>
      <c r="H73" s="7"/>
      <c r="I73" s="8"/>
      <c r="J73" s="8">
        <f>K73</f>
        <v>0</v>
      </c>
      <c r="K73" s="3"/>
      <c r="L73" s="92"/>
      <c r="M73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73" s="90"/>
      <c r="O73" s="2"/>
      <c r="P73" s="2"/>
      <c r="Q73" s="11"/>
      <c r="R7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73" s="9"/>
      <c r="T73" s="16"/>
    </row>
    <row r="74" spans="1:20" x14ac:dyDescent="0.25">
      <c r="A74" s="13" t="str">
        <f>VLOOKUP(C74,Data[],2,FALSE)</f>
        <v>MANHATTAN</v>
      </c>
      <c r="B74" s="1"/>
      <c r="C74" s="1" t="s">
        <v>102</v>
      </c>
      <c r="D74" s="1" t="str">
        <f>VLOOKUP(Table1[[#This Row],[DEVELOPMENT]],Data[],MATCH(Table1[[#Headers],[NRR]],Data[#Headers],0),FALSE)</f>
        <v>Zone 2</v>
      </c>
      <c r="E74" s="1" t="str">
        <f>VLOOKUP(Table1[[#This Row],[DEVELOPMENT]],Data[],MATCH(Table1[[#Headers],[Priority Level]],Data[#Headers],0),FALSE)</f>
        <v>$</v>
      </c>
      <c r="F74" s="1" t="str">
        <f>VLOOKUP(Table1[[#This Row],[DEVELOPMENT]],Data[],MATCH(Table1[[#Headers],[RAD/PACT]],Data[#Headers],0),FALSE)</f>
        <v/>
      </c>
      <c r="G74" s="9" t="s">
        <v>68</v>
      </c>
      <c r="H74" s="7"/>
      <c r="I74" s="8"/>
      <c r="J74" s="8"/>
      <c r="K74" s="3"/>
      <c r="L74" s="93"/>
      <c r="M74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74" s="90"/>
      <c r="O74" s="2"/>
      <c r="P74" s="2"/>
      <c r="Q74" s="11"/>
      <c r="R7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74" s="9"/>
      <c r="T74" s="16"/>
    </row>
    <row r="75" spans="1:20" x14ac:dyDescent="0.25">
      <c r="A75" s="13" t="str">
        <f>VLOOKUP(C75,Data[],2,FALSE)</f>
        <v>MANHATTAN</v>
      </c>
      <c r="B75" s="9" t="s">
        <v>25</v>
      </c>
      <c r="C75" s="9" t="s">
        <v>36</v>
      </c>
      <c r="D75" s="1" t="str">
        <f>VLOOKUP(Table1[[#This Row],[DEVELOPMENT]],Data[],MATCH(Table1[[#Headers],[NRR]],Data[#Headers],0),FALSE)</f>
        <v>Zone 1</v>
      </c>
      <c r="E75" s="1" t="str">
        <f>VLOOKUP(Table1[[#This Row],[DEVELOPMENT]],Data[],MATCH(Table1[[#Headers],[Priority Level]],Data[#Headers],0),FALSE)</f>
        <v>$$</v>
      </c>
      <c r="F75" s="1" t="str">
        <f>VLOOKUP(Table1[[#This Row],[DEVELOPMENT]],Data[],MATCH(Table1[[#Headers],[RAD/PACT]],Data[#Headers],0),FALSE)</f>
        <v/>
      </c>
      <c r="G75" s="9" t="s">
        <v>49</v>
      </c>
      <c r="H75" s="75" t="s">
        <v>33</v>
      </c>
      <c r="I75" s="10"/>
      <c r="J75" s="10">
        <f>K75</f>
        <v>739529.70000000007</v>
      </c>
      <c r="K75" s="11">
        <v>739529.70000000007</v>
      </c>
      <c r="L75" s="91">
        <v>2019</v>
      </c>
      <c r="M75" s="90">
        <v>2020</v>
      </c>
      <c r="N75" s="92">
        <v>2020</v>
      </c>
      <c r="O75" s="2" t="s">
        <v>53</v>
      </c>
      <c r="P75" s="2"/>
      <c r="Q75" s="3"/>
      <c r="R7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1875140.9186071779</v>
      </c>
      <c r="S75" s="1" t="s">
        <v>30</v>
      </c>
      <c r="T75" s="16"/>
    </row>
    <row r="76" spans="1:20" x14ac:dyDescent="0.25">
      <c r="A76" s="13" t="str">
        <f>VLOOKUP(C76,Data[],2,FALSE)</f>
        <v>MANHATTAN</v>
      </c>
      <c r="B76" s="9" t="s">
        <v>25</v>
      </c>
      <c r="C76" s="9" t="s">
        <v>103</v>
      </c>
      <c r="D76" s="1" t="str">
        <f>VLOOKUP(Table1[[#This Row],[DEVELOPMENT]],Data[],MATCH(Table1[[#Headers],[NRR]],Data[#Headers],0),FALSE)</f>
        <v>Zone 1</v>
      </c>
      <c r="E76" s="1" t="str">
        <f>VLOOKUP(Table1[[#This Row],[DEVELOPMENT]],Data[],MATCH(Table1[[#Headers],[Priority Level]],Data[#Headers],0),FALSE)</f>
        <v>$</v>
      </c>
      <c r="F76" s="1" t="str">
        <f>VLOOKUP(Table1[[#This Row],[DEVELOPMENT]],Data[],MATCH(Table1[[#Headers],[RAD/PACT]],Data[#Headers],0),FALSE)</f>
        <v/>
      </c>
      <c r="G76" s="9" t="s">
        <v>49</v>
      </c>
      <c r="H76" s="75" t="s">
        <v>33</v>
      </c>
      <c r="I76" s="10"/>
      <c r="J76" s="10">
        <f>K76</f>
        <v>97310</v>
      </c>
      <c r="K76" s="11">
        <v>97310</v>
      </c>
      <c r="L76" s="91">
        <v>2019</v>
      </c>
      <c r="M76" s="90">
        <v>2020</v>
      </c>
      <c r="N76" s="92">
        <v>2020</v>
      </c>
      <c r="O76" s="2" t="s">
        <v>53</v>
      </c>
      <c r="P76" s="2"/>
      <c r="Q76" s="3"/>
      <c r="R7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256091.65616175026</v>
      </c>
      <c r="S76" s="1" t="s">
        <v>30</v>
      </c>
      <c r="T76" s="16"/>
    </row>
    <row r="77" spans="1:20" x14ac:dyDescent="0.25">
      <c r="A77" s="13" t="str">
        <f>VLOOKUP(C77,Data[],2,FALSE)</f>
        <v>MANHATTAN</v>
      </c>
      <c r="B77" s="9" t="s">
        <v>25</v>
      </c>
      <c r="C77" s="9" t="s">
        <v>55</v>
      </c>
      <c r="D77" s="1" t="str">
        <f>VLOOKUP(Table1[[#This Row],[DEVELOPMENT]],Data[],MATCH(Table1[[#Headers],[NRR]],Data[#Headers],0),FALSE)</f>
        <v>Zone 1</v>
      </c>
      <c r="E77" s="1" t="str">
        <f>VLOOKUP(Table1[[#This Row],[DEVELOPMENT]],Data[],MATCH(Table1[[#Headers],[Priority Level]],Data[#Headers],0),FALSE)</f>
        <v>$</v>
      </c>
      <c r="F77" s="1" t="str">
        <f>VLOOKUP(Table1[[#This Row],[DEVELOPMENT]],Data[],MATCH(Table1[[#Headers],[RAD/PACT]],Data[#Headers],0),FALSE)</f>
        <v/>
      </c>
      <c r="G77" s="9" t="s">
        <v>49</v>
      </c>
      <c r="H77" s="75" t="s">
        <v>28</v>
      </c>
      <c r="I77" s="10">
        <f>K77</f>
        <v>806574.97499999998</v>
      </c>
      <c r="J77" s="10"/>
      <c r="K77" s="11">
        <v>806574.97499999998</v>
      </c>
      <c r="L77" s="91">
        <v>2019</v>
      </c>
      <c r="M77" s="90">
        <v>2020</v>
      </c>
      <c r="N77" s="92">
        <v>2021</v>
      </c>
      <c r="O77" s="2" t="s">
        <v>53</v>
      </c>
      <c r="P77" s="2"/>
      <c r="Q77" s="3"/>
      <c r="R7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2047014.5133466078</v>
      </c>
      <c r="S77" s="1" t="s">
        <v>30</v>
      </c>
      <c r="T77" s="16"/>
    </row>
    <row r="78" spans="1:20" x14ac:dyDescent="0.25">
      <c r="A78" s="13" t="str">
        <f>VLOOKUP(C78,Data[],2,FALSE)</f>
        <v>MANHATTAN</v>
      </c>
      <c r="B78" s="9" t="s">
        <v>25</v>
      </c>
      <c r="C78" s="9" t="s">
        <v>104</v>
      </c>
      <c r="D78" s="1" t="str">
        <f>VLOOKUP(Table1[[#This Row],[DEVELOPMENT]],Data[],MATCH(Table1[[#Headers],[NRR]],Data[#Headers],0),FALSE)</f>
        <v>Zone 1</v>
      </c>
      <c r="E78" s="1" t="str">
        <f>VLOOKUP(Table1[[#This Row],[DEVELOPMENT]],Data[],MATCH(Table1[[#Headers],[Priority Level]],Data[#Headers],0),FALSE)</f>
        <v>$$</v>
      </c>
      <c r="F78" s="1" t="str">
        <f>VLOOKUP(Table1[[#This Row],[DEVELOPMENT]],Data[],MATCH(Table1[[#Headers],[RAD/PACT]],Data[#Headers],0),FALSE)</f>
        <v/>
      </c>
      <c r="G78" s="9" t="s">
        <v>49</v>
      </c>
      <c r="H78" s="75" t="s">
        <v>33</v>
      </c>
      <c r="I78" s="10"/>
      <c r="J78" s="10">
        <f>K78</f>
        <v>452996.57512643072</v>
      </c>
      <c r="K78" s="11">
        <v>452996.57512643072</v>
      </c>
      <c r="L78" s="91">
        <v>2019</v>
      </c>
      <c r="M78" s="90">
        <v>2020</v>
      </c>
      <c r="N78" s="92">
        <v>2021</v>
      </c>
      <c r="O78" s="2" t="s">
        <v>53</v>
      </c>
      <c r="P78" s="2"/>
      <c r="Q78" s="3"/>
      <c r="R7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991710.64164650941</v>
      </c>
      <c r="S78" s="1" t="s">
        <v>30</v>
      </c>
      <c r="T78" s="16"/>
    </row>
    <row r="79" spans="1:20" x14ac:dyDescent="0.25">
      <c r="A79" s="13" t="str">
        <f>VLOOKUP(C79,Data[],2,FALSE)</f>
        <v>BRONX</v>
      </c>
      <c r="B79" s="1"/>
      <c r="C79" s="1" t="s">
        <v>105</v>
      </c>
      <c r="D79" s="1" t="str">
        <f>VLOOKUP(Table1[[#This Row],[DEVELOPMENT]],Data[],MATCH(Table1[[#Headers],[NRR]],Data[#Headers],0),FALSE)</f>
        <v>Zone 3</v>
      </c>
      <c r="E79" s="1" t="str">
        <f>VLOOKUP(Table1[[#This Row],[DEVELOPMENT]],Data[],MATCH(Table1[[#Headers],[Priority Level]],Data[#Headers],0),FALSE)</f>
        <v>$</v>
      </c>
      <c r="F79" s="1">
        <f>VLOOKUP(Table1[[#This Row],[DEVELOPMENT]],Data[],MATCH(Table1[[#Headers],[RAD/PACT]],Data[#Headers],0),FALSE)</f>
        <v>2026</v>
      </c>
      <c r="G79" s="1" t="s">
        <v>106</v>
      </c>
      <c r="H79" s="7"/>
      <c r="I79" s="8"/>
      <c r="J79" s="8"/>
      <c r="K79" s="3"/>
      <c r="L79" s="93"/>
      <c r="M79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79" s="90"/>
      <c r="O79" s="2"/>
      <c r="P79" s="2"/>
      <c r="Q79" s="11"/>
      <c r="R79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79" s="9"/>
      <c r="T79" s="16"/>
    </row>
    <row r="80" spans="1:20" x14ac:dyDescent="0.25">
      <c r="A80" s="13" t="str">
        <f>VLOOKUP(C80,Data[],2,FALSE)</f>
        <v>MANHATTAN</v>
      </c>
      <c r="B80" s="9" t="s">
        <v>25</v>
      </c>
      <c r="C80" s="9" t="s">
        <v>62</v>
      </c>
      <c r="D80" s="1" t="str">
        <f>VLOOKUP(Table1[[#This Row],[DEVELOPMENT]],Data[],MATCH(Table1[[#Headers],[NRR]],Data[#Headers],0),FALSE)</f>
        <v>Zone 1</v>
      </c>
      <c r="E80" s="1" t="str">
        <f>VLOOKUP(Table1[[#This Row],[DEVELOPMENT]],Data[],MATCH(Table1[[#Headers],[Priority Level]],Data[#Headers],0),FALSE)</f>
        <v>$$</v>
      </c>
      <c r="F80" s="1" t="str">
        <f>VLOOKUP(Table1[[#This Row],[DEVELOPMENT]],Data[],MATCH(Table1[[#Headers],[RAD/PACT]],Data[#Headers],0),FALSE)</f>
        <v/>
      </c>
      <c r="G80" s="9" t="s">
        <v>106</v>
      </c>
      <c r="H80" s="75" t="s">
        <v>85</v>
      </c>
      <c r="I80" s="10"/>
      <c r="J80" s="10">
        <f>K80</f>
        <v>74191</v>
      </c>
      <c r="K80" s="11">
        <v>74191</v>
      </c>
      <c r="L80" s="90">
        <v>2019</v>
      </c>
      <c r="M80" s="90">
        <v>2020</v>
      </c>
      <c r="N80" s="92">
        <v>2021</v>
      </c>
      <c r="O80" s="2" t="s">
        <v>53</v>
      </c>
      <c r="P80" s="2"/>
      <c r="Q80" s="3"/>
      <c r="R80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80" s="1" t="s">
        <v>86</v>
      </c>
      <c r="T80" s="16"/>
    </row>
    <row r="81" spans="1:20" x14ac:dyDescent="0.25">
      <c r="A81" s="13" t="str">
        <f>VLOOKUP(C81,Data[],2,FALSE)</f>
        <v>MANHATTAN</v>
      </c>
      <c r="B81" s="1"/>
      <c r="C81" s="1" t="s">
        <v>93</v>
      </c>
      <c r="D81" s="1" t="str">
        <f>VLOOKUP(Table1[[#This Row],[DEVELOPMENT]],Data[],MATCH(Table1[[#Headers],[NRR]],Data[#Headers],0),FALSE)</f>
        <v>Zone 3</v>
      </c>
      <c r="E81" s="1" t="str">
        <f>VLOOKUP(Table1[[#This Row],[DEVELOPMENT]],Data[],MATCH(Table1[[#Headers],[Priority Level]],Data[#Headers],0),FALSE)</f>
        <v>$$</v>
      </c>
      <c r="F81" s="1">
        <f>VLOOKUP(Table1[[#This Row],[DEVELOPMENT]],Data[],MATCH(Table1[[#Headers],[RAD/PACT]],Data[#Headers],0),FALSE)</f>
        <v>2019</v>
      </c>
      <c r="G81" s="1" t="s">
        <v>106</v>
      </c>
      <c r="H81" s="7"/>
      <c r="I81" s="8"/>
      <c r="J81" s="8"/>
      <c r="K81" s="3"/>
      <c r="L81" s="93"/>
      <c r="M81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81" s="90"/>
      <c r="O81" s="2"/>
      <c r="P81" s="2"/>
      <c r="Q81" s="11"/>
      <c r="R8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81" s="9"/>
      <c r="T81" s="16"/>
    </row>
    <row r="82" spans="1:20" x14ac:dyDescent="0.25">
      <c r="A82" s="13" t="str">
        <f>VLOOKUP(C82,Data[],2,FALSE)</f>
        <v>MANHATTAN</v>
      </c>
      <c r="B82" s="1"/>
      <c r="C82" s="1" t="s">
        <v>94</v>
      </c>
      <c r="D82" s="1" t="str">
        <f>VLOOKUP(Table1[[#This Row],[DEVELOPMENT]],Data[],MATCH(Table1[[#Headers],[NRR]],Data[#Headers],0),FALSE)</f>
        <v>Zone 3</v>
      </c>
      <c r="E82" s="1" t="str">
        <f>VLOOKUP(Table1[[#This Row],[DEVELOPMENT]],Data[],MATCH(Table1[[#Headers],[Priority Level]],Data[#Headers],0),FALSE)</f>
        <v>$</v>
      </c>
      <c r="F82" s="1">
        <f>VLOOKUP(Table1[[#This Row],[DEVELOPMENT]],Data[],MATCH(Table1[[#Headers],[RAD/PACT]],Data[#Headers],0),FALSE)</f>
        <v>2019</v>
      </c>
      <c r="G82" s="1" t="s">
        <v>106</v>
      </c>
      <c r="H82" s="7"/>
      <c r="I82" s="8"/>
      <c r="J82" s="8"/>
      <c r="K82" s="3"/>
      <c r="L82" s="93"/>
      <c r="M82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82" s="90"/>
      <c r="O82" s="2"/>
      <c r="P82" s="2"/>
      <c r="Q82" s="11"/>
      <c r="R8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82" s="9"/>
      <c r="T82" s="16"/>
    </row>
    <row r="83" spans="1:20" x14ac:dyDescent="0.25">
      <c r="A83" s="13" t="str">
        <f>VLOOKUP(C83,Data[],2,FALSE)</f>
        <v>MANHATTAN</v>
      </c>
      <c r="B83" s="1"/>
      <c r="C83" s="1" t="s">
        <v>107</v>
      </c>
      <c r="D83" s="1" t="str">
        <f>VLOOKUP(Table1[[#This Row],[DEVELOPMENT]],Data[],MATCH(Table1[[#Headers],[NRR]],Data[#Headers],0),FALSE)</f>
        <v>Zone 2</v>
      </c>
      <c r="E83" s="1" t="str">
        <f>VLOOKUP(Table1[[#This Row],[DEVELOPMENT]],Data[],MATCH(Table1[[#Headers],[Priority Level]],Data[#Headers],0),FALSE)</f>
        <v>$$</v>
      </c>
      <c r="F83" s="1" t="str">
        <f>VLOOKUP(Table1[[#This Row],[DEVELOPMENT]],Data[],MATCH(Table1[[#Headers],[RAD/PACT]],Data[#Headers],0),FALSE)</f>
        <v/>
      </c>
      <c r="G83" s="9" t="s">
        <v>106</v>
      </c>
      <c r="H83" s="7"/>
      <c r="I83" s="8"/>
      <c r="J83" s="8"/>
      <c r="K83" s="3"/>
      <c r="L83" s="93"/>
      <c r="M83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147306.78899999999</v>
      </c>
      <c r="N83" s="90"/>
      <c r="O83" s="2"/>
      <c r="P83" s="2"/>
      <c r="Q83" s="11"/>
      <c r="R83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83" s="9"/>
      <c r="T83" s="16"/>
    </row>
    <row r="84" spans="1:20" x14ac:dyDescent="0.25">
      <c r="A84" s="13" t="str">
        <f>VLOOKUP(C84,Data[],2,FALSE)</f>
        <v>MANHATTAN</v>
      </c>
      <c r="B84" s="9" t="s">
        <v>25</v>
      </c>
      <c r="C84" s="9" t="s">
        <v>65</v>
      </c>
      <c r="D84" s="1" t="str">
        <f>VLOOKUP(Table1[[#This Row],[DEVELOPMENT]],Data[],MATCH(Table1[[#Headers],[NRR]],Data[#Headers],0),FALSE)</f>
        <v>Zone 1</v>
      </c>
      <c r="E84" s="1" t="str">
        <f>VLOOKUP(Table1[[#This Row],[DEVELOPMENT]],Data[],MATCH(Table1[[#Headers],[Priority Level]],Data[#Headers],0),FALSE)</f>
        <v>$</v>
      </c>
      <c r="F84" s="1" t="str">
        <f>VLOOKUP(Table1[[#This Row],[DEVELOPMENT]],Data[],MATCH(Table1[[#Headers],[RAD/PACT]],Data[#Headers],0),FALSE)</f>
        <v/>
      </c>
      <c r="G84" s="9" t="s">
        <v>106</v>
      </c>
      <c r="H84" s="75" t="s">
        <v>85</v>
      </c>
      <c r="I84" s="10"/>
      <c r="J84" s="10">
        <f>K84</f>
        <v>74191</v>
      </c>
      <c r="K84" s="11">
        <v>74191</v>
      </c>
      <c r="L84" s="90">
        <v>2019</v>
      </c>
      <c r="M84" s="90">
        <v>2020</v>
      </c>
      <c r="N84" s="92">
        <v>2021</v>
      </c>
      <c r="O84" s="2" t="s">
        <v>53</v>
      </c>
      <c r="P84" s="2"/>
      <c r="Q84" s="3"/>
      <c r="R84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84" s="1" t="s">
        <v>86</v>
      </c>
      <c r="T84" s="16"/>
    </row>
    <row r="85" spans="1:20" x14ac:dyDescent="0.25">
      <c r="A85" s="13" t="str">
        <f>VLOOKUP(C85,Data[],2,FALSE)</f>
        <v>BRONX</v>
      </c>
      <c r="B85" s="1"/>
      <c r="C85" s="1" t="s">
        <v>96</v>
      </c>
      <c r="D85" s="1" t="str">
        <f>VLOOKUP(Table1[[#This Row],[DEVELOPMENT]],Data[],MATCH(Table1[[#Headers],[NRR]],Data[#Headers],0),FALSE)</f>
        <v>Zone 3</v>
      </c>
      <c r="E85" s="1" t="str">
        <f>VLOOKUP(Table1[[#This Row],[DEVELOPMENT]],Data[],MATCH(Table1[[#Headers],[Priority Level]],Data[#Headers],0),FALSE)</f>
        <v>$$</v>
      </c>
      <c r="F85" s="1">
        <f>VLOOKUP(Table1[[#This Row],[DEVELOPMENT]],Data[],MATCH(Table1[[#Headers],[RAD/PACT]],Data[#Headers],0),FALSE)</f>
        <v>2026</v>
      </c>
      <c r="G85" s="1" t="s">
        <v>106</v>
      </c>
      <c r="H85" s="7"/>
      <c r="I85" s="8"/>
      <c r="J85" s="8"/>
      <c r="K85" s="3"/>
      <c r="L85" s="93"/>
      <c r="M85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85" s="90"/>
      <c r="O85" s="2"/>
      <c r="P85" s="2"/>
      <c r="Q85" s="11"/>
      <c r="R85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85" s="9"/>
      <c r="T85" s="16"/>
    </row>
    <row r="86" spans="1:20" x14ac:dyDescent="0.25">
      <c r="A86" s="13" t="str">
        <f>VLOOKUP(C86,Data[],2,FALSE)</f>
        <v>BRONX</v>
      </c>
      <c r="B86" s="1"/>
      <c r="C86" s="1" t="s">
        <v>97</v>
      </c>
      <c r="D86" s="1" t="str">
        <f>VLOOKUP(Table1[[#This Row],[DEVELOPMENT]],Data[],MATCH(Table1[[#Headers],[NRR]],Data[#Headers],0),FALSE)</f>
        <v>Zone 3</v>
      </c>
      <c r="E86" s="1" t="str">
        <f>VLOOKUP(Table1[[#This Row],[DEVELOPMENT]],Data[],MATCH(Table1[[#Headers],[Priority Level]],Data[#Headers],0),FALSE)</f>
        <v>$$$</v>
      </c>
      <c r="F86" s="1">
        <f>VLOOKUP(Table1[[#This Row],[DEVELOPMENT]],Data[],MATCH(Table1[[#Headers],[RAD/PACT]],Data[#Headers],0),FALSE)</f>
        <v>2026</v>
      </c>
      <c r="G86" s="1" t="s">
        <v>106</v>
      </c>
      <c r="H86" s="7"/>
      <c r="I86" s="8"/>
      <c r="J86" s="8"/>
      <c r="K86" s="3"/>
      <c r="L86" s="93"/>
      <c r="M86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86" s="90"/>
      <c r="O86" s="2"/>
      <c r="P86" s="2"/>
      <c r="Q86" s="11"/>
      <c r="R86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86" s="9"/>
      <c r="T86" s="16"/>
    </row>
    <row r="87" spans="1:20" x14ac:dyDescent="0.25">
      <c r="A87" s="13" t="str">
        <f>VLOOKUP(C87,Data[],2,FALSE)</f>
        <v>BRONX</v>
      </c>
      <c r="B87" s="1"/>
      <c r="C87" s="1" t="s">
        <v>99</v>
      </c>
      <c r="D87" s="1" t="str">
        <f>VLOOKUP(Table1[[#This Row],[DEVELOPMENT]],Data[],MATCH(Table1[[#Headers],[NRR]],Data[#Headers],0),FALSE)</f>
        <v>Zone 3</v>
      </c>
      <c r="E87" s="1" t="str">
        <f>VLOOKUP(Table1[[#This Row],[DEVELOPMENT]],Data[],MATCH(Table1[[#Headers],[Priority Level]],Data[#Headers],0),FALSE)</f>
        <v>$</v>
      </c>
      <c r="F87" s="1">
        <f>VLOOKUP(Table1[[#This Row],[DEVELOPMENT]],Data[],MATCH(Table1[[#Headers],[RAD/PACT]],Data[#Headers],0),FALSE)</f>
        <v>2026</v>
      </c>
      <c r="G87" s="1" t="s">
        <v>106</v>
      </c>
      <c r="H87" s="7"/>
      <c r="I87" s="8"/>
      <c r="J87" s="8"/>
      <c r="K87" s="3"/>
      <c r="L87" s="93"/>
      <c r="M87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87" s="90"/>
      <c r="O87" s="2"/>
      <c r="P87" s="2"/>
      <c r="Q87" s="11"/>
      <c r="R87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87" s="9"/>
      <c r="T87" s="16"/>
    </row>
    <row r="88" spans="1:20" x14ac:dyDescent="0.25">
      <c r="A88" s="13" t="str">
        <f>VLOOKUP(C88,Data[],2,FALSE)</f>
        <v>MANHATTAN</v>
      </c>
      <c r="B88" s="9" t="s">
        <v>25</v>
      </c>
      <c r="C88" s="9" t="s">
        <v>56</v>
      </c>
      <c r="D88" s="1" t="str">
        <f>VLOOKUP(Table1[[#This Row],[DEVELOPMENT]],Data[],MATCH(Table1[[#Headers],[NRR]],Data[#Headers],0),FALSE)</f>
        <v>Zone 1</v>
      </c>
      <c r="E88" s="1" t="str">
        <f>VLOOKUP(Table1[[#This Row],[DEVELOPMENT]],Data[],MATCH(Table1[[#Headers],[Priority Level]],Data[#Headers],0),FALSE)</f>
        <v>$$</v>
      </c>
      <c r="F88" s="1" t="str">
        <f>VLOOKUP(Table1[[#This Row],[DEVELOPMENT]],Data[],MATCH(Table1[[#Headers],[RAD/PACT]],Data[#Headers],0),FALSE)</f>
        <v/>
      </c>
      <c r="G88" s="9" t="s">
        <v>106</v>
      </c>
      <c r="H88" s="75" t="s">
        <v>85</v>
      </c>
      <c r="I88" s="10"/>
      <c r="J88" s="10">
        <f>K88</f>
        <v>3412786</v>
      </c>
      <c r="K88" s="11">
        <v>3412786</v>
      </c>
      <c r="L88" s="90">
        <v>2019</v>
      </c>
      <c r="M88" s="90">
        <v>2020</v>
      </c>
      <c r="N88" s="92">
        <v>2021</v>
      </c>
      <c r="O88" s="2" t="s">
        <v>53</v>
      </c>
      <c r="P88" s="2"/>
      <c r="Q88" s="3"/>
      <c r="R88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88" s="1" t="s">
        <v>86</v>
      </c>
      <c r="T88" s="16"/>
    </row>
    <row r="89" spans="1:20" x14ac:dyDescent="0.25">
      <c r="A89" s="13" t="str">
        <f>VLOOKUP(C89,Data[],2,FALSE)</f>
        <v>MANHATTAN</v>
      </c>
      <c r="B89" s="1" t="s">
        <v>25</v>
      </c>
      <c r="C89" s="1" t="s">
        <v>108</v>
      </c>
      <c r="D89" s="1" t="str">
        <f>VLOOKUP(Table1[[#This Row],[DEVELOPMENT]],Data[],MATCH(Table1[[#Headers],[NRR]],Data[#Headers],0),FALSE)</f>
        <v>Zone 1</v>
      </c>
      <c r="E89" s="1" t="str">
        <f>VLOOKUP(Table1[[#This Row],[DEVELOPMENT]],Data[],MATCH(Table1[[#Headers],[Priority Level]],Data[#Headers],0),FALSE)</f>
        <v>$</v>
      </c>
      <c r="F89" s="1" t="str">
        <f>VLOOKUP(Table1[[#This Row],[DEVELOPMENT]],Data[],MATCH(Table1[[#Headers],[RAD/PACT]],Data[#Headers],0),FALSE)</f>
        <v/>
      </c>
      <c r="G89" s="1" t="s">
        <v>106</v>
      </c>
      <c r="H89" s="75" t="s">
        <v>85</v>
      </c>
      <c r="I89" s="8"/>
      <c r="J89" s="8">
        <f>K89</f>
        <v>593528</v>
      </c>
      <c r="K89" s="3">
        <v>593528</v>
      </c>
      <c r="L89" s="92">
        <v>2019</v>
      </c>
      <c r="M89" s="90">
        <v>2020</v>
      </c>
      <c r="N89" s="92">
        <v>2021</v>
      </c>
      <c r="O89" s="2" t="s">
        <v>53</v>
      </c>
      <c r="P89" s="2"/>
      <c r="Q89" s="3"/>
      <c r="R89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89" s="1" t="s">
        <v>86</v>
      </c>
      <c r="T89" s="16"/>
    </row>
    <row r="90" spans="1:20" x14ac:dyDescent="0.25">
      <c r="A90" s="13" t="str">
        <f>VLOOKUP(C90,Data[],2,FALSE)</f>
        <v>MANHATTAN</v>
      </c>
      <c r="B90" s="1"/>
      <c r="C90" s="1" t="s">
        <v>101</v>
      </c>
      <c r="D90" s="1" t="str">
        <f>VLOOKUP(Table1[[#This Row],[DEVELOPMENT]],Data[],MATCH(Table1[[#Headers],[NRR]],Data[#Headers],0),FALSE)</f>
        <v>Zone 3</v>
      </c>
      <c r="E90" s="1" t="str">
        <f>VLOOKUP(Table1[[#This Row],[DEVELOPMENT]],Data[],MATCH(Table1[[#Headers],[Priority Level]],Data[#Headers],0),FALSE)</f>
        <v>$</v>
      </c>
      <c r="F90" s="1">
        <f>VLOOKUP(Table1[[#This Row],[DEVELOPMENT]],Data[],MATCH(Table1[[#Headers],[RAD/PACT]],Data[#Headers],0),FALSE)</f>
        <v>2019</v>
      </c>
      <c r="G90" s="1" t="s">
        <v>106</v>
      </c>
      <c r="H90" s="7"/>
      <c r="I90" s="8"/>
      <c r="J90" s="8"/>
      <c r="K90" s="3"/>
      <c r="L90" s="93"/>
      <c r="M90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90" s="90"/>
      <c r="O90" s="2"/>
      <c r="P90" s="2"/>
      <c r="Q90" s="11"/>
      <c r="R9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90" s="9"/>
      <c r="T90" s="16"/>
    </row>
    <row r="91" spans="1:20" x14ac:dyDescent="0.25">
      <c r="A91" s="13" t="str">
        <f>VLOOKUP(C91,Data[],2,FALSE)</f>
        <v>MANHATTAN</v>
      </c>
      <c r="B91" s="1" t="s">
        <v>25</v>
      </c>
      <c r="C91" s="1" t="s">
        <v>36</v>
      </c>
      <c r="D91" s="1" t="str">
        <f>VLOOKUP(Table1[[#This Row],[DEVELOPMENT]],Data[],MATCH(Table1[[#Headers],[NRR]],Data[#Headers],0),FALSE)</f>
        <v>Zone 1</v>
      </c>
      <c r="E91" s="1" t="str">
        <f>VLOOKUP(Table1[[#This Row],[DEVELOPMENT]],Data[],MATCH(Table1[[#Headers],[Priority Level]],Data[#Headers],0),FALSE)</f>
        <v>$$</v>
      </c>
      <c r="F91" s="1" t="str">
        <f>VLOOKUP(Table1[[#This Row],[DEVELOPMENT]],Data[],MATCH(Table1[[#Headers],[RAD/PACT]],Data[#Headers],0),FALSE)</f>
        <v/>
      </c>
      <c r="G91" s="1" t="s">
        <v>109</v>
      </c>
      <c r="H91" s="75" t="s">
        <v>85</v>
      </c>
      <c r="I91" s="8"/>
      <c r="J91" s="8">
        <f>K91</f>
        <v>2725380</v>
      </c>
      <c r="K91" s="3">
        <v>2725380</v>
      </c>
      <c r="L91" s="92">
        <v>2019</v>
      </c>
      <c r="M91" s="90">
        <v>2021</v>
      </c>
      <c r="N91" s="92">
        <v>2021</v>
      </c>
      <c r="O91" s="2" t="s">
        <v>53</v>
      </c>
      <c r="P91" s="2"/>
      <c r="Q91" s="3"/>
      <c r="R91" s="97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91" s="98" t="s">
        <v>86</v>
      </c>
      <c r="T91" s="16" t="s">
        <v>110</v>
      </c>
    </row>
    <row r="92" spans="1:20" x14ac:dyDescent="0.25">
      <c r="A92" s="13" t="str">
        <f>VLOOKUP(C92,Data[],2,FALSE)</f>
        <v>MANHATTAN</v>
      </c>
      <c r="B92" s="1" t="s">
        <v>25</v>
      </c>
      <c r="C92" s="1" t="s">
        <v>55</v>
      </c>
      <c r="D92" s="1" t="str">
        <f>VLOOKUP(Table1[[#This Row],[DEVELOPMENT]],Data[],MATCH(Table1[[#Headers],[NRR]],Data[#Headers],0),FALSE)</f>
        <v>Zone 1</v>
      </c>
      <c r="E92" s="1" t="str">
        <f>VLOOKUP(Table1[[#This Row],[DEVELOPMENT]],Data[],MATCH(Table1[[#Headers],[Priority Level]],Data[#Headers],0),FALSE)</f>
        <v>$</v>
      </c>
      <c r="F92" s="1" t="str">
        <f>VLOOKUP(Table1[[#This Row],[DEVELOPMENT]],Data[],MATCH(Table1[[#Headers],[RAD/PACT]],Data[#Headers],0),FALSE)</f>
        <v/>
      </c>
      <c r="G92" s="1" t="s">
        <v>109</v>
      </c>
      <c r="H92" s="75" t="s">
        <v>85</v>
      </c>
      <c r="I92" s="8"/>
      <c r="J92" s="8">
        <f>K92</f>
        <v>1362690</v>
      </c>
      <c r="K92" s="3">
        <v>1362690</v>
      </c>
      <c r="L92" s="92">
        <v>2019</v>
      </c>
      <c r="M92" s="90">
        <v>2021</v>
      </c>
      <c r="N92" s="92">
        <v>2021</v>
      </c>
      <c r="O92" s="2" t="s">
        <v>53</v>
      </c>
      <c r="P92" s="2"/>
      <c r="Q92" s="3"/>
      <c r="R9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92" s="1" t="s">
        <v>86</v>
      </c>
      <c r="T92" s="16"/>
    </row>
    <row r="93" spans="1:20" x14ac:dyDescent="0.25">
      <c r="A93" s="13" t="str">
        <f>VLOOKUP(C93,Data[],2,FALSE)</f>
        <v>MANHATTAN</v>
      </c>
      <c r="B93" s="1"/>
      <c r="C93" s="1" t="s">
        <v>111</v>
      </c>
      <c r="D93" s="9" t="str">
        <f>VLOOKUP(Table1[[#This Row],[DEVELOPMENT]],Data[],MATCH(Table1[[#Headers],[NRR]],Data[#Headers],0),FALSE)</f>
        <v>Zone 3</v>
      </c>
      <c r="E93" s="66" t="str">
        <f>VLOOKUP(Table1[[#This Row],[DEVELOPMENT]],Data[],MATCH(Table1[[#Headers],[Priority Level]],Data[#Headers],0),FALSE)</f>
        <v>$</v>
      </c>
      <c r="F93" s="66" t="str">
        <f>VLOOKUP(Table1[[#This Row],[DEVELOPMENT]],Data[],MATCH(Table1[[#Headers],[RAD/PACT]],Data[#Headers],0),FALSE)</f>
        <v/>
      </c>
      <c r="G93" s="1" t="s">
        <v>68</v>
      </c>
      <c r="H93" s="7"/>
      <c r="I93" s="8"/>
      <c r="J93" s="8">
        <f>K93</f>
        <v>0</v>
      </c>
      <c r="K93" s="3"/>
      <c r="L93" s="92"/>
      <c r="M93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93" s="90"/>
      <c r="O93" s="2"/>
      <c r="P93" s="2"/>
      <c r="Q93" s="11"/>
      <c r="R9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93" s="9"/>
      <c r="T93" s="16"/>
    </row>
    <row r="94" spans="1:20" x14ac:dyDescent="0.25">
      <c r="A94" s="13" t="str">
        <f>VLOOKUP(C94,Data[],2,FALSE)</f>
        <v>MANHATTAN</v>
      </c>
      <c r="B94" s="1"/>
      <c r="C94" s="1" t="s">
        <v>112</v>
      </c>
      <c r="D94" s="1" t="str">
        <f>VLOOKUP(Table1[[#This Row],[DEVELOPMENT]],Data[],MATCH(Table1[[#Headers],[NRR]],Data[#Headers],0),FALSE)</f>
        <v>Zone 2</v>
      </c>
      <c r="E94" s="1" t="str">
        <f>VLOOKUP(Table1[[#This Row],[DEVELOPMENT]],Data[],MATCH(Table1[[#Headers],[Priority Level]],Data[#Headers],0),FALSE)</f>
        <v>$$</v>
      </c>
      <c r="F94" s="1">
        <f>VLOOKUP(Table1[[#This Row],[DEVELOPMENT]],Data[],MATCH(Table1[[#Headers],[RAD/PACT]],Data[#Headers],0),FALSE)</f>
        <v>2026</v>
      </c>
      <c r="G94" s="9" t="s">
        <v>68</v>
      </c>
      <c r="H94" s="7"/>
      <c r="I94" s="8"/>
      <c r="J94" s="8"/>
      <c r="K94" s="3"/>
      <c r="L94" s="93"/>
      <c r="M94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94" s="90"/>
      <c r="O94" s="2"/>
      <c r="P94" s="2"/>
      <c r="Q94" s="11"/>
      <c r="R9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94" s="9"/>
      <c r="T94" s="16"/>
    </row>
    <row r="95" spans="1:20" x14ac:dyDescent="0.25">
      <c r="A95" s="13" t="str">
        <f>VLOOKUP(C95,Data[],2,FALSE)</f>
        <v>MANHATTAN</v>
      </c>
      <c r="B95" s="1"/>
      <c r="C95" s="1" t="s">
        <v>113</v>
      </c>
      <c r="D95" s="1" t="str">
        <f>VLOOKUP(Table1[[#This Row],[DEVELOPMENT]],Data[],MATCH(Table1[[#Headers],[NRR]],Data[#Headers],0),FALSE)</f>
        <v>Zone 2</v>
      </c>
      <c r="E95" s="1" t="str">
        <f>VLOOKUP(Table1[[#This Row],[DEVELOPMENT]],Data[],MATCH(Table1[[#Headers],[Priority Level]],Data[#Headers],0),FALSE)</f>
        <v>$$$$</v>
      </c>
      <c r="F95" s="1" t="str">
        <f>VLOOKUP(Table1[[#This Row],[DEVELOPMENT]],Data[],MATCH(Table1[[#Headers],[RAD/PACT]],Data[#Headers],0),FALSE)</f>
        <v/>
      </c>
      <c r="G95" s="9" t="s">
        <v>68</v>
      </c>
      <c r="H95" s="7"/>
      <c r="I95" s="8"/>
      <c r="J95" s="8"/>
      <c r="K95" s="3"/>
      <c r="L95" s="93"/>
      <c r="M95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95" s="90"/>
      <c r="O95" s="2"/>
      <c r="P95" s="2"/>
      <c r="Q95" s="11"/>
      <c r="R9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95" s="9"/>
      <c r="T95" s="16"/>
    </row>
    <row r="96" spans="1:20" x14ac:dyDescent="0.25">
      <c r="A96" s="13" t="str">
        <f>VLOOKUP(C96,Data[],2,FALSE)</f>
        <v>BRONX</v>
      </c>
      <c r="B96" s="1"/>
      <c r="C96" s="1" t="s">
        <v>114</v>
      </c>
      <c r="D96" s="9" t="str">
        <f>VLOOKUP(Table1[[#This Row],[DEVELOPMENT]],Data[],MATCH(Table1[[#Headers],[NRR]],Data[#Headers],0),FALSE)</f>
        <v>Zone 3</v>
      </c>
      <c r="E96" s="66" t="str">
        <f>VLOOKUP(Table1[[#This Row],[DEVELOPMENT]],Data[],MATCH(Table1[[#Headers],[Priority Level]],Data[#Headers],0),FALSE)</f>
        <v>$</v>
      </c>
      <c r="F96" s="66" t="str">
        <f>VLOOKUP(Table1[[#This Row],[DEVELOPMENT]],Data[],MATCH(Table1[[#Headers],[RAD/PACT]],Data[#Headers],0),FALSE)</f>
        <v/>
      </c>
      <c r="G96" s="1" t="s">
        <v>68</v>
      </c>
      <c r="H96" s="7"/>
      <c r="I96" s="8"/>
      <c r="J96" s="8">
        <f>K96</f>
        <v>0</v>
      </c>
      <c r="K96" s="3"/>
      <c r="L96" s="92"/>
      <c r="M96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96" s="90"/>
      <c r="O96" s="2"/>
      <c r="P96" s="2"/>
      <c r="Q96" s="11"/>
      <c r="R9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96" s="9"/>
      <c r="T96" s="16"/>
    </row>
    <row r="97" spans="1:20" x14ac:dyDescent="0.25">
      <c r="A97" s="13" t="str">
        <f>VLOOKUP(C97,Data[],2,FALSE)</f>
        <v>MANHATTAN</v>
      </c>
      <c r="B97" s="1"/>
      <c r="C97" s="1" t="s">
        <v>115</v>
      </c>
      <c r="D97" s="1" t="str">
        <f>VLOOKUP(Table1[[#This Row],[DEVELOPMENT]],Data[],MATCH(Table1[[#Headers],[NRR]],Data[#Headers],0),FALSE)</f>
        <v>Zone 2</v>
      </c>
      <c r="E97" s="1" t="str">
        <f>VLOOKUP(Table1[[#This Row],[DEVELOPMENT]],Data[],MATCH(Table1[[#Headers],[Priority Level]],Data[#Headers],0),FALSE)</f>
        <v>$</v>
      </c>
      <c r="F97" s="1" t="str">
        <f>VLOOKUP(Table1[[#This Row],[DEVELOPMENT]],Data[],MATCH(Table1[[#Headers],[RAD/PACT]],Data[#Headers],0),FALSE)</f>
        <v/>
      </c>
      <c r="G97" s="9" t="s">
        <v>68</v>
      </c>
      <c r="H97" s="7"/>
      <c r="I97" s="8"/>
      <c r="J97" s="8"/>
      <c r="K97" s="3"/>
      <c r="L97" s="93"/>
      <c r="M97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97" s="90"/>
      <c r="O97" s="2"/>
      <c r="P97" s="2"/>
      <c r="Q97" s="11"/>
      <c r="R9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97" s="9"/>
      <c r="T97" s="16"/>
    </row>
    <row r="98" spans="1:20" x14ac:dyDescent="0.25">
      <c r="A98" s="13" t="str">
        <f>VLOOKUP(C98,Data[],2,FALSE)</f>
        <v>MANHATTAN</v>
      </c>
      <c r="B98" s="1"/>
      <c r="C98" s="1" t="s">
        <v>116</v>
      </c>
      <c r="D98" s="1" t="str">
        <f>VLOOKUP(Table1[[#This Row],[DEVELOPMENT]],Data[],MATCH(Table1[[#Headers],[NRR]],Data[#Headers],0),FALSE)</f>
        <v>Zone 2</v>
      </c>
      <c r="E98" s="1" t="str">
        <f>VLOOKUP(Table1[[#This Row],[DEVELOPMENT]],Data[],MATCH(Table1[[#Headers],[Priority Level]],Data[#Headers],0),FALSE)</f>
        <v>$</v>
      </c>
      <c r="F98" s="1" t="str">
        <f>VLOOKUP(Table1[[#This Row],[DEVELOPMENT]],Data[],MATCH(Table1[[#Headers],[RAD/PACT]],Data[#Headers],0),FALSE)</f>
        <v/>
      </c>
      <c r="G98" s="9" t="s">
        <v>68</v>
      </c>
      <c r="H98" s="7"/>
      <c r="I98" s="8"/>
      <c r="J98" s="8"/>
      <c r="K98" s="3"/>
      <c r="L98" s="93"/>
      <c r="M98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98" s="90"/>
      <c r="O98" s="2"/>
      <c r="P98" s="2"/>
      <c r="Q98" s="11"/>
      <c r="R9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98" s="9"/>
      <c r="T98" s="16"/>
    </row>
    <row r="99" spans="1:20" x14ac:dyDescent="0.25">
      <c r="A99" s="13" t="str">
        <f>VLOOKUP(C99,Data[],2,FALSE)</f>
        <v>MANHATTAN</v>
      </c>
      <c r="B99" s="1"/>
      <c r="C99" s="1" t="s">
        <v>69</v>
      </c>
      <c r="D99" s="1" t="str">
        <f>VLOOKUP(Table1[[#This Row],[DEVELOPMENT]],Data[],MATCH(Table1[[#Headers],[NRR]],Data[#Headers],0),FALSE)</f>
        <v>Zone 3</v>
      </c>
      <c r="E99" s="1" t="str">
        <f>VLOOKUP(Table1[[#This Row],[DEVELOPMENT]],Data[],MATCH(Table1[[#Headers],[Priority Level]],Data[#Headers],0),FALSE)</f>
        <v>$</v>
      </c>
      <c r="F99" s="1" t="str">
        <f>VLOOKUP(Table1[[#This Row],[DEVELOPMENT]],Data[],MATCH(Table1[[#Headers],[RAD/PACT]],Data[#Headers],0),FALSE)</f>
        <v/>
      </c>
      <c r="G99" s="1" t="s">
        <v>106</v>
      </c>
      <c r="H99" s="7"/>
      <c r="I99" s="8"/>
      <c r="J99" s="8"/>
      <c r="K99" s="3"/>
      <c r="L99" s="93"/>
      <c r="M99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99" s="90"/>
      <c r="O99" s="2"/>
      <c r="P99" s="2"/>
      <c r="Q99" s="11"/>
      <c r="R99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99" s="9"/>
      <c r="T99" s="16"/>
    </row>
    <row r="100" spans="1:20" x14ac:dyDescent="0.25">
      <c r="A100" s="13" t="str">
        <f>VLOOKUP(C100,Data[],2,FALSE)</f>
        <v>MANHATTAN</v>
      </c>
      <c r="B100" s="1"/>
      <c r="C100" s="1" t="s">
        <v>74</v>
      </c>
      <c r="D100" s="1" t="str">
        <f>VLOOKUP(Table1[[#This Row],[DEVELOPMENT]],Data[],MATCH(Table1[[#Headers],[NRR]],Data[#Headers],0),FALSE)</f>
        <v>Zone 2</v>
      </c>
      <c r="E100" s="1" t="str">
        <f>VLOOKUP(Table1[[#This Row],[DEVELOPMENT]],Data[],MATCH(Table1[[#Headers],[Priority Level]],Data[#Headers],0),FALSE)</f>
        <v>$</v>
      </c>
      <c r="F100" s="1">
        <f>VLOOKUP(Table1[[#This Row],[DEVELOPMENT]],Data[],MATCH(Table1[[#Headers],[RAD/PACT]],Data[#Headers],0),FALSE)</f>
        <v>2026</v>
      </c>
      <c r="G100" s="9" t="s">
        <v>106</v>
      </c>
      <c r="H100" s="7"/>
      <c r="I100" s="8"/>
      <c r="J100" s="8"/>
      <c r="K100" s="3"/>
      <c r="L100" s="93"/>
      <c r="M100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100" s="90"/>
      <c r="O100" s="2"/>
      <c r="P100" s="2"/>
      <c r="Q100" s="11"/>
      <c r="R100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00" s="9"/>
      <c r="T100" s="16"/>
    </row>
    <row r="101" spans="1:20" x14ac:dyDescent="0.25">
      <c r="A101" s="13" t="str">
        <f>VLOOKUP(C101,Data[],2,FALSE)</f>
        <v>MANHATTAN</v>
      </c>
      <c r="B101" s="1"/>
      <c r="C101" s="1" t="s">
        <v>80</v>
      </c>
      <c r="D101" s="1" t="str">
        <f>VLOOKUP(Table1[[#This Row],[DEVELOPMENT]],Data[],MATCH(Table1[[#Headers],[NRR]],Data[#Headers],0),FALSE)</f>
        <v>Zone 3</v>
      </c>
      <c r="E101" s="1" t="str">
        <f>VLOOKUP(Table1[[#This Row],[DEVELOPMENT]],Data[],MATCH(Table1[[#Headers],[Priority Level]],Data[#Headers],0),FALSE)</f>
        <v>$</v>
      </c>
      <c r="F101" s="1">
        <f>VLOOKUP(Table1[[#This Row],[DEVELOPMENT]],Data[],MATCH(Table1[[#Headers],[RAD/PACT]],Data[#Headers],0),FALSE)</f>
        <v>2019</v>
      </c>
      <c r="G101" s="1" t="s">
        <v>106</v>
      </c>
      <c r="H101" s="7"/>
      <c r="I101" s="8"/>
      <c r="J101" s="8"/>
      <c r="K101" s="3"/>
      <c r="L101" s="93"/>
      <c r="M101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01" s="90"/>
      <c r="O101" s="2"/>
      <c r="P101" s="2"/>
      <c r="Q101" s="11"/>
      <c r="R10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01" s="9"/>
      <c r="T101" s="16"/>
    </row>
    <row r="102" spans="1:20" x14ac:dyDescent="0.25">
      <c r="A102" s="13" t="str">
        <f>VLOOKUP(C102,Data[],2,FALSE)</f>
        <v>MANHATTAN</v>
      </c>
      <c r="B102" s="1"/>
      <c r="C102" s="1" t="s">
        <v>117</v>
      </c>
      <c r="D102" s="1" t="str">
        <f>VLOOKUP(Table1[[#This Row],[DEVELOPMENT]],Data[],MATCH(Table1[[#Headers],[NRR]],Data[#Headers],0),FALSE)</f>
        <v>Zone 3</v>
      </c>
      <c r="E102" s="1" t="str">
        <f>VLOOKUP(Table1[[#This Row],[DEVELOPMENT]],Data[],MATCH(Table1[[#Headers],[Priority Level]],Data[#Headers],0),FALSE)</f>
        <v>$</v>
      </c>
      <c r="F102" s="1">
        <f>VLOOKUP(Table1[[#This Row],[DEVELOPMENT]],Data[],MATCH(Table1[[#Headers],[RAD/PACT]],Data[#Headers],0),FALSE)</f>
        <v>2020</v>
      </c>
      <c r="G102" s="1" t="s">
        <v>106</v>
      </c>
      <c r="H102" s="7"/>
      <c r="I102" s="8"/>
      <c r="J102" s="8"/>
      <c r="K102" s="3"/>
      <c r="L102" s="93"/>
      <c r="M102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02" s="90"/>
      <c r="O102" s="2"/>
      <c r="P102" s="2"/>
      <c r="Q102" s="11"/>
      <c r="R10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02" s="9"/>
      <c r="T102" s="16"/>
    </row>
    <row r="103" spans="1:20" x14ac:dyDescent="0.25">
      <c r="A103" s="13" t="str">
        <f>VLOOKUP(C103,Data[],2,FALSE)</f>
        <v>MANHATTAN</v>
      </c>
      <c r="B103" s="1"/>
      <c r="C103" s="1" t="s">
        <v>82</v>
      </c>
      <c r="D103" s="1" t="str">
        <f>VLOOKUP(Table1[[#This Row],[DEVELOPMENT]],Data[],MATCH(Table1[[#Headers],[NRR]],Data[#Headers],0),FALSE)</f>
        <v>Zone 3</v>
      </c>
      <c r="E103" s="1" t="str">
        <f>VLOOKUP(Table1[[#This Row],[DEVELOPMENT]],Data[],MATCH(Table1[[#Headers],[Priority Level]],Data[#Headers],0),FALSE)</f>
        <v>$$</v>
      </c>
      <c r="F103" s="1">
        <f>VLOOKUP(Table1[[#This Row],[DEVELOPMENT]],Data[],MATCH(Table1[[#Headers],[RAD/PACT]],Data[#Headers],0),FALSE)</f>
        <v>2020</v>
      </c>
      <c r="G103" s="1" t="s">
        <v>106</v>
      </c>
      <c r="H103" s="7"/>
      <c r="I103" s="8"/>
      <c r="J103" s="8"/>
      <c r="K103" s="3"/>
      <c r="L103" s="93"/>
      <c r="M103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03" s="90"/>
      <c r="O103" s="2"/>
      <c r="P103" s="2"/>
      <c r="Q103" s="11"/>
      <c r="R10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03" s="9"/>
      <c r="T103" s="16"/>
    </row>
    <row r="104" spans="1:20" x14ac:dyDescent="0.25">
      <c r="A104" s="13" t="str">
        <f>VLOOKUP(C104,Data[],2,FALSE)</f>
        <v>BROOKLYN</v>
      </c>
      <c r="B104" s="9" t="s">
        <v>25</v>
      </c>
      <c r="C104" s="9" t="s">
        <v>118</v>
      </c>
      <c r="D104" s="1" t="str">
        <f>VLOOKUP(Table1[[#This Row],[DEVELOPMENT]],Data[],MATCH(Table1[[#Headers],[NRR]],Data[#Headers],0),FALSE)</f>
        <v>Zone 1</v>
      </c>
      <c r="E104" s="1" t="str">
        <f>VLOOKUP(Table1[[#This Row],[DEVELOPMENT]],Data[],MATCH(Table1[[#Headers],[Priority Level]],Data[#Headers],0),FALSE)</f>
        <v>$</v>
      </c>
      <c r="F104" s="1" t="str">
        <f>VLOOKUP(Table1[[#This Row],[DEVELOPMENT]],Data[],MATCH(Table1[[#Headers],[RAD/PACT]],Data[#Headers],0),FALSE)</f>
        <v/>
      </c>
      <c r="G104" s="9" t="s">
        <v>68</v>
      </c>
      <c r="H104" s="12" t="s">
        <v>85</v>
      </c>
      <c r="I104" s="10"/>
      <c r="J104" s="10">
        <f>K104</f>
        <v>187460</v>
      </c>
      <c r="K104" s="11">
        <v>187460</v>
      </c>
      <c r="L104" s="90">
        <v>2019</v>
      </c>
      <c r="M104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04" s="92"/>
      <c r="O104" s="2" t="s">
        <v>53</v>
      </c>
      <c r="P104" s="2"/>
      <c r="Q104" s="3"/>
      <c r="R10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04" s="1"/>
      <c r="T104" s="16"/>
    </row>
    <row r="105" spans="1:20" x14ac:dyDescent="0.25">
      <c r="A105" s="13" t="str">
        <f>VLOOKUP(C105,Data[],2,FALSE)</f>
        <v>BROOKLYN</v>
      </c>
      <c r="B105" s="1"/>
      <c r="C105" s="1" t="s">
        <v>119</v>
      </c>
      <c r="D105" s="9" t="str">
        <f>VLOOKUP(Table1[[#This Row],[DEVELOPMENT]],Data[],MATCH(Table1[[#Headers],[NRR]],Data[#Headers],0),FALSE)</f>
        <v>Zone 3</v>
      </c>
      <c r="E105" s="66" t="str">
        <f>VLOOKUP(Table1[[#This Row],[DEVELOPMENT]],Data[],MATCH(Table1[[#Headers],[Priority Level]],Data[#Headers],0),FALSE)</f>
        <v>$$$$</v>
      </c>
      <c r="F105" s="66" t="str">
        <f>VLOOKUP(Table1[[#This Row],[DEVELOPMENT]],Data[],MATCH(Table1[[#Headers],[RAD/PACT]],Data[#Headers],0),FALSE)</f>
        <v/>
      </c>
      <c r="G105" s="1" t="s">
        <v>68</v>
      </c>
      <c r="H105" s="7"/>
      <c r="I105" s="8"/>
      <c r="J105" s="8">
        <f>K105</f>
        <v>0</v>
      </c>
      <c r="K105" s="3"/>
      <c r="L105" s="92"/>
      <c r="M105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05" s="90"/>
      <c r="O105" s="2"/>
      <c r="P105" s="2"/>
      <c r="Q105" s="11"/>
      <c r="R10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05" s="9"/>
      <c r="T105" s="16"/>
    </row>
    <row r="106" spans="1:20" x14ac:dyDescent="0.25">
      <c r="A106" s="13" t="str">
        <f>VLOOKUP(C106,Data[],2,FALSE)</f>
        <v>MANHATTAN</v>
      </c>
      <c r="B106" s="1"/>
      <c r="C106" s="1" t="s">
        <v>120</v>
      </c>
      <c r="D106" s="1" t="str">
        <f>VLOOKUP(Table1[[#This Row],[DEVELOPMENT]],Data[],MATCH(Table1[[#Headers],[NRR]],Data[#Headers],0),FALSE)</f>
        <v>Zone 2</v>
      </c>
      <c r="E106" s="1" t="str">
        <f>VLOOKUP(Table1[[#This Row],[DEVELOPMENT]],Data[],MATCH(Table1[[#Headers],[Priority Level]],Data[#Headers],0),FALSE)</f>
        <v>$$</v>
      </c>
      <c r="F106" s="1" t="str">
        <f>VLOOKUP(Table1[[#This Row],[DEVELOPMENT]],Data[],MATCH(Table1[[#Headers],[RAD/PACT]],Data[#Headers],0),FALSE)</f>
        <v/>
      </c>
      <c r="G106" s="9" t="s">
        <v>68</v>
      </c>
      <c r="H106" s="7"/>
      <c r="I106" s="8"/>
      <c r="J106" s="8"/>
      <c r="K106" s="3"/>
      <c r="L106" s="93"/>
      <c r="M106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06" s="90"/>
      <c r="O106" s="2"/>
      <c r="P106" s="2"/>
      <c r="Q106" s="11"/>
      <c r="R10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06" s="9"/>
      <c r="T106" s="16"/>
    </row>
    <row r="107" spans="1:20" x14ac:dyDescent="0.25">
      <c r="A107" s="13" t="str">
        <f>VLOOKUP(C107,Data[],2,FALSE)</f>
        <v>BRONX</v>
      </c>
      <c r="B107" s="1"/>
      <c r="C107" s="1" t="s">
        <v>105</v>
      </c>
      <c r="D107" s="9" t="str">
        <f>VLOOKUP(Table1[[#This Row],[DEVELOPMENT]],Data[],MATCH(Table1[[#Headers],[NRR]],Data[#Headers],0),FALSE)</f>
        <v>Zone 3</v>
      </c>
      <c r="E107" s="66" t="str">
        <f>VLOOKUP(Table1[[#This Row],[DEVELOPMENT]],Data[],MATCH(Table1[[#Headers],[Priority Level]],Data[#Headers],0),FALSE)</f>
        <v>$</v>
      </c>
      <c r="F107" s="66">
        <f>VLOOKUP(Table1[[#This Row],[DEVELOPMENT]],Data[],MATCH(Table1[[#Headers],[RAD/PACT]],Data[#Headers],0),FALSE)</f>
        <v>2026</v>
      </c>
      <c r="G107" s="1" t="s">
        <v>68</v>
      </c>
      <c r="H107" s="7"/>
      <c r="I107" s="8"/>
      <c r="J107" s="8">
        <f>K107</f>
        <v>0</v>
      </c>
      <c r="K107" s="3"/>
      <c r="L107" s="92"/>
      <c r="M107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07" s="90"/>
      <c r="O107" s="2"/>
      <c r="P107" s="2"/>
      <c r="Q107" s="11"/>
      <c r="R10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07" s="9"/>
      <c r="T107" s="16"/>
    </row>
    <row r="108" spans="1:20" x14ac:dyDescent="0.25">
      <c r="A108" s="13" t="str">
        <f>VLOOKUP(C108,Data[],2,FALSE)</f>
        <v>BRONX</v>
      </c>
      <c r="B108" s="9" t="s">
        <v>25</v>
      </c>
      <c r="C108" s="9" t="s">
        <v>121</v>
      </c>
      <c r="D108" s="1" t="str">
        <f>VLOOKUP(Table1[[#This Row],[DEVELOPMENT]],Data[],MATCH(Table1[[#Headers],[NRR]],Data[#Headers],0),FALSE)</f>
        <v>Zone 1</v>
      </c>
      <c r="E108" s="1" t="str">
        <f>VLOOKUP(Table1[[#This Row],[DEVELOPMENT]],Data[],MATCH(Table1[[#Headers],[Priority Level]],Data[#Headers],0),FALSE)</f>
        <v>$$</v>
      </c>
      <c r="F108" s="1" t="str">
        <f>VLOOKUP(Table1[[#This Row],[DEVELOPMENT]],Data[],MATCH(Table1[[#Headers],[RAD/PACT]],Data[#Headers],0),FALSE)</f>
        <v/>
      </c>
      <c r="G108" s="9" t="s">
        <v>68</v>
      </c>
      <c r="H108" s="12" t="s">
        <v>85</v>
      </c>
      <c r="I108" s="10"/>
      <c r="J108" s="10">
        <f>K108</f>
        <v>187460</v>
      </c>
      <c r="K108" s="11">
        <v>187460</v>
      </c>
      <c r="L108" s="90">
        <v>2019</v>
      </c>
      <c r="M108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08" s="92"/>
      <c r="O108" s="2" t="s">
        <v>53</v>
      </c>
      <c r="P108" s="2"/>
      <c r="Q108" s="3"/>
      <c r="R10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08" s="1"/>
      <c r="T108" s="16"/>
    </row>
    <row r="109" spans="1:20" x14ac:dyDescent="0.25">
      <c r="A109" s="13" t="str">
        <f>VLOOKUP(C109,Data[],2,FALSE)</f>
        <v>MANHATTAN</v>
      </c>
      <c r="B109" s="1"/>
      <c r="C109" s="1" t="s">
        <v>122</v>
      </c>
      <c r="D109" s="1" t="str">
        <f>VLOOKUP(Table1[[#This Row],[DEVELOPMENT]],Data[],MATCH(Table1[[#Headers],[NRR]],Data[#Headers],0),FALSE)</f>
        <v>Zone 2</v>
      </c>
      <c r="E109" s="1" t="str">
        <f>VLOOKUP(Table1[[#This Row],[DEVELOPMENT]],Data[],MATCH(Table1[[#Headers],[Priority Level]],Data[#Headers],0),FALSE)</f>
        <v>$</v>
      </c>
      <c r="F109" s="1">
        <f>VLOOKUP(Table1[[#This Row],[DEVELOPMENT]],Data[],MATCH(Table1[[#Headers],[RAD/PACT]],Data[#Headers],0),FALSE)</f>
        <v>2028</v>
      </c>
      <c r="G109" s="9" t="s">
        <v>68</v>
      </c>
      <c r="H109" s="7"/>
      <c r="I109" s="8"/>
      <c r="J109" s="8"/>
      <c r="K109" s="3"/>
      <c r="L109" s="93"/>
      <c r="M109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09" s="90"/>
      <c r="O109" s="2"/>
      <c r="P109" s="2"/>
      <c r="Q109" s="11"/>
      <c r="R10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09" s="9"/>
      <c r="T109" s="16"/>
    </row>
    <row r="110" spans="1:20" x14ac:dyDescent="0.25">
      <c r="A110" s="13" t="str">
        <f>VLOOKUP(C110,Data[],2,FALSE)</f>
        <v>BRONX</v>
      </c>
      <c r="B110" s="1"/>
      <c r="C110" s="1" t="s">
        <v>123</v>
      </c>
      <c r="D110" s="9" t="str">
        <f>VLOOKUP(Table1[[#This Row],[DEVELOPMENT]],Data[],MATCH(Table1[[#Headers],[NRR]],Data[#Headers],0),FALSE)</f>
        <v>Zone 3</v>
      </c>
      <c r="E110" s="66" t="str">
        <f>VLOOKUP(Table1[[#This Row],[DEVELOPMENT]],Data[],MATCH(Table1[[#Headers],[Priority Level]],Data[#Headers],0),FALSE)</f>
        <v>$</v>
      </c>
      <c r="F110" s="66" t="str">
        <f>VLOOKUP(Table1[[#This Row],[DEVELOPMENT]],Data[],MATCH(Table1[[#Headers],[RAD/PACT]],Data[#Headers],0),FALSE)</f>
        <v/>
      </c>
      <c r="G110" s="1" t="s">
        <v>68</v>
      </c>
      <c r="H110" s="7"/>
      <c r="I110" s="8"/>
      <c r="J110" s="8">
        <f>K110</f>
        <v>0</v>
      </c>
      <c r="K110" s="3"/>
      <c r="L110" s="92"/>
      <c r="M110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10" s="90"/>
      <c r="O110" s="2"/>
      <c r="P110" s="2"/>
      <c r="Q110" s="11"/>
      <c r="R11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10" s="9"/>
      <c r="T110" s="16"/>
    </row>
    <row r="111" spans="1:20" x14ac:dyDescent="0.25">
      <c r="A111" s="13" t="str">
        <f>VLOOKUP(C111,Data[],2,FALSE)</f>
        <v>MANHATTAN</v>
      </c>
      <c r="B111" s="1"/>
      <c r="C111" s="1" t="s">
        <v>67</v>
      </c>
      <c r="D111" s="1" t="str">
        <f>VLOOKUP(Table1[[#This Row],[DEVELOPMENT]],Data[],MATCH(Table1[[#Headers],[NRR]],Data[#Headers],0),FALSE)</f>
        <v>Zone 2</v>
      </c>
      <c r="E111" s="1" t="str">
        <f>VLOOKUP(Table1[[#This Row],[DEVELOPMENT]],Data[],MATCH(Table1[[#Headers],[Priority Level]],Data[#Headers],0),FALSE)</f>
        <v>$</v>
      </c>
      <c r="F111" s="1" t="str">
        <f>VLOOKUP(Table1[[#This Row],[DEVELOPMENT]],Data[],MATCH(Table1[[#Headers],[RAD/PACT]],Data[#Headers],0),FALSE)</f>
        <v/>
      </c>
      <c r="G111" s="9" t="s">
        <v>106</v>
      </c>
      <c r="H111" s="7"/>
      <c r="I111" s="8"/>
      <c r="J111" s="8"/>
      <c r="K111" s="3"/>
      <c r="L111" s="93"/>
      <c r="M111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111" s="90"/>
      <c r="O111" s="2"/>
      <c r="P111" s="2"/>
      <c r="Q111" s="11"/>
      <c r="R111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11" s="9"/>
      <c r="T111" s="16"/>
    </row>
    <row r="112" spans="1:20" x14ac:dyDescent="0.25">
      <c r="A112" s="13" t="str">
        <f>VLOOKUP(C112,Data[],2,FALSE)</f>
        <v>BRONX</v>
      </c>
      <c r="B112" s="1"/>
      <c r="C112" s="1" t="s">
        <v>124</v>
      </c>
      <c r="D112" s="1" t="str">
        <f>VLOOKUP(Table1[[#This Row],[DEVELOPMENT]],Data[],MATCH(Table1[[#Headers],[NRR]],Data[#Headers],0),FALSE)</f>
        <v>Zone 3</v>
      </c>
      <c r="E112" s="1" t="str">
        <f>VLOOKUP(Table1[[#This Row],[DEVELOPMENT]],Data[],MATCH(Table1[[#Headers],[Priority Level]],Data[#Headers],0),FALSE)</f>
        <v>$</v>
      </c>
      <c r="F112" s="1">
        <f>VLOOKUP(Table1[[#This Row],[DEVELOPMENT]],Data[],MATCH(Table1[[#Headers],[RAD/PACT]],Data[#Headers],0),FALSE)</f>
        <v>2026</v>
      </c>
      <c r="G112" s="1" t="s">
        <v>106</v>
      </c>
      <c r="H112" s="7"/>
      <c r="I112" s="8"/>
      <c r="J112" s="8"/>
      <c r="K112" s="3"/>
      <c r="L112" s="93"/>
      <c r="M112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112" s="90"/>
      <c r="O112" s="2"/>
      <c r="P112" s="2"/>
      <c r="Q112" s="11"/>
      <c r="R112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12" s="9"/>
      <c r="T112" s="16"/>
    </row>
    <row r="113" spans="1:20" x14ac:dyDescent="0.25">
      <c r="A113" s="13" t="str">
        <f>VLOOKUP(C113,Data[],2,FALSE)</f>
        <v>BRONX</v>
      </c>
      <c r="B113" s="9" t="s">
        <v>25</v>
      </c>
      <c r="C113" s="9" t="s">
        <v>121</v>
      </c>
      <c r="D113" s="1" t="str">
        <f>VLOOKUP(Table1[[#This Row],[DEVELOPMENT]],Data[],MATCH(Table1[[#Headers],[NRR]],Data[#Headers],0),FALSE)</f>
        <v>Zone 1</v>
      </c>
      <c r="E113" s="1" t="str">
        <f>VLOOKUP(Table1[[#This Row],[DEVELOPMENT]],Data[],MATCH(Table1[[#Headers],[Priority Level]],Data[#Headers],0),FALSE)</f>
        <v>$$</v>
      </c>
      <c r="F113" s="1" t="str">
        <f>VLOOKUP(Table1[[#This Row],[DEVELOPMENT]],Data[],MATCH(Table1[[#Headers],[RAD/PACT]],Data[#Headers],0),FALSE)</f>
        <v/>
      </c>
      <c r="G113" s="9" t="s">
        <v>106</v>
      </c>
      <c r="H113" s="12" t="s">
        <v>85</v>
      </c>
      <c r="I113" s="10"/>
      <c r="J113" s="10">
        <f>K113</f>
        <v>74191</v>
      </c>
      <c r="K113" s="11">
        <v>74191</v>
      </c>
      <c r="L113" s="90">
        <v>2019</v>
      </c>
      <c r="M113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147306.78899999999</v>
      </c>
      <c r="N113" s="92"/>
      <c r="O113" s="2" t="s">
        <v>53</v>
      </c>
      <c r="P113" s="2"/>
      <c r="Q113" s="3"/>
      <c r="R113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13" s="1"/>
      <c r="T113" s="16"/>
    </row>
    <row r="114" spans="1:20" x14ac:dyDescent="0.25">
      <c r="A114" s="13" t="str">
        <f>VLOOKUP(C114,Data[],2,FALSE)</f>
        <v>BROOKLYN</v>
      </c>
      <c r="B114" s="1"/>
      <c r="C114" s="1" t="s">
        <v>84</v>
      </c>
      <c r="D114" s="1" t="str">
        <f>VLOOKUP(Table1[[#This Row],[DEVELOPMENT]],Data[],MATCH(Table1[[#Headers],[NRR]],Data[#Headers],0),FALSE)</f>
        <v>Zone 3</v>
      </c>
      <c r="E114" s="1" t="str">
        <f>VLOOKUP(Table1[[#This Row],[DEVELOPMENT]],Data[],MATCH(Table1[[#Headers],[Priority Level]],Data[#Headers],0),FALSE)</f>
        <v>$</v>
      </c>
      <c r="F114" s="1" t="str">
        <f>VLOOKUP(Table1[[#This Row],[DEVELOPMENT]],Data[],MATCH(Table1[[#Headers],[RAD/PACT]],Data[#Headers],0),FALSE)</f>
        <v/>
      </c>
      <c r="G114" s="1" t="s">
        <v>106</v>
      </c>
      <c r="H114" s="7"/>
      <c r="I114" s="8"/>
      <c r="J114" s="8"/>
      <c r="K114" s="3"/>
      <c r="L114" s="93"/>
      <c r="M114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2577868.8074999996</v>
      </c>
      <c r="N114" s="90"/>
      <c r="O114" s="2"/>
      <c r="P114" s="2"/>
      <c r="Q114" s="11"/>
      <c r="R114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14" s="9"/>
      <c r="T114" s="16"/>
    </row>
    <row r="115" spans="1:20" x14ac:dyDescent="0.25">
      <c r="A115" s="13" t="str">
        <f>VLOOKUP(C115,Data[],2,FALSE)</f>
        <v>MANHATTAN</v>
      </c>
      <c r="B115" s="1"/>
      <c r="C115" s="1" t="s">
        <v>115</v>
      </c>
      <c r="D115" s="1" t="str">
        <f>VLOOKUP(Table1[[#This Row],[DEVELOPMENT]],Data[],MATCH(Table1[[#Headers],[NRR]],Data[#Headers],0),FALSE)</f>
        <v>Zone 2</v>
      </c>
      <c r="E115" s="1" t="str">
        <f>VLOOKUP(Table1[[#This Row],[DEVELOPMENT]],Data[],MATCH(Table1[[#Headers],[Priority Level]],Data[#Headers],0),FALSE)</f>
        <v>$</v>
      </c>
      <c r="F115" s="1" t="str">
        <f>VLOOKUP(Table1[[#This Row],[DEVELOPMENT]],Data[],MATCH(Table1[[#Headers],[RAD/PACT]],Data[#Headers],0),FALSE)</f>
        <v/>
      </c>
      <c r="G115" s="9" t="s">
        <v>106</v>
      </c>
      <c r="H115" s="7"/>
      <c r="I115" s="8"/>
      <c r="J115" s="8"/>
      <c r="K115" s="3"/>
      <c r="L115" s="93"/>
      <c r="M115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736533.94499999995</v>
      </c>
      <c r="N115" s="90"/>
      <c r="O115" s="2"/>
      <c r="P115" s="2"/>
      <c r="Q115" s="11"/>
      <c r="R115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15" s="9"/>
      <c r="T115" s="16"/>
    </row>
    <row r="116" spans="1:20" x14ac:dyDescent="0.25">
      <c r="A116" s="13" t="str">
        <f>VLOOKUP(C116,Data[],2,FALSE)</f>
        <v>MANHATTAN</v>
      </c>
      <c r="B116" s="1"/>
      <c r="C116" s="1" t="s">
        <v>102</v>
      </c>
      <c r="D116" s="1" t="str">
        <f>VLOOKUP(Table1[[#This Row],[DEVELOPMENT]],Data[],MATCH(Table1[[#Headers],[NRR]],Data[#Headers],0),FALSE)</f>
        <v>Zone 2</v>
      </c>
      <c r="E116" s="1" t="str">
        <f>VLOOKUP(Table1[[#This Row],[DEVELOPMENT]],Data[],MATCH(Table1[[#Headers],[Priority Level]],Data[#Headers],0),FALSE)</f>
        <v>$</v>
      </c>
      <c r="F116" s="1" t="str">
        <f>VLOOKUP(Table1[[#This Row],[DEVELOPMENT]],Data[],MATCH(Table1[[#Headers],[RAD/PACT]],Data[#Headers],0),FALSE)</f>
        <v/>
      </c>
      <c r="G116" s="9" t="s">
        <v>106</v>
      </c>
      <c r="H116" s="7"/>
      <c r="I116" s="8"/>
      <c r="J116" s="8"/>
      <c r="K116" s="3"/>
      <c r="L116" s="93"/>
      <c r="M116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147306.78899999999</v>
      </c>
      <c r="N116" s="90"/>
      <c r="O116" s="2"/>
      <c r="P116" s="2"/>
      <c r="Q116" s="11"/>
      <c r="R116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16" s="9"/>
      <c r="T116" s="16"/>
    </row>
    <row r="117" spans="1:20" x14ac:dyDescent="0.25">
      <c r="A117" s="13" t="str">
        <f>VLOOKUP(C117,Data[],2,FALSE)</f>
        <v>BRONX</v>
      </c>
      <c r="B117" s="1"/>
      <c r="C117" s="1" t="s">
        <v>124</v>
      </c>
      <c r="D117" s="9" t="str">
        <f>VLOOKUP(Table1[[#This Row],[DEVELOPMENT]],Data[],MATCH(Table1[[#Headers],[NRR]],Data[#Headers],0),FALSE)</f>
        <v>Zone 3</v>
      </c>
      <c r="E117" s="66" t="str">
        <f>VLOOKUP(Table1[[#This Row],[DEVELOPMENT]],Data[],MATCH(Table1[[#Headers],[Priority Level]],Data[#Headers],0),FALSE)</f>
        <v>$</v>
      </c>
      <c r="F117" s="66">
        <f>VLOOKUP(Table1[[#This Row],[DEVELOPMENT]],Data[],MATCH(Table1[[#Headers],[RAD/PACT]],Data[#Headers],0),FALSE)</f>
        <v>2026</v>
      </c>
      <c r="G117" s="1" t="s">
        <v>68</v>
      </c>
      <c r="H117" s="7"/>
      <c r="I117" s="8"/>
      <c r="J117" s="8">
        <f>K117</f>
        <v>0</v>
      </c>
      <c r="K117" s="3"/>
      <c r="L117" s="92"/>
      <c r="M117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17" s="90"/>
      <c r="O117" s="2"/>
      <c r="P117" s="2"/>
      <c r="Q117" s="11"/>
      <c r="R11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17" s="9"/>
      <c r="T117" s="16"/>
    </row>
    <row r="118" spans="1:20" x14ac:dyDescent="0.25">
      <c r="A118" s="13" t="str">
        <f>VLOOKUP(C118,Data[],2,FALSE)</f>
        <v>MANHATTAN</v>
      </c>
      <c r="B118" s="1"/>
      <c r="C118" s="1" t="s">
        <v>117</v>
      </c>
      <c r="D118" s="9" t="str">
        <f>VLOOKUP(Table1[[#This Row],[DEVELOPMENT]],Data[],MATCH(Table1[[#Headers],[NRR]],Data[#Headers],0),FALSE)</f>
        <v>Zone 3</v>
      </c>
      <c r="E118" s="66" t="str">
        <f>VLOOKUP(Table1[[#This Row],[DEVELOPMENT]],Data[],MATCH(Table1[[#Headers],[Priority Level]],Data[#Headers],0),FALSE)</f>
        <v>$</v>
      </c>
      <c r="F118" s="66">
        <f>VLOOKUP(Table1[[#This Row],[DEVELOPMENT]],Data[],MATCH(Table1[[#Headers],[RAD/PACT]],Data[#Headers],0),FALSE)</f>
        <v>2020</v>
      </c>
      <c r="G118" s="1" t="s">
        <v>68</v>
      </c>
      <c r="H118" s="7"/>
      <c r="I118" s="8"/>
      <c r="J118" s="8">
        <f>K118</f>
        <v>0</v>
      </c>
      <c r="K118" s="3"/>
      <c r="L118" s="92"/>
      <c r="M118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18" s="90"/>
      <c r="O118" s="2"/>
      <c r="P118" s="2"/>
      <c r="Q118" s="11"/>
      <c r="R11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18" s="9"/>
      <c r="T118" s="16"/>
    </row>
    <row r="119" spans="1:20" x14ac:dyDescent="0.25">
      <c r="A119" s="13" t="str">
        <f>VLOOKUP(C119,Data[],2,FALSE)</f>
        <v>MANHATTAN</v>
      </c>
      <c r="B119" s="1"/>
      <c r="C119" s="1" t="s">
        <v>125</v>
      </c>
      <c r="D119" s="1" t="str">
        <f>VLOOKUP(Table1[[#This Row],[DEVELOPMENT]],Data[],MATCH(Table1[[#Headers],[NRR]],Data[#Headers],0),FALSE)</f>
        <v>Zone 2</v>
      </c>
      <c r="E119" s="1" t="str">
        <f>VLOOKUP(Table1[[#This Row],[DEVELOPMENT]],Data[],MATCH(Table1[[#Headers],[Priority Level]],Data[#Headers],0),FALSE)</f>
        <v>$</v>
      </c>
      <c r="F119" s="1">
        <f>VLOOKUP(Table1[[#This Row],[DEVELOPMENT]],Data[],MATCH(Table1[[#Headers],[RAD/PACT]],Data[#Headers],0),FALSE)</f>
        <v>2023</v>
      </c>
      <c r="G119" s="9" t="s">
        <v>68</v>
      </c>
      <c r="H119" s="7"/>
      <c r="I119" s="8"/>
      <c r="J119" s="8"/>
      <c r="K119" s="3"/>
      <c r="L119" s="93"/>
      <c r="M119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19" s="90"/>
      <c r="O119" s="2"/>
      <c r="P119" s="2"/>
      <c r="Q119" s="11"/>
      <c r="R11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19" s="9"/>
      <c r="T119" s="16"/>
    </row>
    <row r="120" spans="1:20" x14ac:dyDescent="0.25">
      <c r="A120" s="13" t="str">
        <f>VLOOKUP(C120,Data[],2,FALSE)</f>
        <v>MANHATTAN</v>
      </c>
      <c r="B120" s="1"/>
      <c r="C120" s="1" t="s">
        <v>107</v>
      </c>
      <c r="D120" s="1" t="str">
        <f>VLOOKUP(Table1[[#This Row],[DEVELOPMENT]],Data[],MATCH(Table1[[#Headers],[NRR]],Data[#Headers],0),FALSE)</f>
        <v>Zone 2</v>
      </c>
      <c r="E120" s="1" t="str">
        <f>VLOOKUP(Table1[[#This Row],[DEVELOPMENT]],Data[],MATCH(Table1[[#Headers],[Priority Level]],Data[#Headers],0),FALSE)</f>
        <v>$$</v>
      </c>
      <c r="F120" s="1" t="str">
        <f>VLOOKUP(Table1[[#This Row],[DEVELOPMENT]],Data[],MATCH(Table1[[#Headers],[RAD/PACT]],Data[#Headers],0),FALSE)</f>
        <v/>
      </c>
      <c r="G120" s="9" t="s">
        <v>68</v>
      </c>
      <c r="H120" s="7"/>
      <c r="I120" s="8"/>
      <c r="J120" s="8"/>
      <c r="K120" s="3"/>
      <c r="L120" s="93"/>
      <c r="M120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20" s="90"/>
      <c r="O120" s="2"/>
      <c r="P120" s="2"/>
      <c r="Q120" s="11"/>
      <c r="R12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20" s="9"/>
      <c r="T120" s="16"/>
    </row>
    <row r="121" spans="1:20" x14ac:dyDescent="0.25">
      <c r="A121" s="13" t="str">
        <f>VLOOKUP(C121,Data[],2,FALSE)</f>
        <v>MANHATTAN</v>
      </c>
      <c r="B121" s="1"/>
      <c r="C121" s="1" t="s">
        <v>126</v>
      </c>
      <c r="D121" s="1" t="str">
        <f>VLOOKUP(Table1[[#This Row],[DEVELOPMENT]],Data[],MATCH(Table1[[#Headers],[NRR]],Data[#Headers],0),FALSE)</f>
        <v>Zone 2</v>
      </c>
      <c r="E121" s="1" t="str">
        <f>VLOOKUP(Table1[[#This Row],[DEVELOPMENT]],Data[],MATCH(Table1[[#Headers],[Priority Level]],Data[#Headers],0),FALSE)</f>
        <v>$</v>
      </c>
      <c r="F121" s="1" t="str">
        <f>VLOOKUP(Table1[[#This Row],[DEVELOPMENT]],Data[],MATCH(Table1[[#Headers],[RAD/PACT]],Data[#Headers],0),FALSE)</f>
        <v/>
      </c>
      <c r="G121" s="9" t="s">
        <v>68</v>
      </c>
      <c r="H121" s="7"/>
      <c r="I121" s="8"/>
      <c r="J121" s="8"/>
      <c r="K121" s="3"/>
      <c r="L121" s="93"/>
      <c r="M121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21" s="90"/>
      <c r="O121" s="2"/>
      <c r="P121" s="2"/>
      <c r="Q121" s="11"/>
      <c r="R12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21" s="9"/>
      <c r="T121" s="16"/>
    </row>
    <row r="122" spans="1:20" x14ac:dyDescent="0.25">
      <c r="A122" s="13" t="str">
        <f>VLOOKUP(C122,Data[],2,FALSE)</f>
        <v>MANHATTAN</v>
      </c>
      <c r="B122" s="1"/>
      <c r="C122" s="1" t="s">
        <v>127</v>
      </c>
      <c r="D122" s="1" t="str">
        <f>VLOOKUP(Table1[[#This Row],[DEVELOPMENT]],Data[],MATCH(Table1[[#Headers],[NRR]],Data[#Headers],0),FALSE)</f>
        <v>Zone 2</v>
      </c>
      <c r="E122" s="1" t="str">
        <f>VLOOKUP(Table1[[#This Row],[DEVELOPMENT]],Data[],MATCH(Table1[[#Headers],[Priority Level]],Data[#Headers],0),FALSE)</f>
        <v>$</v>
      </c>
      <c r="F122" s="1" t="str">
        <f>VLOOKUP(Table1[[#This Row],[DEVELOPMENT]],Data[],MATCH(Table1[[#Headers],[RAD/PACT]],Data[#Headers],0),FALSE)</f>
        <v/>
      </c>
      <c r="G122" s="9" t="s">
        <v>68</v>
      </c>
      <c r="H122" s="7"/>
      <c r="I122" s="8"/>
      <c r="J122" s="8"/>
      <c r="K122" s="3"/>
      <c r="L122" s="93"/>
      <c r="M122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22" s="90"/>
      <c r="O122" s="2"/>
      <c r="P122" s="2"/>
      <c r="Q122" s="11"/>
      <c r="R12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22" s="9"/>
      <c r="T122" s="16"/>
    </row>
    <row r="123" spans="1:20" x14ac:dyDescent="0.25">
      <c r="A123" s="13" t="str">
        <f>VLOOKUP(C123,Data[],2,FALSE)</f>
        <v>BRONX</v>
      </c>
      <c r="B123" s="9" t="s">
        <v>25</v>
      </c>
      <c r="C123" s="9" t="s">
        <v>47</v>
      </c>
      <c r="D123" s="1" t="str">
        <f>VLOOKUP(Table1[[#This Row],[DEVELOPMENT]],Data[],MATCH(Table1[[#Headers],[NRR]],Data[#Headers],0),FALSE)</f>
        <v>Zone 1</v>
      </c>
      <c r="E123" s="1" t="str">
        <f>VLOOKUP(Table1[[#This Row],[DEVELOPMENT]],Data[],MATCH(Table1[[#Headers],[Priority Level]],Data[#Headers],0),FALSE)</f>
        <v>$</v>
      </c>
      <c r="F123" s="1" t="str">
        <f>VLOOKUP(Table1[[#This Row],[DEVELOPMENT]],Data[],MATCH(Table1[[#Headers],[RAD/PACT]],Data[#Headers],0),FALSE)</f>
        <v/>
      </c>
      <c r="G123" s="9" t="s">
        <v>68</v>
      </c>
      <c r="H123" s="12" t="s">
        <v>85</v>
      </c>
      <c r="I123" s="10"/>
      <c r="J123" s="10">
        <f>K123</f>
        <v>374920</v>
      </c>
      <c r="K123" s="11">
        <v>374920</v>
      </c>
      <c r="L123" s="90">
        <v>2019</v>
      </c>
      <c r="M123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23" s="92"/>
      <c r="O123" s="2" t="s">
        <v>53</v>
      </c>
      <c r="P123" s="2"/>
      <c r="Q123" s="3"/>
      <c r="R12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23" s="1"/>
      <c r="T123" s="16"/>
    </row>
    <row r="124" spans="1:20" x14ac:dyDescent="0.25">
      <c r="A124" s="13" t="str">
        <f>VLOOKUP(C124,Data[],2,FALSE)</f>
        <v>BRONX</v>
      </c>
      <c r="B124" s="9" t="s">
        <v>25</v>
      </c>
      <c r="C124" s="9" t="s">
        <v>31</v>
      </c>
      <c r="D124" s="1" t="str">
        <f>VLOOKUP(Table1[[#This Row],[DEVELOPMENT]],Data[],MATCH(Table1[[#Headers],[NRR]],Data[#Headers],0),FALSE)</f>
        <v>Zone 1</v>
      </c>
      <c r="E124" s="1" t="str">
        <f>VLOOKUP(Table1[[#This Row],[DEVELOPMENT]],Data[],MATCH(Table1[[#Headers],[Priority Level]],Data[#Headers],0),FALSE)</f>
        <v>$$</v>
      </c>
      <c r="F124" s="1" t="str">
        <f>VLOOKUP(Table1[[#This Row],[DEVELOPMENT]],Data[],MATCH(Table1[[#Headers],[RAD/PACT]],Data[#Headers],0),FALSE)</f>
        <v/>
      </c>
      <c r="G124" s="9" t="s">
        <v>106</v>
      </c>
      <c r="H124" s="12" t="s">
        <v>85</v>
      </c>
      <c r="I124" s="10"/>
      <c r="J124" s="10">
        <f>K124</f>
        <v>445146</v>
      </c>
      <c r="K124" s="11">
        <v>445146</v>
      </c>
      <c r="L124" s="90">
        <v>2019</v>
      </c>
      <c r="M124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883840.73399999982</v>
      </c>
      <c r="N124" s="92"/>
      <c r="O124" s="2" t="s">
        <v>53</v>
      </c>
      <c r="P124" s="2"/>
      <c r="Q124" s="3"/>
      <c r="R124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24" s="1"/>
      <c r="T124" s="16"/>
    </row>
    <row r="125" spans="1:20" x14ac:dyDescent="0.25">
      <c r="A125" s="13" t="str">
        <f>VLOOKUP(C125,Data[],2,FALSE)</f>
        <v>MANHATTAN</v>
      </c>
      <c r="B125" s="1"/>
      <c r="C125" s="1" t="s">
        <v>83</v>
      </c>
      <c r="D125" s="1" t="str">
        <f>VLOOKUP(Table1[[#This Row],[DEVELOPMENT]],Data[],MATCH(Table1[[#Headers],[NRR]],Data[#Headers],0),FALSE)</f>
        <v>Zone 2</v>
      </c>
      <c r="E125" s="1" t="str">
        <f>VLOOKUP(Table1[[#This Row],[DEVELOPMENT]],Data[],MATCH(Table1[[#Headers],[Priority Level]],Data[#Headers],0),FALSE)</f>
        <v>$$$</v>
      </c>
      <c r="F125" s="1">
        <f>VLOOKUP(Table1[[#This Row],[DEVELOPMENT]],Data[],MATCH(Table1[[#Headers],[RAD/PACT]],Data[#Headers],0),FALSE)</f>
        <v>2028</v>
      </c>
      <c r="G125" s="9" t="s">
        <v>106</v>
      </c>
      <c r="H125" s="7"/>
      <c r="I125" s="8"/>
      <c r="J125" s="8"/>
      <c r="K125" s="3"/>
      <c r="L125" s="93"/>
      <c r="M125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1252107.7064999999</v>
      </c>
      <c r="N125" s="90"/>
      <c r="O125" s="2"/>
      <c r="P125" s="2"/>
      <c r="Q125" s="11"/>
      <c r="R125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25" s="9"/>
      <c r="T125" s="16"/>
    </row>
    <row r="126" spans="1:20" x14ac:dyDescent="0.25">
      <c r="A126" s="13" t="str">
        <f>VLOOKUP(C126,Data[],2,FALSE)</f>
        <v>MANHATTAN</v>
      </c>
      <c r="B126" s="1"/>
      <c r="C126" s="1" t="s">
        <v>128</v>
      </c>
      <c r="D126" s="1" t="str">
        <f>VLOOKUP(Table1[[#This Row],[DEVELOPMENT]],Data[],MATCH(Table1[[#Headers],[NRR]],Data[#Headers],0),FALSE)</f>
        <v>Zone 2</v>
      </c>
      <c r="E126" s="1" t="str">
        <f>VLOOKUP(Table1[[#This Row],[DEVELOPMENT]],Data[],MATCH(Table1[[#Headers],[Priority Level]],Data[#Headers],0),FALSE)</f>
        <v>$$$</v>
      </c>
      <c r="F126" s="1" t="str">
        <f>VLOOKUP(Table1[[#This Row],[DEVELOPMENT]],Data[],MATCH(Table1[[#Headers],[RAD/PACT]],Data[#Headers],0),FALSE)</f>
        <v/>
      </c>
      <c r="G126" s="9" t="s">
        <v>106</v>
      </c>
      <c r="H126" s="7"/>
      <c r="I126" s="8"/>
      <c r="J126" s="8"/>
      <c r="K126" s="3"/>
      <c r="L126" s="93"/>
      <c r="M126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810187.33949999989</v>
      </c>
      <c r="N126" s="90"/>
      <c r="O126" s="2"/>
      <c r="P126" s="2"/>
      <c r="Q126" s="11"/>
      <c r="R126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26" s="9"/>
      <c r="T126" s="16"/>
    </row>
    <row r="127" spans="1:20" x14ac:dyDescent="0.25">
      <c r="A127" s="13" t="str">
        <f>VLOOKUP(C127,Data[],2,FALSE)</f>
        <v>MANHATTAN</v>
      </c>
      <c r="B127" s="1"/>
      <c r="C127" s="1" t="s">
        <v>129</v>
      </c>
      <c r="D127" s="1" t="str">
        <f>VLOOKUP(Table1[[#This Row],[DEVELOPMENT]],Data[],MATCH(Table1[[#Headers],[NRR]],Data[#Headers],0),FALSE)</f>
        <v>Zone 2</v>
      </c>
      <c r="E127" s="1" t="str">
        <f>VLOOKUP(Table1[[#This Row],[DEVELOPMENT]],Data[],MATCH(Table1[[#Headers],[Priority Level]],Data[#Headers],0),FALSE)</f>
        <v>$$$$</v>
      </c>
      <c r="F127" s="1" t="str">
        <f>VLOOKUP(Table1[[#This Row],[DEVELOPMENT]],Data[],MATCH(Table1[[#Headers],[RAD/PACT]],Data[#Headers],0),FALSE)</f>
        <v/>
      </c>
      <c r="G127" s="9" t="s">
        <v>68</v>
      </c>
      <c r="H127" s="7"/>
      <c r="I127" s="8"/>
      <c r="J127" s="8"/>
      <c r="K127" s="3"/>
      <c r="L127" s="93"/>
      <c r="M127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27" s="90"/>
      <c r="O127" s="2"/>
      <c r="P127" s="2"/>
      <c r="Q127" s="11"/>
      <c r="R12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27" s="9"/>
      <c r="T127" s="16"/>
    </row>
    <row r="128" spans="1:20" x14ac:dyDescent="0.25">
      <c r="A128" s="13" t="str">
        <f>VLOOKUP(C128,Data[],2,FALSE)</f>
        <v>MANHATTAN</v>
      </c>
      <c r="B128" s="1"/>
      <c r="C128" s="1" t="s">
        <v>130</v>
      </c>
      <c r="D128" s="9" t="str">
        <f>VLOOKUP(Table1[[#This Row],[DEVELOPMENT]],Data[],MATCH(Table1[[#Headers],[NRR]],Data[#Headers],0),FALSE)</f>
        <v>Zone 3</v>
      </c>
      <c r="E128" s="66" t="str">
        <f>VLOOKUP(Table1[[#This Row],[DEVELOPMENT]],Data[],MATCH(Table1[[#Headers],[Priority Level]],Data[#Headers],0),FALSE)</f>
        <v>$$$</v>
      </c>
      <c r="F128" s="66" t="str">
        <f>VLOOKUP(Table1[[#This Row],[DEVELOPMENT]],Data[],MATCH(Table1[[#Headers],[RAD/PACT]],Data[#Headers],0),FALSE)</f>
        <v/>
      </c>
      <c r="G128" s="1" t="s">
        <v>68</v>
      </c>
      <c r="H128" s="7"/>
      <c r="I128" s="8"/>
      <c r="J128" s="8">
        <f>K128</f>
        <v>0</v>
      </c>
      <c r="K128" s="3"/>
      <c r="L128" s="92"/>
      <c r="M128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28" s="90"/>
      <c r="O128" s="2"/>
      <c r="P128" s="2"/>
      <c r="Q128" s="11"/>
      <c r="R12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28" s="9"/>
      <c r="T128" s="16"/>
    </row>
    <row r="129" spans="1:20" x14ac:dyDescent="0.25">
      <c r="A129" s="13" t="str">
        <f>VLOOKUP(C129,Data[],2,FALSE)</f>
        <v>MANHATTAN</v>
      </c>
      <c r="B129" s="1"/>
      <c r="C129" s="1" t="s">
        <v>131</v>
      </c>
      <c r="D129" s="1" t="str">
        <f>VLOOKUP(Table1[[#This Row],[DEVELOPMENT]],Data[],MATCH(Table1[[#Headers],[NRR]],Data[#Headers],0),FALSE)</f>
        <v>Zone 2</v>
      </c>
      <c r="E129" s="1" t="str">
        <f>VLOOKUP(Table1[[#This Row],[DEVELOPMENT]],Data[],MATCH(Table1[[#Headers],[Priority Level]],Data[#Headers],0),FALSE)</f>
        <v>$$$</v>
      </c>
      <c r="F129" s="1" t="str">
        <f>VLOOKUP(Table1[[#This Row],[DEVELOPMENT]],Data[],MATCH(Table1[[#Headers],[RAD/PACT]],Data[#Headers],0),FALSE)</f>
        <v/>
      </c>
      <c r="G129" s="9" t="s">
        <v>68</v>
      </c>
      <c r="H129" s="7"/>
      <c r="I129" s="8"/>
      <c r="J129" s="8"/>
      <c r="K129" s="3"/>
      <c r="L129" s="93"/>
      <c r="M129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29" s="90"/>
      <c r="O129" s="2"/>
      <c r="P129" s="2"/>
      <c r="Q129" s="11"/>
      <c r="R12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29" s="9"/>
      <c r="T129" s="16"/>
    </row>
    <row r="130" spans="1:20" x14ac:dyDescent="0.25">
      <c r="A130" s="13" t="str">
        <f>VLOOKUP(C130,Data[],2,FALSE)</f>
        <v>BRONX</v>
      </c>
      <c r="B130" s="1"/>
      <c r="C130" s="1" t="s">
        <v>132</v>
      </c>
      <c r="D130" s="9" t="str">
        <f>VLOOKUP(Table1[[#This Row],[DEVELOPMENT]],Data[],MATCH(Table1[[#Headers],[NRR]],Data[#Headers],0),FALSE)</f>
        <v>Zone 3</v>
      </c>
      <c r="E130" s="66" t="str">
        <f>VLOOKUP(Table1[[#This Row],[DEVELOPMENT]],Data[],MATCH(Table1[[#Headers],[Priority Level]],Data[#Headers],0),FALSE)</f>
        <v>$$</v>
      </c>
      <c r="F130" s="66">
        <f>VLOOKUP(Table1[[#This Row],[DEVELOPMENT]],Data[],MATCH(Table1[[#Headers],[RAD/PACT]],Data[#Headers],0),FALSE)</f>
        <v>2025</v>
      </c>
      <c r="G130" s="1" t="s">
        <v>68</v>
      </c>
      <c r="H130" s="7"/>
      <c r="I130" s="8"/>
      <c r="J130" s="8">
        <f>K130</f>
        <v>0</v>
      </c>
      <c r="K130" s="3"/>
      <c r="L130" s="92"/>
      <c r="M130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30" s="90"/>
      <c r="O130" s="2"/>
      <c r="P130" s="2"/>
      <c r="Q130" s="11"/>
      <c r="R13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30" s="9"/>
      <c r="T130" s="16"/>
    </row>
    <row r="131" spans="1:20" x14ac:dyDescent="0.25">
      <c r="A131" s="13" t="str">
        <f>VLOOKUP(C131,Data[],2,FALSE)</f>
        <v>MANHATTAN</v>
      </c>
      <c r="B131" s="1"/>
      <c r="C131" s="1" t="s">
        <v>133</v>
      </c>
      <c r="D131" s="1" t="str">
        <f>VLOOKUP(Table1[[#This Row],[DEVELOPMENT]],Data[],MATCH(Table1[[#Headers],[NRR]],Data[#Headers],0),FALSE)</f>
        <v>Zone 2</v>
      </c>
      <c r="E131" s="1" t="str">
        <f>VLOOKUP(Table1[[#This Row],[DEVELOPMENT]],Data[],MATCH(Table1[[#Headers],[Priority Level]],Data[#Headers],0),FALSE)</f>
        <v>$</v>
      </c>
      <c r="F131" s="1" t="str">
        <f>VLOOKUP(Table1[[#This Row],[DEVELOPMENT]],Data[],MATCH(Table1[[#Headers],[RAD/PACT]],Data[#Headers],0),FALSE)</f>
        <v/>
      </c>
      <c r="G131" s="9" t="s">
        <v>68</v>
      </c>
      <c r="H131" s="7"/>
      <c r="I131" s="8"/>
      <c r="J131" s="8"/>
      <c r="K131" s="3"/>
      <c r="L131" s="93"/>
      <c r="M131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31" s="90"/>
      <c r="O131" s="2"/>
      <c r="P131" s="2"/>
      <c r="Q131" s="11"/>
      <c r="R13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31" s="9"/>
      <c r="T131" s="16"/>
    </row>
    <row r="132" spans="1:20" x14ac:dyDescent="0.25">
      <c r="A132" s="13" t="str">
        <f>VLOOKUP(C132,Data[],2,FALSE)</f>
        <v>QUEENS</v>
      </c>
      <c r="B132" s="1"/>
      <c r="C132" s="1" t="s">
        <v>134</v>
      </c>
      <c r="D132" s="9" t="str">
        <f>VLOOKUP(Table1[[#This Row],[DEVELOPMENT]],Data[],MATCH(Table1[[#Headers],[NRR]],Data[#Headers],0),FALSE)</f>
        <v>Zone 3</v>
      </c>
      <c r="E132" s="66" t="str">
        <f>VLOOKUP(Table1[[#This Row],[DEVELOPMENT]],Data[],MATCH(Table1[[#Headers],[Priority Level]],Data[#Headers],0),FALSE)</f>
        <v>$</v>
      </c>
      <c r="F132" s="66" t="str">
        <f>VLOOKUP(Table1[[#This Row],[DEVELOPMENT]],Data[],MATCH(Table1[[#Headers],[RAD/PACT]],Data[#Headers],0),FALSE)</f>
        <v/>
      </c>
      <c r="G132" s="1" t="s">
        <v>68</v>
      </c>
      <c r="H132" s="7"/>
      <c r="I132" s="8"/>
      <c r="J132" s="8">
        <f>K132</f>
        <v>0</v>
      </c>
      <c r="K132" s="3"/>
      <c r="L132" s="92"/>
      <c r="M132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32" s="90"/>
      <c r="O132" s="2"/>
      <c r="P132" s="2"/>
      <c r="Q132" s="11"/>
      <c r="R13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32" s="9"/>
      <c r="T132" s="16"/>
    </row>
    <row r="133" spans="1:20" x14ac:dyDescent="0.25">
      <c r="A133" s="13" t="str">
        <f>VLOOKUP(C133,Data[],2,FALSE)</f>
        <v>QUEENS</v>
      </c>
      <c r="B133" s="1"/>
      <c r="C133" s="1" t="s">
        <v>135</v>
      </c>
      <c r="D133" s="9" t="str">
        <f>VLOOKUP(Table1[[#This Row],[DEVELOPMENT]],Data[],MATCH(Table1[[#Headers],[NRR]],Data[#Headers],0),FALSE)</f>
        <v>Zone 3</v>
      </c>
      <c r="E133" s="66" t="str">
        <f>VLOOKUP(Table1[[#This Row],[DEVELOPMENT]],Data[],MATCH(Table1[[#Headers],[Priority Level]],Data[#Headers],0),FALSE)</f>
        <v>$</v>
      </c>
      <c r="F133" s="66" t="str">
        <f>VLOOKUP(Table1[[#This Row],[DEVELOPMENT]],Data[],MATCH(Table1[[#Headers],[RAD/PACT]],Data[#Headers],0),FALSE)</f>
        <v/>
      </c>
      <c r="G133" s="1" t="s">
        <v>68</v>
      </c>
      <c r="H133" s="7"/>
      <c r="I133" s="8"/>
      <c r="J133" s="8">
        <f>K133</f>
        <v>0</v>
      </c>
      <c r="K133" s="3"/>
      <c r="L133" s="92"/>
      <c r="M133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33" s="90"/>
      <c r="O133" s="2"/>
      <c r="P133" s="2"/>
      <c r="Q133" s="11"/>
      <c r="R13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33" s="9"/>
      <c r="T133" s="16"/>
    </row>
    <row r="134" spans="1:20" x14ac:dyDescent="0.25">
      <c r="A134" s="13" t="str">
        <f>VLOOKUP(C134,Data[],2,FALSE)</f>
        <v>MANHATTAN</v>
      </c>
      <c r="B134" s="1"/>
      <c r="C134" s="1" t="s">
        <v>136</v>
      </c>
      <c r="D134" s="1" t="str">
        <f>VLOOKUP(Table1[[#This Row],[DEVELOPMENT]],Data[],MATCH(Table1[[#Headers],[NRR]],Data[#Headers],0),FALSE)</f>
        <v>Zone 2</v>
      </c>
      <c r="E134" s="1" t="str">
        <f>VLOOKUP(Table1[[#This Row],[DEVELOPMENT]],Data[],MATCH(Table1[[#Headers],[Priority Level]],Data[#Headers],0),FALSE)</f>
        <v>$</v>
      </c>
      <c r="F134" s="1" t="str">
        <f>VLOOKUP(Table1[[#This Row],[DEVELOPMENT]],Data[],MATCH(Table1[[#Headers],[RAD/PACT]],Data[#Headers],0),FALSE)</f>
        <v/>
      </c>
      <c r="G134" s="9" t="s">
        <v>68</v>
      </c>
      <c r="H134" s="7"/>
      <c r="I134" s="8"/>
      <c r="J134" s="8"/>
      <c r="K134" s="3"/>
      <c r="L134" s="93"/>
      <c r="M134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34" s="90"/>
      <c r="O134" s="2"/>
      <c r="P134" s="2"/>
      <c r="Q134" s="11"/>
      <c r="R13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34" s="9"/>
      <c r="T134" s="16"/>
    </row>
    <row r="135" spans="1:20" x14ac:dyDescent="0.25">
      <c r="A135" s="13" t="str">
        <f>VLOOKUP(C135,Data[],2,FALSE)</f>
        <v>MANHATTAN</v>
      </c>
      <c r="B135" s="1"/>
      <c r="C135" s="1" t="s">
        <v>128</v>
      </c>
      <c r="D135" s="1" t="str">
        <f>VLOOKUP(Table1[[#This Row],[DEVELOPMENT]],Data[],MATCH(Table1[[#Headers],[NRR]],Data[#Headers],0),FALSE)</f>
        <v>Zone 2</v>
      </c>
      <c r="E135" s="1" t="str">
        <f>VLOOKUP(Table1[[#This Row],[DEVELOPMENT]],Data[],MATCH(Table1[[#Headers],[Priority Level]],Data[#Headers],0),FALSE)</f>
        <v>$$$</v>
      </c>
      <c r="F135" s="1" t="str">
        <f>VLOOKUP(Table1[[#This Row],[DEVELOPMENT]],Data[],MATCH(Table1[[#Headers],[RAD/PACT]],Data[#Headers],0),FALSE)</f>
        <v/>
      </c>
      <c r="G135" s="9" t="s">
        <v>68</v>
      </c>
      <c r="H135" s="7"/>
      <c r="I135" s="8"/>
      <c r="J135" s="8"/>
      <c r="K135" s="3"/>
      <c r="L135" s="93"/>
      <c r="M135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35" s="90"/>
      <c r="O135" s="2"/>
      <c r="P135" s="2"/>
      <c r="Q135" s="11"/>
      <c r="R13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35" s="9"/>
      <c r="T135" s="16"/>
    </row>
    <row r="136" spans="1:20" x14ac:dyDescent="0.25">
      <c r="A136" s="13" t="str">
        <f>VLOOKUP(C136,Data[],2,FALSE)</f>
        <v>MANHATTAN</v>
      </c>
      <c r="B136" s="1"/>
      <c r="C136" s="1" t="s">
        <v>137</v>
      </c>
      <c r="D136" s="1" t="str">
        <f>VLOOKUP(Table1[[#This Row],[DEVELOPMENT]],Data[],MATCH(Table1[[#Headers],[NRR]],Data[#Headers],0),FALSE)</f>
        <v>Zone 2</v>
      </c>
      <c r="E136" s="1" t="str">
        <f>VLOOKUP(Table1[[#This Row],[DEVELOPMENT]],Data[],MATCH(Table1[[#Headers],[Priority Level]],Data[#Headers],0),FALSE)</f>
        <v>$$$</v>
      </c>
      <c r="F136" s="1">
        <f>VLOOKUP(Table1[[#This Row],[DEVELOPMENT]],Data[],MATCH(Table1[[#Headers],[RAD/PACT]],Data[#Headers],0),FALSE)</f>
        <v>2023</v>
      </c>
      <c r="G136" s="9" t="s">
        <v>68</v>
      </c>
      <c r="H136" s="7"/>
      <c r="I136" s="8"/>
      <c r="J136" s="8"/>
      <c r="K136" s="3"/>
      <c r="L136" s="93"/>
      <c r="M136" s="92">
        <f>IF(Table1[[#This Row],[WORK TYPE]]="Exterior Compactors",VLOOKUP(Table1[[#This Row],[DEVELOPMENT]],ExtComp[],12,FALSE),IF(Table1[[#This Row],[WORK TYPE]]="Interior Compactors",VLOOKUP(Table1[[#This Row],[DEVELOPMENT]],IntComp[],12,FALSE),""))</f>
        <v>2020</v>
      </c>
      <c r="N136" s="90"/>
      <c r="O136" s="2"/>
      <c r="P136" s="2"/>
      <c r="Q136" s="11"/>
      <c r="R13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36" s="9"/>
      <c r="T136" s="16"/>
    </row>
    <row r="137" spans="1:20" x14ac:dyDescent="0.25">
      <c r="A137" s="13" t="str">
        <f>VLOOKUP(C137,Data[],2,FALSE)</f>
        <v>BRONX</v>
      </c>
      <c r="B137" s="1"/>
      <c r="C137" s="1" t="s">
        <v>123</v>
      </c>
      <c r="D137" s="1" t="str">
        <f>VLOOKUP(Table1[[#This Row],[DEVELOPMENT]],Data[],MATCH(Table1[[#Headers],[NRR]],Data[#Headers],0),FALSE)</f>
        <v>Zone 3</v>
      </c>
      <c r="E137" s="1" t="str">
        <f>VLOOKUP(Table1[[#This Row],[DEVELOPMENT]],Data[],MATCH(Table1[[#Headers],[Priority Level]],Data[#Headers],0),FALSE)</f>
        <v>$</v>
      </c>
      <c r="F137" s="1" t="str">
        <f>VLOOKUP(Table1[[#This Row],[DEVELOPMENT]],Data[],MATCH(Table1[[#Headers],[RAD/PACT]],Data[#Headers],0),FALSE)</f>
        <v/>
      </c>
      <c r="G137" s="1" t="s">
        <v>106</v>
      </c>
      <c r="H137" s="7"/>
      <c r="I137" s="8"/>
      <c r="J137" s="8"/>
      <c r="K137" s="3"/>
      <c r="L137" s="93"/>
      <c r="M137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441920.36699999991</v>
      </c>
      <c r="N137" s="90"/>
      <c r="O137" s="2"/>
      <c r="P137" s="2"/>
      <c r="Q137" s="11"/>
      <c r="R137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37" s="9"/>
      <c r="T137" s="16"/>
    </row>
    <row r="138" spans="1:20" x14ac:dyDescent="0.25">
      <c r="A138" s="13" t="str">
        <f>VLOOKUP(C138,Data[],2,FALSE)</f>
        <v>MANHATTAN</v>
      </c>
      <c r="B138" s="1"/>
      <c r="C138" s="1" t="s">
        <v>127</v>
      </c>
      <c r="D138" s="1" t="str">
        <f>VLOOKUP(Table1[[#This Row],[DEVELOPMENT]],Data[],MATCH(Table1[[#Headers],[NRR]],Data[#Headers],0),FALSE)</f>
        <v>Zone 2</v>
      </c>
      <c r="E138" s="1" t="str">
        <f>VLOOKUP(Table1[[#This Row],[DEVELOPMENT]],Data[],MATCH(Table1[[#Headers],[Priority Level]],Data[#Headers],0),FALSE)</f>
        <v>$</v>
      </c>
      <c r="F138" s="1" t="str">
        <f>VLOOKUP(Table1[[#This Row],[DEVELOPMENT]],Data[],MATCH(Table1[[#Headers],[RAD/PACT]],Data[#Headers],0),FALSE)</f>
        <v/>
      </c>
      <c r="G138" s="9" t="s">
        <v>106</v>
      </c>
      <c r="H138" s="12"/>
      <c r="I138" s="8"/>
      <c r="J138" s="8"/>
      <c r="K138" s="3"/>
      <c r="L138" s="93"/>
      <c r="M138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1620374.6789999998</v>
      </c>
      <c r="N138" s="90"/>
      <c r="O138" s="2"/>
      <c r="P138" s="2"/>
      <c r="Q138" s="11"/>
      <c r="R138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38" s="9"/>
      <c r="T138" s="16"/>
    </row>
    <row r="139" spans="1:20" x14ac:dyDescent="0.25">
      <c r="A139" s="13" t="str">
        <f>VLOOKUP(C139,Data[],2,FALSE)</f>
        <v>MANHATTAN</v>
      </c>
      <c r="B139" s="1"/>
      <c r="C139" s="1" t="s">
        <v>129</v>
      </c>
      <c r="D139" s="1" t="str">
        <f>VLOOKUP(Table1[[#This Row],[DEVELOPMENT]],Data[],MATCH(Table1[[#Headers],[NRR]],Data[#Headers],0),FALSE)</f>
        <v>Zone 2</v>
      </c>
      <c r="E139" s="1" t="str">
        <f>VLOOKUP(Table1[[#This Row],[DEVELOPMENT]],Data[],MATCH(Table1[[#Headers],[Priority Level]],Data[#Headers],0),FALSE)</f>
        <v>$$$$</v>
      </c>
      <c r="F139" s="1" t="str">
        <f>VLOOKUP(Table1[[#This Row],[DEVELOPMENT]],Data[],MATCH(Table1[[#Headers],[RAD/PACT]],Data[#Headers],0),FALSE)</f>
        <v/>
      </c>
      <c r="G139" s="9" t="s">
        <v>106</v>
      </c>
      <c r="H139" s="12"/>
      <c r="I139" s="8"/>
      <c r="J139" s="8"/>
      <c r="K139" s="3"/>
      <c r="L139" s="93"/>
      <c r="M139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441920.36699999991</v>
      </c>
      <c r="N139" s="90"/>
      <c r="O139" s="2"/>
      <c r="P139" s="2"/>
      <c r="Q139" s="11"/>
      <c r="R139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39" s="9"/>
      <c r="T139" s="16"/>
    </row>
    <row r="140" spans="1:20" x14ac:dyDescent="0.25">
      <c r="A140" s="13" t="str">
        <f>VLOOKUP(C140,Data[],2,FALSE)</f>
        <v>MANHATTAN</v>
      </c>
      <c r="B140" s="1"/>
      <c r="C140" s="1" t="s">
        <v>113</v>
      </c>
      <c r="D140" s="1" t="str">
        <f>VLOOKUP(Table1[[#This Row],[DEVELOPMENT]],Data[],MATCH(Table1[[#Headers],[NRR]],Data[#Headers],0),FALSE)</f>
        <v>Zone 2</v>
      </c>
      <c r="E140" s="1" t="str">
        <f>VLOOKUP(Table1[[#This Row],[DEVELOPMENT]],Data[],MATCH(Table1[[#Headers],[Priority Level]],Data[#Headers],0),FALSE)</f>
        <v>$$$$</v>
      </c>
      <c r="F140" s="1" t="str">
        <f>VLOOKUP(Table1[[#This Row],[DEVELOPMENT]],Data[],MATCH(Table1[[#Headers],[RAD/PACT]],Data[#Headers],0),FALSE)</f>
        <v/>
      </c>
      <c r="G140" s="9" t="s">
        <v>106</v>
      </c>
      <c r="H140" s="7"/>
      <c r="I140" s="8"/>
      <c r="J140" s="8"/>
      <c r="K140" s="3"/>
      <c r="L140" s="93"/>
      <c r="M140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1473067.89</v>
      </c>
      <c r="N140" s="90"/>
      <c r="O140" s="2"/>
      <c r="P140" s="2"/>
      <c r="Q140" s="11"/>
      <c r="R140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0" s="9"/>
      <c r="T140" s="16"/>
    </row>
    <row r="141" spans="1:20" x14ac:dyDescent="0.25">
      <c r="A141" s="13" t="str">
        <f>VLOOKUP(C141,Data[],2,FALSE)</f>
        <v>MANHATTAN</v>
      </c>
      <c r="B141" s="1"/>
      <c r="C141" s="1" t="s">
        <v>92</v>
      </c>
      <c r="D141" s="1" t="str">
        <f>VLOOKUP(Table1[[#This Row],[DEVELOPMENT]],Data[],MATCH(Table1[[#Headers],[NRR]],Data[#Headers],0),FALSE)</f>
        <v>Zone 2</v>
      </c>
      <c r="E141" s="1" t="str">
        <f>VLOOKUP(Table1[[#This Row],[DEVELOPMENT]],Data[],MATCH(Table1[[#Headers],[Priority Level]],Data[#Headers],0),FALSE)</f>
        <v>$$$$</v>
      </c>
      <c r="F141" s="1" t="str">
        <f>VLOOKUP(Table1[[#This Row],[DEVELOPMENT]],Data[],MATCH(Table1[[#Headers],[RAD/PACT]],Data[#Headers],0),FALSE)</f>
        <v/>
      </c>
      <c r="G141" s="9" t="s">
        <v>106</v>
      </c>
      <c r="H141" s="7"/>
      <c r="I141" s="8"/>
      <c r="J141" s="8"/>
      <c r="K141" s="3"/>
      <c r="L141" s="93"/>
      <c r="M141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141" s="90"/>
      <c r="O141" s="2"/>
      <c r="P141" s="2"/>
      <c r="Q141" s="11"/>
      <c r="R141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1" s="9"/>
      <c r="T141" s="16"/>
    </row>
    <row r="142" spans="1:20" x14ac:dyDescent="0.25">
      <c r="A142" s="13" t="str">
        <f>VLOOKUP(C142,Data[],2,FALSE)</f>
        <v>BROOKLYN</v>
      </c>
      <c r="B142" s="9" t="s">
        <v>25</v>
      </c>
      <c r="C142" s="9" t="s">
        <v>26</v>
      </c>
      <c r="D142" s="1" t="str">
        <f>VLOOKUP(Table1[[#This Row],[DEVELOPMENT]],Data[],MATCH(Table1[[#Headers],[NRR]],Data[#Headers],0),FALSE)</f>
        <v>Zone 1</v>
      </c>
      <c r="E142" s="1" t="str">
        <f>VLOOKUP(Table1[[#This Row],[DEVELOPMENT]],Data[],MATCH(Table1[[#Headers],[Priority Level]],Data[#Headers],0),FALSE)</f>
        <v>$$</v>
      </c>
      <c r="F142" s="1" t="str">
        <f>VLOOKUP(Table1[[#This Row],[DEVELOPMENT]],Data[],MATCH(Table1[[#Headers],[RAD/PACT]],Data[#Headers],0),FALSE)</f>
        <v/>
      </c>
      <c r="G142" s="9" t="s">
        <v>106</v>
      </c>
      <c r="H142" s="12" t="s">
        <v>85</v>
      </c>
      <c r="I142" s="10"/>
      <c r="J142" s="10">
        <f>K142</f>
        <v>220329</v>
      </c>
      <c r="K142" s="11">
        <v>220329</v>
      </c>
      <c r="L142" s="90">
        <v>2019</v>
      </c>
      <c r="M142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589227.15599999996</v>
      </c>
      <c r="N142" s="92"/>
      <c r="O142" s="2" t="s">
        <v>53</v>
      </c>
      <c r="P142" s="2"/>
      <c r="Q142" s="3"/>
      <c r="R142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2" s="1"/>
      <c r="T142" s="16"/>
    </row>
    <row r="143" spans="1:20" x14ac:dyDescent="0.25">
      <c r="A143" s="13" t="str">
        <f>VLOOKUP(C143,Data[],2,FALSE)</f>
        <v>MANHATTAN</v>
      </c>
      <c r="B143" s="1"/>
      <c r="C143" s="1" t="s">
        <v>112</v>
      </c>
      <c r="D143" s="1" t="str">
        <f>VLOOKUP(Table1[[#This Row],[DEVELOPMENT]],Data[],MATCH(Table1[[#Headers],[NRR]],Data[#Headers],0),FALSE)</f>
        <v>Zone 2</v>
      </c>
      <c r="E143" s="1" t="str">
        <f>VLOOKUP(Table1[[#This Row],[DEVELOPMENT]],Data[],MATCH(Table1[[#Headers],[Priority Level]],Data[#Headers],0),FALSE)</f>
        <v>$$</v>
      </c>
      <c r="F143" s="1">
        <f>VLOOKUP(Table1[[#This Row],[DEVELOPMENT]],Data[],MATCH(Table1[[#Headers],[RAD/PACT]],Data[#Headers],0),FALSE)</f>
        <v>2026</v>
      </c>
      <c r="G143" s="9" t="s">
        <v>106</v>
      </c>
      <c r="H143" s="7"/>
      <c r="I143" s="8"/>
      <c r="J143" s="8"/>
      <c r="K143" s="3"/>
      <c r="L143" s="93"/>
      <c r="M143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2504215.4129999997</v>
      </c>
      <c r="N143" s="90"/>
      <c r="O143" s="2"/>
      <c r="P143" s="2"/>
      <c r="Q143" s="11"/>
      <c r="R143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3" s="9"/>
      <c r="T143" s="16"/>
    </row>
    <row r="144" spans="1:20" x14ac:dyDescent="0.25">
      <c r="A144" s="13" t="str">
        <f>VLOOKUP(C144,Data[],2,FALSE)</f>
        <v>MANHATTAN</v>
      </c>
      <c r="B144" s="1"/>
      <c r="C144" s="1" t="s">
        <v>131</v>
      </c>
      <c r="D144" s="1" t="str">
        <f>VLOOKUP(Table1[[#This Row],[DEVELOPMENT]],Data[],MATCH(Table1[[#Headers],[NRR]],Data[#Headers],0),FALSE)</f>
        <v>Zone 2</v>
      </c>
      <c r="E144" s="1" t="str">
        <f>VLOOKUP(Table1[[#This Row],[DEVELOPMENT]],Data[],MATCH(Table1[[#Headers],[Priority Level]],Data[#Headers],0),FALSE)</f>
        <v>$$$</v>
      </c>
      <c r="F144" s="1" t="str">
        <f>VLOOKUP(Table1[[#This Row],[DEVELOPMENT]],Data[],MATCH(Table1[[#Headers],[RAD/PACT]],Data[#Headers],0),FALSE)</f>
        <v/>
      </c>
      <c r="G144" s="9" t="s">
        <v>106</v>
      </c>
      <c r="H144" s="12"/>
      <c r="I144" s="8"/>
      <c r="J144" s="8"/>
      <c r="K144" s="3"/>
      <c r="L144" s="93"/>
      <c r="M144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736533.94499999995</v>
      </c>
      <c r="N144" s="90"/>
      <c r="O144" s="2"/>
      <c r="P144" s="2"/>
      <c r="Q144" s="11"/>
      <c r="R144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4" s="9"/>
      <c r="T144" s="16"/>
    </row>
    <row r="145" spans="1:20" x14ac:dyDescent="0.25">
      <c r="A145" s="13" t="str">
        <f>VLOOKUP(C145,Data[],2,FALSE)</f>
        <v>MANHATTAN</v>
      </c>
      <c r="B145" s="1"/>
      <c r="C145" s="1" t="s">
        <v>95</v>
      </c>
      <c r="D145" s="1" t="str">
        <f>VLOOKUP(Table1[[#This Row],[DEVELOPMENT]],Data[],MATCH(Table1[[#Headers],[NRR]],Data[#Headers],0),FALSE)</f>
        <v>Zone 2</v>
      </c>
      <c r="E145" s="1" t="str">
        <f>VLOOKUP(Table1[[#This Row],[DEVELOPMENT]],Data[],MATCH(Table1[[#Headers],[Priority Level]],Data[#Headers],0),FALSE)</f>
        <v>$$</v>
      </c>
      <c r="F145" s="1">
        <f>VLOOKUP(Table1[[#This Row],[DEVELOPMENT]],Data[],MATCH(Table1[[#Headers],[RAD/PACT]],Data[#Headers],0),FALSE)</f>
        <v>2026</v>
      </c>
      <c r="G145" s="9" t="s">
        <v>106</v>
      </c>
      <c r="H145" s="7"/>
      <c r="I145" s="8"/>
      <c r="J145" s="8"/>
      <c r="K145" s="3"/>
      <c r="L145" s="93"/>
      <c r="M145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2946135.78</v>
      </c>
      <c r="N145" s="90"/>
      <c r="O145" s="2"/>
      <c r="P145" s="2"/>
      <c r="Q145" s="11"/>
      <c r="R145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5" s="9"/>
      <c r="T145" s="16"/>
    </row>
    <row r="146" spans="1:20" x14ac:dyDescent="0.25">
      <c r="A146" s="13" t="str">
        <f>VLOOKUP(C146,Data[],2,FALSE)</f>
        <v>MANHATTAN</v>
      </c>
      <c r="B146" s="1"/>
      <c r="C146" s="1" t="s">
        <v>90</v>
      </c>
      <c r="D146" s="1" t="str">
        <f>VLOOKUP(Table1[[#This Row],[DEVELOPMENT]],Data[],MATCH(Table1[[#Headers],[NRR]],Data[#Headers],0),FALSE)</f>
        <v>Zone 2</v>
      </c>
      <c r="E146" s="1" t="str">
        <f>VLOOKUP(Table1[[#This Row],[DEVELOPMENT]],Data[],MATCH(Table1[[#Headers],[Priority Level]],Data[#Headers],0),FALSE)</f>
        <v>$</v>
      </c>
      <c r="F146" s="1" t="str">
        <f>VLOOKUP(Table1[[#This Row],[DEVELOPMENT]],Data[],MATCH(Table1[[#Headers],[RAD/PACT]],Data[#Headers],0),FALSE)</f>
        <v/>
      </c>
      <c r="G146" s="9" t="s">
        <v>106</v>
      </c>
      <c r="H146" s="7"/>
      <c r="I146" s="8"/>
      <c r="J146" s="8"/>
      <c r="K146" s="3"/>
      <c r="L146" s="93"/>
      <c r="M146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220960.18349999996</v>
      </c>
      <c r="N146" s="90"/>
      <c r="O146" s="2"/>
      <c r="P146" s="2"/>
      <c r="Q146" s="11"/>
      <c r="R146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6" s="9"/>
      <c r="T146" s="16"/>
    </row>
    <row r="147" spans="1:20" x14ac:dyDescent="0.25">
      <c r="A147" s="13" t="str">
        <f>VLOOKUP(C147,Data[],2,FALSE)</f>
        <v>BRONX</v>
      </c>
      <c r="B147" s="1"/>
      <c r="C147" s="1" t="s">
        <v>114</v>
      </c>
      <c r="D147" s="1" t="str">
        <f>VLOOKUP(Table1[[#This Row],[DEVELOPMENT]],Data[],MATCH(Table1[[#Headers],[NRR]],Data[#Headers],0),FALSE)</f>
        <v>Zone 3</v>
      </c>
      <c r="E147" s="1" t="str">
        <f>VLOOKUP(Table1[[#This Row],[DEVELOPMENT]],Data[],MATCH(Table1[[#Headers],[Priority Level]],Data[#Headers],0),FALSE)</f>
        <v>$</v>
      </c>
      <c r="F147" s="1" t="str">
        <f>VLOOKUP(Table1[[#This Row],[DEVELOPMENT]],Data[],MATCH(Table1[[#Headers],[RAD/PACT]],Data[#Headers],0),FALSE)</f>
        <v/>
      </c>
      <c r="G147" s="1" t="s">
        <v>106</v>
      </c>
      <c r="H147" s="7"/>
      <c r="I147" s="8"/>
      <c r="J147" s="8"/>
      <c r="K147" s="3"/>
      <c r="L147" s="93"/>
      <c r="M147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1325761.1009999998</v>
      </c>
      <c r="N147" s="90"/>
      <c r="O147" s="2"/>
      <c r="P147" s="2"/>
      <c r="Q147" s="11"/>
      <c r="R147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7" s="9"/>
      <c r="T147" s="16"/>
    </row>
    <row r="148" spans="1:20" x14ac:dyDescent="0.25">
      <c r="A148" s="13" t="str">
        <f>VLOOKUP(C148,Data[],2,FALSE)</f>
        <v>MANHATTAN</v>
      </c>
      <c r="B148" s="1"/>
      <c r="C148" s="1" t="s">
        <v>136</v>
      </c>
      <c r="D148" s="1" t="str">
        <f>VLOOKUP(Table1[[#This Row],[DEVELOPMENT]],Data[],MATCH(Table1[[#Headers],[NRR]],Data[#Headers],0),FALSE)</f>
        <v>Zone 2</v>
      </c>
      <c r="E148" s="1" t="str">
        <f>VLOOKUP(Table1[[#This Row],[DEVELOPMENT]],Data[],MATCH(Table1[[#Headers],[Priority Level]],Data[#Headers],0),FALSE)</f>
        <v>$</v>
      </c>
      <c r="F148" s="1" t="str">
        <f>VLOOKUP(Table1[[#This Row],[DEVELOPMENT]],Data[],MATCH(Table1[[#Headers],[RAD/PACT]],Data[#Headers],0),FALSE)</f>
        <v/>
      </c>
      <c r="G148" s="9" t="s">
        <v>106</v>
      </c>
      <c r="H148" s="7"/>
      <c r="I148" s="8"/>
      <c r="J148" s="8"/>
      <c r="K148" s="3"/>
      <c r="L148" s="93"/>
      <c r="M148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1031147.5229999998</v>
      </c>
      <c r="N148" s="90"/>
      <c r="O148" s="2"/>
      <c r="P148" s="2"/>
      <c r="Q148" s="11"/>
      <c r="R148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8" s="9"/>
      <c r="T148" s="16"/>
    </row>
    <row r="149" spans="1:20" x14ac:dyDescent="0.25">
      <c r="A149" s="13" t="str">
        <f>VLOOKUP(C149,Data[],2,FALSE)</f>
        <v>MANHATTAN</v>
      </c>
      <c r="B149" s="1"/>
      <c r="C149" s="1" t="s">
        <v>130</v>
      </c>
      <c r="D149" s="1" t="str">
        <f>VLOOKUP(Table1[[#This Row],[DEVELOPMENT]],Data[],MATCH(Table1[[#Headers],[NRR]],Data[#Headers],0),FALSE)</f>
        <v>Zone 3</v>
      </c>
      <c r="E149" s="1" t="str">
        <f>VLOOKUP(Table1[[#This Row],[DEVELOPMENT]],Data[],MATCH(Table1[[#Headers],[Priority Level]],Data[#Headers],0),FALSE)</f>
        <v>$$$</v>
      </c>
      <c r="F149" s="1" t="str">
        <f>VLOOKUP(Table1[[#This Row],[DEVELOPMENT]],Data[],MATCH(Table1[[#Headers],[RAD/PACT]],Data[#Headers],0),FALSE)</f>
        <v/>
      </c>
      <c r="G149" s="1" t="s">
        <v>106</v>
      </c>
      <c r="H149" s="7"/>
      <c r="I149" s="8"/>
      <c r="J149" s="8"/>
      <c r="K149" s="3"/>
      <c r="L149" s="93"/>
      <c r="M149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810187.33949999989</v>
      </c>
      <c r="N149" s="90"/>
      <c r="O149" s="2"/>
      <c r="P149" s="2"/>
      <c r="Q149" s="11"/>
      <c r="R149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49" s="9"/>
      <c r="T149" s="16"/>
    </row>
    <row r="150" spans="1:20" x14ac:dyDescent="0.25">
      <c r="A150" s="13" t="str">
        <f>VLOOKUP(C150,Data[],2,FALSE)</f>
        <v>MANHATTAN</v>
      </c>
      <c r="B150" s="1"/>
      <c r="C150" s="1" t="s">
        <v>76</v>
      </c>
      <c r="D150" s="1" t="str">
        <f>VLOOKUP(Table1[[#This Row],[DEVELOPMENT]],Data[],MATCH(Table1[[#Headers],[NRR]],Data[#Headers],0),FALSE)</f>
        <v>Zone 3</v>
      </c>
      <c r="E150" s="1" t="str">
        <f>VLOOKUP(Table1[[#This Row],[DEVELOPMENT]],Data[],MATCH(Table1[[#Headers],[Priority Level]],Data[#Headers],0),FALSE)</f>
        <v>$$$</v>
      </c>
      <c r="F150" s="1" t="str">
        <f>VLOOKUP(Table1[[#This Row],[DEVELOPMENT]],Data[],MATCH(Table1[[#Headers],[RAD/PACT]],Data[#Headers],0),FALSE)</f>
        <v/>
      </c>
      <c r="G150" s="1" t="s">
        <v>106</v>
      </c>
      <c r="H150" s="7"/>
      <c r="I150" s="8"/>
      <c r="J150" s="8"/>
      <c r="K150" s="3"/>
      <c r="L150" s="93"/>
      <c r="M150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441920.36699999991</v>
      </c>
      <c r="N150" s="90"/>
      <c r="O150" s="2"/>
      <c r="P150" s="2"/>
      <c r="Q150" s="11"/>
      <c r="R150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50" s="9"/>
      <c r="T150" s="16"/>
    </row>
    <row r="151" spans="1:20" x14ac:dyDescent="0.25">
      <c r="A151" s="13" t="str">
        <f>VLOOKUP(C151,Data[],2,FALSE)</f>
        <v>MANHATTAN</v>
      </c>
      <c r="B151" s="1"/>
      <c r="C151" s="1" t="s">
        <v>71</v>
      </c>
      <c r="D151" s="1" t="str">
        <f>VLOOKUP(Table1[[#This Row],[DEVELOPMENT]],Data[],MATCH(Table1[[#Headers],[NRR]],Data[#Headers],0),FALSE)</f>
        <v>Zone 3</v>
      </c>
      <c r="E151" s="1" t="str">
        <f>VLOOKUP(Table1[[#This Row],[DEVELOPMENT]],Data[],MATCH(Table1[[#Headers],[Priority Level]],Data[#Headers],0),FALSE)</f>
        <v>$$</v>
      </c>
      <c r="F151" s="1">
        <f>VLOOKUP(Table1[[#This Row],[DEVELOPMENT]],Data[],MATCH(Table1[[#Headers],[RAD/PACT]],Data[#Headers],0),FALSE)</f>
        <v>2020</v>
      </c>
      <c r="G151" s="1" t="s">
        <v>106</v>
      </c>
      <c r="H151" s="7"/>
      <c r="I151" s="8"/>
      <c r="J151" s="8"/>
      <c r="K151" s="3"/>
      <c r="L151" s="93"/>
      <c r="M151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51" s="90"/>
      <c r="O151" s="2"/>
      <c r="P151" s="2"/>
      <c r="Q151" s="11"/>
      <c r="R15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51" s="9"/>
      <c r="T151" s="16"/>
    </row>
    <row r="152" spans="1:20" x14ac:dyDescent="0.25">
      <c r="A152" s="13" t="str">
        <f>VLOOKUP(C152,Data[],2,FALSE)</f>
        <v>MANHATTAN</v>
      </c>
      <c r="B152" s="1"/>
      <c r="C152" s="1" t="s">
        <v>120</v>
      </c>
      <c r="D152" s="1" t="str">
        <f>VLOOKUP(Table1[[#This Row],[DEVELOPMENT]],Data[],MATCH(Table1[[#Headers],[NRR]],Data[#Headers],0),FALSE)</f>
        <v>Zone 2</v>
      </c>
      <c r="E152" s="1" t="str">
        <f>VLOOKUP(Table1[[#This Row],[DEVELOPMENT]],Data[],MATCH(Table1[[#Headers],[Priority Level]],Data[#Headers],0),FALSE)</f>
        <v>$$</v>
      </c>
      <c r="F152" s="1" t="str">
        <f>VLOOKUP(Table1[[#This Row],[DEVELOPMENT]],Data[],MATCH(Table1[[#Headers],[RAD/PACT]],Data[#Headers],0),FALSE)</f>
        <v/>
      </c>
      <c r="G152" s="9" t="s">
        <v>106</v>
      </c>
      <c r="H152" s="12"/>
      <c r="I152" s="8"/>
      <c r="J152" s="8"/>
      <c r="K152" s="3"/>
      <c r="L152" s="93"/>
      <c r="M152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957494.12849999988</v>
      </c>
      <c r="N152" s="90"/>
      <c r="O152" s="2"/>
      <c r="P152" s="2"/>
      <c r="Q152" s="11"/>
      <c r="R152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52" s="9"/>
      <c r="T152" s="16"/>
    </row>
    <row r="153" spans="1:20" x14ac:dyDescent="0.25">
      <c r="A153" s="13" t="str">
        <f>VLOOKUP(C153,Data[],2,FALSE)</f>
        <v>MANHATTAN</v>
      </c>
      <c r="B153" s="1"/>
      <c r="C153" s="1" t="s">
        <v>75</v>
      </c>
      <c r="D153" s="1" t="str">
        <f>VLOOKUP(Table1[[#This Row],[DEVELOPMENT]],Data[],MATCH(Table1[[#Headers],[NRR]],Data[#Headers],0),FALSE)</f>
        <v>Zone 3</v>
      </c>
      <c r="E153" s="1" t="str">
        <f>VLOOKUP(Table1[[#This Row],[DEVELOPMENT]],Data[],MATCH(Table1[[#Headers],[Priority Level]],Data[#Headers],0),FALSE)</f>
        <v>$</v>
      </c>
      <c r="F153" s="1" t="str">
        <f>VLOOKUP(Table1[[#This Row],[DEVELOPMENT]],Data[],MATCH(Table1[[#Headers],[RAD/PACT]],Data[#Headers],0),FALSE)</f>
        <v/>
      </c>
      <c r="G153" s="1" t="s">
        <v>106</v>
      </c>
      <c r="H153" s="7"/>
      <c r="I153" s="8"/>
      <c r="J153" s="8"/>
      <c r="K153" s="3"/>
      <c r="L153" s="93"/>
      <c r="M153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153" s="90"/>
      <c r="O153" s="2"/>
      <c r="P153" s="2"/>
      <c r="Q153" s="11"/>
      <c r="R153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53" s="9"/>
      <c r="T153" s="16"/>
    </row>
    <row r="154" spans="1:20" x14ac:dyDescent="0.25">
      <c r="A154" s="13" t="str">
        <f>VLOOKUP(C154,Data[],2,FALSE)</f>
        <v>MANHATTAN</v>
      </c>
      <c r="B154" s="1"/>
      <c r="C154" s="1" t="s">
        <v>77</v>
      </c>
      <c r="D154" s="1" t="str">
        <f>VLOOKUP(Table1[[#This Row],[DEVELOPMENT]],Data[],MATCH(Table1[[#Headers],[NRR]],Data[#Headers],0),FALSE)</f>
        <v>Zone 2</v>
      </c>
      <c r="E154" s="1" t="str">
        <f>VLOOKUP(Table1[[#This Row],[DEVELOPMENT]],Data[],MATCH(Table1[[#Headers],[Priority Level]],Data[#Headers],0),FALSE)</f>
        <v>$</v>
      </c>
      <c r="F154" s="1" t="str">
        <f>VLOOKUP(Table1[[#This Row],[DEVELOPMENT]],Data[],MATCH(Table1[[#Headers],[RAD/PACT]],Data[#Headers],0),FALSE)</f>
        <v/>
      </c>
      <c r="G154" s="9" t="s">
        <v>106</v>
      </c>
      <c r="H154" s="7"/>
      <c r="I154" s="8"/>
      <c r="J154" s="8"/>
      <c r="K154" s="3"/>
      <c r="L154" s="93"/>
      <c r="M154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368266.97249999997</v>
      </c>
      <c r="N154" s="90"/>
      <c r="O154" s="2"/>
      <c r="P154" s="2"/>
      <c r="Q154" s="11"/>
      <c r="R154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54" s="9"/>
      <c r="T154" s="16"/>
    </row>
    <row r="155" spans="1:20" x14ac:dyDescent="0.25">
      <c r="A155" s="13" t="str">
        <f>VLOOKUP(C155,Data[],2,FALSE)</f>
        <v>MANHATTAN</v>
      </c>
      <c r="B155" s="1"/>
      <c r="C155" s="1" t="s">
        <v>111</v>
      </c>
      <c r="D155" s="1" t="str">
        <f>VLOOKUP(Table1[[#This Row],[DEVELOPMENT]],Data[],MATCH(Table1[[#Headers],[NRR]],Data[#Headers],0),FALSE)</f>
        <v>Zone 3</v>
      </c>
      <c r="E155" s="1" t="str">
        <f>VLOOKUP(Table1[[#This Row],[DEVELOPMENT]],Data[],MATCH(Table1[[#Headers],[Priority Level]],Data[#Headers],0),FALSE)</f>
        <v>$</v>
      </c>
      <c r="F155" s="1" t="str">
        <f>VLOOKUP(Table1[[#This Row],[DEVELOPMENT]],Data[],MATCH(Table1[[#Headers],[RAD/PACT]],Data[#Headers],0),FALSE)</f>
        <v/>
      </c>
      <c r="G155" s="1" t="s">
        <v>106</v>
      </c>
      <c r="H155" s="7"/>
      <c r="I155" s="8"/>
      <c r="J155" s="8"/>
      <c r="K155" s="3"/>
      <c r="L155" s="93"/>
      <c r="M155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1399414.4955</v>
      </c>
      <c r="N155" s="90"/>
      <c r="O155" s="2"/>
      <c r="P155" s="2"/>
      <c r="Q155" s="11"/>
      <c r="R155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55" s="9"/>
      <c r="T155" s="16"/>
    </row>
    <row r="156" spans="1:20" x14ac:dyDescent="0.25">
      <c r="A156" s="13" t="str">
        <f>VLOOKUP(C156,Data[],2,FALSE)</f>
        <v>BRONX</v>
      </c>
      <c r="B156" s="1"/>
      <c r="C156" s="1" t="s">
        <v>91</v>
      </c>
      <c r="D156" s="1" t="str">
        <f>VLOOKUP(Table1[[#This Row],[DEVELOPMENT]],Data[],MATCH(Table1[[#Headers],[NRR]],Data[#Headers],0),FALSE)</f>
        <v>Zone 3</v>
      </c>
      <c r="E156" s="1" t="str">
        <f>VLOOKUP(Table1[[#This Row],[DEVELOPMENT]],Data[],MATCH(Table1[[#Headers],[Priority Level]],Data[#Headers],0),FALSE)</f>
        <v>$$</v>
      </c>
      <c r="F156" s="1" t="str">
        <f>VLOOKUP(Table1[[#This Row],[DEVELOPMENT]],Data[],MATCH(Table1[[#Headers],[RAD/PACT]],Data[#Headers],0),FALSE)</f>
        <v/>
      </c>
      <c r="G156" s="1" t="s">
        <v>106</v>
      </c>
      <c r="H156" s="7"/>
      <c r="I156" s="8"/>
      <c r="J156" s="8"/>
      <c r="K156" s="3"/>
      <c r="L156" s="93"/>
      <c r="M156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294613.57799999998</v>
      </c>
      <c r="N156" s="90"/>
      <c r="O156" s="2"/>
      <c r="P156" s="2"/>
      <c r="Q156" s="11"/>
      <c r="R156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56" s="9"/>
      <c r="T156" s="16"/>
    </row>
    <row r="157" spans="1:20" x14ac:dyDescent="0.25">
      <c r="A157" s="13" t="str">
        <f>VLOOKUP(C157,Data[],2,FALSE)</f>
        <v>BRONX</v>
      </c>
      <c r="B157" s="1"/>
      <c r="C157" s="1" t="s">
        <v>98</v>
      </c>
      <c r="D157" s="1" t="str">
        <f>VLOOKUP(Table1[[#This Row],[DEVELOPMENT]],Data[],MATCH(Table1[[#Headers],[NRR]],Data[#Headers],0),FALSE)</f>
        <v>Zone 3</v>
      </c>
      <c r="E157" s="1" t="str">
        <f>VLOOKUP(Table1[[#This Row],[DEVELOPMENT]],Data[],MATCH(Table1[[#Headers],[Priority Level]],Data[#Headers],0),FALSE)</f>
        <v>$</v>
      </c>
      <c r="F157" s="1">
        <f>VLOOKUP(Table1[[#This Row],[DEVELOPMENT]],Data[],MATCH(Table1[[#Headers],[RAD/PACT]],Data[#Headers],0),FALSE)</f>
        <v>2026</v>
      </c>
      <c r="G157" s="1" t="s">
        <v>106</v>
      </c>
      <c r="H157" s="7"/>
      <c r="I157" s="8"/>
      <c r="J157" s="8"/>
      <c r="K157" s="3"/>
      <c r="L157" s="93"/>
      <c r="M157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157" s="90"/>
      <c r="O157" s="2"/>
      <c r="P157" s="2"/>
      <c r="Q157" s="11"/>
      <c r="R157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57" s="9"/>
      <c r="T157" s="16"/>
    </row>
    <row r="158" spans="1:20" x14ac:dyDescent="0.25">
      <c r="A158" s="13" t="str">
        <f>VLOOKUP(C158,Data[],2,FALSE)</f>
        <v>QUEENS</v>
      </c>
      <c r="B158" s="1"/>
      <c r="C158" s="1" t="s">
        <v>135</v>
      </c>
      <c r="D158" s="1" t="str">
        <f>VLOOKUP(Table1[[#This Row],[DEVELOPMENT]],Data[],MATCH(Table1[[#Headers],[NRR]],Data[#Headers],0),FALSE)</f>
        <v>Zone 3</v>
      </c>
      <c r="E158" s="1" t="str">
        <f>VLOOKUP(Table1[[#This Row],[DEVELOPMENT]],Data[],MATCH(Table1[[#Headers],[Priority Level]],Data[#Headers],0),FALSE)</f>
        <v>$</v>
      </c>
      <c r="F158" s="1" t="str">
        <f>VLOOKUP(Table1[[#This Row],[DEVELOPMENT]],Data[],MATCH(Table1[[#Headers],[RAD/PACT]],Data[#Headers],0),FALSE)</f>
        <v/>
      </c>
      <c r="G158" s="1" t="s">
        <v>106</v>
      </c>
      <c r="H158" s="7"/>
      <c r="I158" s="8"/>
      <c r="J158" s="8"/>
      <c r="K158" s="3"/>
      <c r="L158" s="93"/>
      <c r="M158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3609016.3304999997</v>
      </c>
      <c r="N158" s="90"/>
      <c r="O158" s="2"/>
      <c r="P158" s="2"/>
      <c r="Q158" s="11"/>
      <c r="R158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58" s="9"/>
      <c r="T158" s="16"/>
    </row>
    <row r="159" spans="1:20" x14ac:dyDescent="0.25">
      <c r="A159" s="13" t="str">
        <f>VLOOKUP(C159,Data[],2,FALSE)</f>
        <v>BRONX</v>
      </c>
      <c r="B159" s="1"/>
      <c r="C159" s="1" t="s">
        <v>73</v>
      </c>
      <c r="D159" s="1" t="str">
        <f>VLOOKUP(Table1[[#This Row],[DEVELOPMENT]],Data[],MATCH(Table1[[#Headers],[NRR]],Data[#Headers],0),FALSE)</f>
        <v>Zone 3</v>
      </c>
      <c r="E159" s="1" t="str">
        <f>VLOOKUP(Table1[[#This Row],[DEVELOPMENT]],Data[],MATCH(Table1[[#Headers],[Priority Level]],Data[#Headers],0),FALSE)</f>
        <v>$</v>
      </c>
      <c r="F159" s="1" t="str">
        <f>VLOOKUP(Table1[[#This Row],[DEVELOPMENT]],Data[],MATCH(Table1[[#Headers],[RAD/PACT]],Data[#Headers],0),FALSE)</f>
        <v/>
      </c>
      <c r="G159" s="1" t="s">
        <v>106</v>
      </c>
      <c r="H159" s="7"/>
      <c r="I159" s="8"/>
      <c r="J159" s="8"/>
      <c r="K159" s="3"/>
      <c r="L159" s="93"/>
      <c r="M159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662880.5504999999</v>
      </c>
      <c r="N159" s="90"/>
      <c r="O159" s="2"/>
      <c r="P159" s="2"/>
      <c r="Q159" s="11"/>
      <c r="R159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59" s="9"/>
      <c r="T159" s="16"/>
    </row>
    <row r="160" spans="1:20" x14ac:dyDescent="0.25">
      <c r="A160" s="13" t="str">
        <f>VLOOKUP(C160,Data[],2,FALSE)</f>
        <v>QUEENS</v>
      </c>
      <c r="B160" s="1"/>
      <c r="C160" s="1" t="s">
        <v>134</v>
      </c>
      <c r="D160" s="1" t="str">
        <f>VLOOKUP(Table1[[#This Row],[DEVELOPMENT]],Data[],MATCH(Table1[[#Headers],[NRR]],Data[#Headers],0),FALSE)</f>
        <v>Zone 3</v>
      </c>
      <c r="E160" s="1" t="str">
        <f>VLOOKUP(Table1[[#This Row],[DEVELOPMENT]],Data[],MATCH(Table1[[#Headers],[Priority Level]],Data[#Headers],0),FALSE)</f>
        <v>$</v>
      </c>
      <c r="F160" s="1" t="str">
        <f>VLOOKUP(Table1[[#This Row],[DEVELOPMENT]],Data[],MATCH(Table1[[#Headers],[RAD/PACT]],Data[#Headers],0),FALSE)</f>
        <v/>
      </c>
      <c r="G160" s="1" t="s">
        <v>106</v>
      </c>
      <c r="H160" s="7"/>
      <c r="I160" s="8"/>
      <c r="J160" s="8"/>
      <c r="K160" s="3"/>
      <c r="L160" s="93"/>
      <c r="M160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3461709.5414999998</v>
      </c>
      <c r="N160" s="90"/>
      <c r="O160" s="2"/>
      <c r="P160" s="2"/>
      <c r="Q160" s="11"/>
      <c r="R160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60" s="9"/>
      <c r="T160" s="16"/>
    </row>
    <row r="161" spans="1:20" x14ac:dyDescent="0.25">
      <c r="A161" s="13" t="str">
        <f>VLOOKUP(C161,Data[],2,FALSE)</f>
        <v>MANHATTAN</v>
      </c>
      <c r="B161" s="1"/>
      <c r="C161" s="1" t="s">
        <v>87</v>
      </c>
      <c r="D161" s="1" t="str">
        <f>VLOOKUP(Table1[[#This Row],[DEVELOPMENT]],Data[],MATCH(Table1[[#Headers],[NRR]],Data[#Headers],0),FALSE)</f>
        <v>Zone 3</v>
      </c>
      <c r="E161" s="1" t="str">
        <f>VLOOKUP(Table1[[#This Row],[DEVELOPMENT]],Data[],MATCH(Table1[[#Headers],[Priority Level]],Data[#Headers],0),FALSE)</f>
        <v>$</v>
      </c>
      <c r="F161" s="1">
        <f>VLOOKUP(Table1[[#This Row],[DEVELOPMENT]],Data[],MATCH(Table1[[#Headers],[RAD/PACT]],Data[#Headers],0),FALSE)</f>
        <v>2019</v>
      </c>
      <c r="G161" s="1" t="s">
        <v>106</v>
      </c>
      <c r="H161" s="7"/>
      <c r="I161" s="8"/>
      <c r="J161" s="8"/>
      <c r="K161" s="3"/>
      <c r="L161" s="93"/>
      <c r="M161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61" s="90"/>
      <c r="O161" s="2"/>
      <c r="P161" s="2"/>
      <c r="Q161" s="11"/>
      <c r="R16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61" s="9"/>
      <c r="T161" s="16"/>
    </row>
    <row r="162" spans="1:20" x14ac:dyDescent="0.25">
      <c r="A162" s="13" t="str">
        <f>VLOOKUP(C162,Data[],2,FALSE)</f>
        <v>MANHATTAN</v>
      </c>
      <c r="B162" s="1"/>
      <c r="C162" s="1" t="s">
        <v>88</v>
      </c>
      <c r="D162" s="1" t="str">
        <f>VLOOKUP(Table1[[#This Row],[DEVELOPMENT]],Data[],MATCH(Table1[[#Headers],[NRR]],Data[#Headers],0),FALSE)</f>
        <v>Zone 3</v>
      </c>
      <c r="E162" s="1" t="str">
        <f>VLOOKUP(Table1[[#This Row],[DEVELOPMENT]],Data[],MATCH(Table1[[#Headers],[Priority Level]],Data[#Headers],0),FALSE)</f>
        <v>$</v>
      </c>
      <c r="F162" s="1">
        <f>VLOOKUP(Table1[[#This Row],[DEVELOPMENT]],Data[],MATCH(Table1[[#Headers],[RAD/PACT]],Data[#Headers],0),FALSE)</f>
        <v>2019</v>
      </c>
      <c r="G162" s="1" t="s">
        <v>106</v>
      </c>
      <c r="H162" s="7"/>
      <c r="I162" s="8"/>
      <c r="J162" s="8"/>
      <c r="K162" s="3"/>
      <c r="L162" s="93"/>
      <c r="M162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62" s="90"/>
      <c r="O162" s="2"/>
      <c r="P162" s="2"/>
      <c r="Q162" s="11"/>
      <c r="R16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62" s="9"/>
      <c r="T162" s="16"/>
    </row>
    <row r="163" spans="1:20" x14ac:dyDescent="0.25">
      <c r="A163" s="13" t="str">
        <f>VLOOKUP(C163,Data[],2,FALSE)</f>
        <v>BRONX</v>
      </c>
      <c r="B163" s="9" t="s">
        <v>25</v>
      </c>
      <c r="C163" s="9" t="s">
        <v>138</v>
      </c>
      <c r="D163" s="1" t="str">
        <f>VLOOKUP(Table1[[#This Row],[DEVELOPMENT]],Data[],MATCH(Table1[[#Headers],[NRR]],Data[#Headers],0),FALSE)</f>
        <v>Zone 1</v>
      </c>
      <c r="E163" s="1" t="str">
        <f>VLOOKUP(Table1[[#This Row],[DEVELOPMENT]],Data[],MATCH(Table1[[#Headers],[Priority Level]],Data[#Headers],0),FALSE)</f>
        <v>$</v>
      </c>
      <c r="F163" s="1" t="str">
        <f>VLOOKUP(Table1[[#This Row],[DEVELOPMENT]],Data[],MATCH(Table1[[#Headers],[RAD/PACT]],Data[#Headers],0),FALSE)</f>
        <v/>
      </c>
      <c r="G163" s="9" t="s">
        <v>106</v>
      </c>
      <c r="H163" s="12" t="s">
        <v>85</v>
      </c>
      <c r="I163" s="10"/>
      <c r="J163" s="10">
        <f>K163</f>
        <v>74191</v>
      </c>
      <c r="K163" s="11">
        <v>74191</v>
      </c>
      <c r="L163" s="90">
        <v>2019</v>
      </c>
      <c r="M163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163" s="92"/>
      <c r="O163" s="2" t="s">
        <v>53</v>
      </c>
      <c r="P163" s="2"/>
      <c r="Q163" s="3"/>
      <c r="R163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63" s="1"/>
      <c r="T163" s="16"/>
    </row>
    <row r="164" spans="1:20" x14ac:dyDescent="0.25">
      <c r="A164" s="13" t="str">
        <f>VLOOKUP(C164,Data[],2,FALSE)</f>
        <v>MANHATTAN</v>
      </c>
      <c r="B164" s="1"/>
      <c r="C164" s="1" t="s">
        <v>116</v>
      </c>
      <c r="D164" s="1" t="str">
        <f>VLOOKUP(Table1[[#This Row],[DEVELOPMENT]],Data[],MATCH(Table1[[#Headers],[NRR]],Data[#Headers],0),FALSE)</f>
        <v>Zone 2</v>
      </c>
      <c r="E164" s="1" t="str">
        <f>VLOOKUP(Table1[[#This Row],[DEVELOPMENT]],Data[],MATCH(Table1[[#Headers],[Priority Level]],Data[#Headers],0),FALSE)</f>
        <v>$</v>
      </c>
      <c r="F164" s="1" t="str">
        <f>VLOOKUP(Table1[[#This Row],[DEVELOPMENT]],Data[],MATCH(Table1[[#Headers],[RAD/PACT]],Data[#Headers],0),FALSE)</f>
        <v/>
      </c>
      <c r="G164" s="9" t="s">
        <v>106</v>
      </c>
      <c r="H164" s="12"/>
      <c r="I164" s="8"/>
      <c r="J164" s="8"/>
      <c r="K164" s="3"/>
      <c r="L164" s="93"/>
      <c r="M164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368266.97249999997</v>
      </c>
      <c r="N164" s="90"/>
      <c r="O164" s="2"/>
      <c r="P164" s="2"/>
      <c r="Q164" s="11"/>
      <c r="R164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64" s="9"/>
      <c r="T164" s="16"/>
    </row>
    <row r="165" spans="1:20" x14ac:dyDescent="0.25">
      <c r="A165" s="13" t="str">
        <f>VLOOKUP(C165,Data[],2,FALSE)</f>
        <v>MANHATTAN</v>
      </c>
      <c r="B165" s="1"/>
      <c r="C165" s="1" t="s">
        <v>133</v>
      </c>
      <c r="D165" s="1" t="str">
        <f>VLOOKUP(Table1[[#This Row],[DEVELOPMENT]],Data[],MATCH(Table1[[#Headers],[NRR]],Data[#Headers],0),FALSE)</f>
        <v>Zone 2</v>
      </c>
      <c r="E165" s="1" t="str">
        <f>VLOOKUP(Table1[[#This Row],[DEVELOPMENT]],Data[],MATCH(Table1[[#Headers],[Priority Level]],Data[#Headers],0),FALSE)</f>
        <v>$</v>
      </c>
      <c r="F165" s="1" t="str">
        <f>VLOOKUP(Table1[[#This Row],[DEVELOPMENT]],Data[],MATCH(Table1[[#Headers],[RAD/PACT]],Data[#Headers],0),FALSE)</f>
        <v/>
      </c>
      <c r="G165" s="9" t="s">
        <v>106</v>
      </c>
      <c r="H165" s="12"/>
      <c r="I165" s="8"/>
      <c r="J165" s="8"/>
      <c r="K165" s="3"/>
      <c r="L165" s="93"/>
      <c r="M165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662880.5504999999</v>
      </c>
      <c r="N165" s="90"/>
      <c r="O165" s="2"/>
      <c r="P165" s="2"/>
      <c r="Q165" s="11"/>
      <c r="R165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65" s="9"/>
      <c r="T165" s="16"/>
    </row>
    <row r="166" spans="1:20" x14ac:dyDescent="0.25">
      <c r="A166" s="13" t="str">
        <f>VLOOKUP(C166,Data[],2,FALSE)</f>
        <v>MANHATTAN</v>
      </c>
      <c r="B166" s="1"/>
      <c r="C166" s="1" t="s">
        <v>126</v>
      </c>
      <c r="D166" s="1" t="str">
        <f>VLOOKUP(Table1[[#This Row],[DEVELOPMENT]],Data[],MATCH(Table1[[#Headers],[NRR]],Data[#Headers],0),FALSE)</f>
        <v>Zone 2</v>
      </c>
      <c r="E166" s="1" t="str">
        <f>VLOOKUP(Table1[[#This Row],[DEVELOPMENT]],Data[],MATCH(Table1[[#Headers],[Priority Level]],Data[#Headers],0),FALSE)</f>
        <v>$</v>
      </c>
      <c r="F166" s="1" t="str">
        <f>VLOOKUP(Table1[[#This Row],[DEVELOPMENT]],Data[],MATCH(Table1[[#Headers],[RAD/PACT]],Data[#Headers],0),FALSE)</f>
        <v/>
      </c>
      <c r="G166" s="9" t="s">
        <v>106</v>
      </c>
      <c r="H166" s="12"/>
      <c r="I166" s="8"/>
      <c r="J166" s="8"/>
      <c r="K166" s="3"/>
      <c r="L166" s="93"/>
      <c r="M166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166" s="90"/>
      <c r="O166" s="2"/>
      <c r="P166" s="2"/>
      <c r="Q166" s="11"/>
      <c r="R166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66" s="9"/>
      <c r="T166" s="16"/>
    </row>
    <row r="167" spans="1:20" x14ac:dyDescent="0.25">
      <c r="A167" s="13" t="str">
        <f>VLOOKUP(C167,Data[],2,FALSE)</f>
        <v>MANHATTAN</v>
      </c>
      <c r="B167" s="1"/>
      <c r="C167" s="1" t="s">
        <v>100</v>
      </c>
      <c r="D167" s="1" t="str">
        <f>VLOOKUP(Table1[[#This Row],[DEVELOPMENT]],Data[],MATCH(Table1[[#Headers],[NRR]],Data[#Headers],0),FALSE)</f>
        <v>Zone 2</v>
      </c>
      <c r="E167" s="1" t="str">
        <f>VLOOKUP(Table1[[#This Row],[DEVELOPMENT]],Data[],MATCH(Table1[[#Headers],[Priority Level]],Data[#Headers],0),FALSE)</f>
        <v>$</v>
      </c>
      <c r="F167" s="1" t="str">
        <f>VLOOKUP(Table1[[#This Row],[DEVELOPMENT]],Data[],MATCH(Table1[[#Headers],[RAD/PACT]],Data[#Headers],0),FALSE)</f>
        <v/>
      </c>
      <c r="G167" s="9" t="s">
        <v>106</v>
      </c>
      <c r="H167" s="12"/>
      <c r="I167" s="8"/>
      <c r="J167" s="8"/>
      <c r="K167" s="3"/>
      <c r="L167" s="93"/>
      <c r="M167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73653.394499999995</v>
      </c>
      <c r="N167" s="90"/>
      <c r="O167" s="2"/>
      <c r="P167" s="2"/>
      <c r="Q167" s="11"/>
      <c r="R167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67" s="9"/>
      <c r="T167" s="16"/>
    </row>
    <row r="168" spans="1:20" x14ac:dyDescent="0.25">
      <c r="A168" s="13" t="str">
        <f>VLOOKUP(C168,Data[],2,FALSE)</f>
        <v>MANHATTAN</v>
      </c>
      <c r="B168" s="1"/>
      <c r="C168" s="1" t="s">
        <v>70</v>
      </c>
      <c r="D168" s="1" t="str">
        <f>VLOOKUP(Table1[[#This Row],[DEVELOPMENT]],Data[],MATCH(Table1[[#Headers],[NRR]],Data[#Headers],0),FALSE)</f>
        <v>Zone 3</v>
      </c>
      <c r="E168" s="1" t="str">
        <f>VLOOKUP(Table1[[#This Row],[DEVELOPMENT]],Data[],MATCH(Table1[[#Headers],[Priority Level]],Data[#Headers],0),FALSE)</f>
        <v>$$$$</v>
      </c>
      <c r="F168" s="1">
        <f>VLOOKUP(Table1[[#This Row],[DEVELOPMENT]],Data[],MATCH(Table1[[#Headers],[RAD/PACT]],Data[#Headers],0),FALSE)</f>
        <v>2020</v>
      </c>
      <c r="G168" s="1" t="s">
        <v>106</v>
      </c>
      <c r="H168" s="7"/>
      <c r="I168" s="8"/>
      <c r="J168" s="8"/>
      <c r="K168" s="3"/>
      <c r="L168" s="93"/>
      <c r="M168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68" s="90"/>
      <c r="O168" s="2"/>
      <c r="P168" s="2"/>
      <c r="Q168" s="11"/>
      <c r="R16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68" s="9"/>
      <c r="T168" s="16"/>
    </row>
    <row r="169" spans="1:20" x14ac:dyDescent="0.25">
      <c r="A169" s="13" t="str">
        <f>VLOOKUP(C169,Data[],2,FALSE)</f>
        <v>BROOKLYN</v>
      </c>
      <c r="B169" s="1"/>
      <c r="C169" s="1" t="s">
        <v>119</v>
      </c>
      <c r="D169" s="1" t="str">
        <f>VLOOKUP(Table1[[#This Row],[DEVELOPMENT]],Data[],MATCH(Table1[[#Headers],[NRR]],Data[#Headers],0),FALSE)</f>
        <v>Zone 3</v>
      </c>
      <c r="E169" s="1" t="str">
        <f>VLOOKUP(Table1[[#This Row],[DEVELOPMENT]],Data[],MATCH(Table1[[#Headers],[Priority Level]],Data[#Headers],0),FALSE)</f>
        <v>$$$$</v>
      </c>
      <c r="F169" s="1" t="str">
        <f>VLOOKUP(Table1[[#This Row],[DEVELOPMENT]],Data[],MATCH(Table1[[#Headers],[RAD/PACT]],Data[#Headers],0),FALSE)</f>
        <v/>
      </c>
      <c r="G169" s="1" t="s">
        <v>106</v>
      </c>
      <c r="H169" s="7"/>
      <c r="I169" s="8"/>
      <c r="J169" s="8"/>
      <c r="K169" s="3"/>
      <c r="L169" s="93"/>
      <c r="M169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589227.15599999996</v>
      </c>
      <c r="N169" s="90"/>
      <c r="O169" s="2"/>
      <c r="P169" s="2"/>
      <c r="Q169" s="11"/>
      <c r="R169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69" s="9"/>
      <c r="T169" s="16"/>
    </row>
    <row r="170" spans="1:20" x14ac:dyDescent="0.25">
      <c r="A170" s="13" t="str">
        <f>VLOOKUP(C170,Data[],2,FALSE)</f>
        <v>BROOKLYN</v>
      </c>
      <c r="B170" s="1"/>
      <c r="C170" s="1" t="s">
        <v>72</v>
      </c>
      <c r="D170" s="1" t="str">
        <f>VLOOKUP(Table1[[#This Row],[DEVELOPMENT]],Data[],MATCH(Table1[[#Headers],[NRR]],Data[#Headers],0),FALSE)</f>
        <v>Zone 3</v>
      </c>
      <c r="E170" s="1" t="str">
        <f>VLOOKUP(Table1[[#This Row],[DEVELOPMENT]],Data[],MATCH(Table1[[#Headers],[Priority Level]],Data[#Headers],0),FALSE)</f>
        <v>$$$</v>
      </c>
      <c r="F170" s="1" t="str">
        <f>VLOOKUP(Table1[[#This Row],[DEVELOPMENT]],Data[],MATCH(Table1[[#Headers],[RAD/PACT]],Data[#Headers],0),FALSE)</f>
        <v/>
      </c>
      <c r="G170" s="1" t="s">
        <v>106</v>
      </c>
      <c r="H170" s="7"/>
      <c r="I170" s="8"/>
      <c r="J170" s="8"/>
      <c r="K170" s="3"/>
      <c r="L170" s="93"/>
      <c r="M170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515573.76149999991</v>
      </c>
      <c r="N170" s="90"/>
      <c r="O170" s="2"/>
      <c r="P170" s="2"/>
      <c r="Q170" s="11"/>
      <c r="R170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70" s="9"/>
      <c r="T170" s="16"/>
    </row>
    <row r="171" spans="1:20" x14ac:dyDescent="0.25">
      <c r="A171" s="13" t="str">
        <f>VLOOKUP(C171,Data[],2,FALSE)</f>
        <v>MANHATTAN</v>
      </c>
      <c r="B171" s="1"/>
      <c r="C171" s="1" t="s">
        <v>79</v>
      </c>
      <c r="D171" s="1" t="str">
        <f>VLOOKUP(Table1[[#This Row],[DEVELOPMENT]],Data[],MATCH(Table1[[#Headers],[NRR]],Data[#Headers],0),FALSE)</f>
        <v>Zone 3</v>
      </c>
      <c r="E171" s="1" t="str">
        <f>VLOOKUP(Table1[[#This Row],[DEVELOPMENT]],Data[],MATCH(Table1[[#Headers],[Priority Level]],Data[#Headers],0),FALSE)</f>
        <v>$</v>
      </c>
      <c r="F171" s="1">
        <f>VLOOKUP(Table1[[#This Row],[DEVELOPMENT]],Data[],MATCH(Table1[[#Headers],[RAD/PACT]],Data[#Headers],0),FALSE)</f>
        <v>2019</v>
      </c>
      <c r="G171" s="1" t="s">
        <v>106</v>
      </c>
      <c r="H171" s="7"/>
      <c r="I171" s="8"/>
      <c r="J171" s="8"/>
      <c r="K171" s="3"/>
      <c r="L171" s="93"/>
      <c r="M171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71" s="90"/>
      <c r="O171" s="2"/>
      <c r="P171" s="2"/>
      <c r="Q171" s="11"/>
      <c r="R17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71" s="9"/>
      <c r="T171" s="16"/>
    </row>
    <row r="172" spans="1:20" x14ac:dyDescent="0.25">
      <c r="A172" s="13" t="str">
        <f>VLOOKUP(C172,Data[],2,FALSE)</f>
        <v>MANHATTAN</v>
      </c>
      <c r="B172" s="1"/>
      <c r="C172" s="1" t="s">
        <v>125</v>
      </c>
      <c r="D172" s="1" t="str">
        <f>VLOOKUP(Table1[[#This Row],[DEVELOPMENT]],Data[],MATCH(Table1[[#Headers],[NRR]],Data[#Headers],0),FALSE)</f>
        <v>Zone 2</v>
      </c>
      <c r="E172" s="1" t="str">
        <f>VLOOKUP(Table1[[#This Row],[DEVELOPMENT]],Data[],MATCH(Table1[[#Headers],[Priority Level]],Data[#Headers],0),FALSE)</f>
        <v>$</v>
      </c>
      <c r="F172" s="1">
        <f>VLOOKUP(Table1[[#This Row],[DEVELOPMENT]],Data[],MATCH(Table1[[#Headers],[RAD/PACT]],Data[#Headers],0),FALSE)</f>
        <v>2023</v>
      </c>
      <c r="G172" s="9" t="s">
        <v>106</v>
      </c>
      <c r="H172" s="12"/>
      <c r="I172" s="8"/>
      <c r="J172" s="8"/>
      <c r="K172" s="3"/>
      <c r="L172" s="93"/>
      <c r="M172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72" s="90"/>
      <c r="O172" s="2"/>
      <c r="P172" s="2"/>
      <c r="Q172" s="11"/>
      <c r="R17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72" s="9"/>
      <c r="T172" s="16"/>
    </row>
    <row r="173" spans="1:20" x14ac:dyDescent="0.25">
      <c r="A173" s="13" t="str">
        <f>VLOOKUP(C173,Data[],2,FALSE)</f>
        <v>MANHATTAN</v>
      </c>
      <c r="B173" s="1"/>
      <c r="C173" s="1" t="s">
        <v>122</v>
      </c>
      <c r="D173" s="1" t="str">
        <f>VLOOKUP(Table1[[#This Row],[DEVELOPMENT]],Data[],MATCH(Table1[[#Headers],[NRR]],Data[#Headers],0),FALSE)</f>
        <v>Zone 2</v>
      </c>
      <c r="E173" s="1" t="str">
        <f>VLOOKUP(Table1[[#This Row],[DEVELOPMENT]],Data[],MATCH(Table1[[#Headers],[Priority Level]],Data[#Headers],0),FALSE)</f>
        <v>$</v>
      </c>
      <c r="F173" s="1">
        <f>VLOOKUP(Table1[[#This Row],[DEVELOPMENT]],Data[],MATCH(Table1[[#Headers],[RAD/PACT]],Data[#Headers],0),FALSE)</f>
        <v>2028</v>
      </c>
      <c r="G173" s="9" t="s">
        <v>106</v>
      </c>
      <c r="H173" s="12"/>
      <c r="I173" s="8"/>
      <c r="J173" s="8"/>
      <c r="K173" s="3"/>
      <c r="L173" s="93"/>
      <c r="M173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441920.36699999991</v>
      </c>
      <c r="N173" s="90"/>
      <c r="O173" s="2"/>
      <c r="P173" s="2"/>
      <c r="Q173" s="11"/>
      <c r="R173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73" s="9"/>
      <c r="T173" s="16"/>
    </row>
    <row r="174" spans="1:20" x14ac:dyDescent="0.25">
      <c r="A174" s="13" t="str">
        <f>VLOOKUP(C174,Data[],2,FALSE)</f>
        <v>MANHATTAN</v>
      </c>
      <c r="B174" s="1"/>
      <c r="C174" s="1" t="s">
        <v>89</v>
      </c>
      <c r="D174" s="1" t="str">
        <f>VLOOKUP(Table1[[#This Row],[DEVELOPMENT]],Data[],MATCH(Table1[[#Headers],[NRR]],Data[#Headers],0),FALSE)</f>
        <v>Zone 3</v>
      </c>
      <c r="E174" s="1" t="str">
        <f>VLOOKUP(Table1[[#This Row],[DEVELOPMENT]],Data[],MATCH(Table1[[#Headers],[Priority Level]],Data[#Headers],0),FALSE)</f>
        <v>$$</v>
      </c>
      <c r="F174" s="1">
        <f>VLOOKUP(Table1[[#This Row],[DEVELOPMENT]],Data[],MATCH(Table1[[#Headers],[RAD/PACT]],Data[#Headers],0),FALSE)</f>
        <v>2020</v>
      </c>
      <c r="G174" s="1" t="s">
        <v>106</v>
      </c>
      <c r="H174" s="7"/>
      <c r="I174" s="8"/>
      <c r="J174" s="8"/>
      <c r="K174" s="3"/>
      <c r="L174" s="93"/>
      <c r="M174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74" s="90"/>
      <c r="O174" s="2"/>
      <c r="P174" s="2"/>
      <c r="Q174" s="11"/>
      <c r="R17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74" s="9"/>
      <c r="T174" s="16"/>
    </row>
    <row r="175" spans="1:20" x14ac:dyDescent="0.25">
      <c r="A175" s="13" t="str">
        <f>VLOOKUP(C175,Data[],2,FALSE)</f>
        <v>MANHATTAN</v>
      </c>
      <c r="B175" s="1"/>
      <c r="C175" s="1" t="s">
        <v>137</v>
      </c>
      <c r="D175" s="1" t="str">
        <f>VLOOKUP(Table1[[#This Row],[DEVELOPMENT]],Data[],MATCH(Table1[[#Headers],[NRR]],Data[#Headers],0),FALSE)</f>
        <v>Zone 2</v>
      </c>
      <c r="E175" s="1" t="str">
        <f>VLOOKUP(Table1[[#This Row],[DEVELOPMENT]],Data[],MATCH(Table1[[#Headers],[Priority Level]],Data[#Headers],0),FALSE)</f>
        <v>$$$</v>
      </c>
      <c r="F175" s="1">
        <f>VLOOKUP(Table1[[#This Row],[DEVELOPMENT]],Data[],MATCH(Table1[[#Headers],[RAD/PACT]],Data[#Headers],0),FALSE)</f>
        <v>2023</v>
      </c>
      <c r="G175" s="9" t="s">
        <v>106</v>
      </c>
      <c r="H175" s="12"/>
      <c r="I175" s="8"/>
      <c r="J175" s="8"/>
      <c r="K175" s="3"/>
      <c r="L175" s="93"/>
      <c r="M175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75" s="90"/>
      <c r="O175" s="2"/>
      <c r="P175" s="2"/>
      <c r="Q175" s="11"/>
      <c r="R17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75" s="9"/>
      <c r="T175" s="16"/>
    </row>
    <row r="176" spans="1:20" x14ac:dyDescent="0.25">
      <c r="A176" s="13" t="str">
        <f>VLOOKUP(C176,Data[],2,FALSE)</f>
        <v>MANHATTAN</v>
      </c>
      <c r="B176" s="1"/>
      <c r="C176" s="1" t="s">
        <v>78</v>
      </c>
      <c r="D176" s="1" t="str">
        <f>VLOOKUP(Table1[[#This Row],[DEVELOPMENT]],Data[],MATCH(Table1[[#Headers],[NRR]],Data[#Headers],0),FALSE)</f>
        <v>Zone 2</v>
      </c>
      <c r="E176" s="1" t="str">
        <f>VLOOKUP(Table1[[#This Row],[DEVELOPMENT]],Data[],MATCH(Table1[[#Headers],[Priority Level]],Data[#Headers],0),FALSE)</f>
        <v>$</v>
      </c>
      <c r="F176" s="1">
        <f>VLOOKUP(Table1[[#This Row],[DEVELOPMENT]],Data[],MATCH(Table1[[#Headers],[RAD/PACT]],Data[#Headers],0),FALSE)</f>
        <v>2024</v>
      </c>
      <c r="G176" s="9" t="s">
        <v>106</v>
      </c>
      <c r="H176" s="7"/>
      <c r="I176" s="8"/>
      <c r="J176" s="8"/>
      <c r="K176" s="3"/>
      <c r="L176" s="93"/>
      <c r="M176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76" s="90"/>
      <c r="O176" s="2"/>
      <c r="P176" s="2"/>
      <c r="Q176" s="11"/>
      <c r="R17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76" s="9"/>
      <c r="T176" s="16"/>
    </row>
    <row r="177" spans="1:20" x14ac:dyDescent="0.25">
      <c r="A177" s="13" t="str">
        <f>VLOOKUP(C177,Data[],2,FALSE)</f>
        <v>MANHATTAN</v>
      </c>
      <c r="B177" s="1"/>
      <c r="C177" s="1" t="s">
        <v>81</v>
      </c>
      <c r="D177" s="1" t="str">
        <f>VLOOKUP(Table1[[#This Row],[DEVELOPMENT]],Data[],MATCH(Table1[[#Headers],[NRR]],Data[#Headers],0),FALSE)</f>
        <v>Zone 2</v>
      </c>
      <c r="E177" s="1" t="str">
        <f>VLOOKUP(Table1[[#This Row],[DEVELOPMENT]],Data[],MATCH(Table1[[#Headers],[Priority Level]],Data[#Headers],0),FALSE)</f>
        <v>$$$$</v>
      </c>
      <c r="F177" s="1" t="str">
        <f>VLOOKUP(Table1[[#This Row],[DEVELOPMENT]],Data[],MATCH(Table1[[#Headers],[RAD/PACT]],Data[#Headers],0),FALSE)</f>
        <v/>
      </c>
      <c r="G177" s="9" t="s">
        <v>106</v>
      </c>
      <c r="H177" s="7"/>
      <c r="I177" s="8"/>
      <c r="J177" s="8"/>
      <c r="K177" s="3"/>
      <c r="L177" s="93"/>
      <c r="M177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1178454.3119999999</v>
      </c>
      <c r="N177" s="90"/>
      <c r="O177" s="2"/>
      <c r="P177" s="2"/>
      <c r="Q177" s="11"/>
      <c r="R177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77" s="9"/>
      <c r="T177" s="16"/>
    </row>
    <row r="178" spans="1:20" x14ac:dyDescent="0.25">
      <c r="A178" s="13" t="str">
        <f>VLOOKUP(C178,Data[],2,FALSE)</f>
        <v>BRONX</v>
      </c>
      <c r="B178" s="1"/>
      <c r="C178" s="1" t="s">
        <v>132</v>
      </c>
      <c r="D178" s="1" t="str">
        <f>VLOOKUP(Table1[[#This Row],[DEVELOPMENT]],Data[],MATCH(Table1[[#Headers],[NRR]],Data[#Headers],0),FALSE)</f>
        <v>Zone 3</v>
      </c>
      <c r="E178" s="1" t="str">
        <f>VLOOKUP(Table1[[#This Row],[DEVELOPMENT]],Data[],MATCH(Table1[[#Headers],[Priority Level]],Data[#Headers],0),FALSE)</f>
        <v>$$</v>
      </c>
      <c r="F178" s="1">
        <f>VLOOKUP(Table1[[#This Row],[DEVELOPMENT]],Data[],MATCH(Table1[[#Headers],[RAD/PACT]],Data[#Headers],0),FALSE)</f>
        <v>2025</v>
      </c>
      <c r="G178" s="1" t="s">
        <v>106</v>
      </c>
      <c r="H178" s="7"/>
      <c r="I178" s="8"/>
      <c r="J178" s="8"/>
      <c r="K178" s="3"/>
      <c r="L178" s="93"/>
      <c r="M178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0</v>
      </c>
      <c r="N178" s="90"/>
      <c r="O178" s="2"/>
      <c r="P178" s="2"/>
      <c r="Q178" s="11"/>
      <c r="R178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78" s="9"/>
      <c r="T178" s="16"/>
    </row>
    <row r="179" spans="1:20" x14ac:dyDescent="0.25">
      <c r="A179" s="13" t="str">
        <f>VLOOKUP(C179,Data[],2,FALSE)</f>
        <v>BRONX</v>
      </c>
      <c r="B179" s="9" t="s">
        <v>25</v>
      </c>
      <c r="C179" s="9" t="s">
        <v>47</v>
      </c>
      <c r="D179" s="1" t="str">
        <f>VLOOKUP(Table1[[#This Row],[DEVELOPMENT]],Data[],MATCH(Table1[[#Headers],[NRR]],Data[#Headers],0),FALSE)</f>
        <v>Zone 1</v>
      </c>
      <c r="E179" s="1" t="str">
        <f>VLOOKUP(Table1[[#This Row],[DEVELOPMENT]],Data[],MATCH(Table1[[#Headers],[Priority Level]],Data[#Headers],0),FALSE)</f>
        <v>$</v>
      </c>
      <c r="F179" s="1" t="str">
        <f>VLOOKUP(Table1[[#This Row],[DEVELOPMENT]],Data[],MATCH(Table1[[#Headers],[RAD/PACT]],Data[#Headers],0),FALSE)</f>
        <v/>
      </c>
      <c r="G179" s="9" t="s">
        <v>106</v>
      </c>
      <c r="H179" s="12" t="s">
        <v>85</v>
      </c>
      <c r="I179" s="10"/>
      <c r="J179" s="10">
        <f>K179</f>
        <v>370955</v>
      </c>
      <c r="K179" s="11">
        <v>370955</v>
      </c>
      <c r="L179" s="90">
        <v>2019</v>
      </c>
      <c r="M179" s="92">
        <f ca="1">IF(Table1[[#This Row],[WORK TYPE]]="Exterior Compactors",VLOOKUP(Table1[[#This Row],[DEVELOPMENT]],ExtComp[],12,FALSE),IF(Table1[[#This Row],[WORK TYPE]]="Interior Compactors",VLOOKUP(Table1[[#This Row],[DEVELOPMENT]],IntComp[],12,FALSE),""))</f>
        <v>368266.97249999997</v>
      </c>
      <c r="N179" s="92"/>
      <c r="O179" s="2" t="s">
        <v>53</v>
      </c>
      <c r="P179" s="2"/>
      <c r="Q179" s="3"/>
      <c r="R179" s="3" t="str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/>
      </c>
      <c r="S179" s="1"/>
      <c r="T179" s="16"/>
    </row>
    <row r="180" spans="1:20" x14ac:dyDescent="0.25">
      <c r="A180" s="13" t="str">
        <f>VLOOKUP(C180,Data[],2,FALSE)</f>
        <v>BROOKLYN</v>
      </c>
      <c r="B180" s="9" t="s">
        <v>25</v>
      </c>
      <c r="C180" s="9" t="s">
        <v>139</v>
      </c>
      <c r="D180" s="1" t="str">
        <f>VLOOKUP(Table1[[#This Row],[DEVELOPMENT]],Data[],MATCH(Table1[[#Headers],[NRR]],Data[#Headers],0),FALSE)</f>
        <v>Zone 1</v>
      </c>
      <c r="E180" s="1" t="str">
        <f>VLOOKUP(Table1[[#This Row],[DEVELOPMENT]],Data[],MATCH(Table1[[#Headers],[Priority Level]],Data[#Headers],0),FALSE)</f>
        <v>$</v>
      </c>
      <c r="F180" s="1" t="str">
        <f>VLOOKUP(Table1[[#This Row],[DEVELOPMENT]],Data[],MATCH(Table1[[#Headers],[RAD/PACT]],Data[#Headers],0),FALSE)</f>
        <v/>
      </c>
      <c r="G180" s="9" t="s">
        <v>49</v>
      </c>
      <c r="H180" s="12" t="s">
        <v>33</v>
      </c>
      <c r="I180" s="10"/>
      <c r="J180" s="10">
        <f>K180</f>
        <v>137417.5</v>
      </c>
      <c r="K180" s="11">
        <v>137417.5</v>
      </c>
      <c r="L180" s="91">
        <v>2019</v>
      </c>
      <c r="M180" s="92" t="str">
        <f>IF(Table1[[#This Row],[WORK TYPE]]="Exterior Compactors",VLOOKUP(Table1[[#This Row],[DEVELOPMENT]],ExtComp[],12,FALSE),IF(Table1[[#This Row],[WORK TYPE]]="Interior Compactors",VLOOKUP(Table1[[#This Row],[DEVELOPMENT]],IntComp[],12,FALSE),""))</f>
        <v/>
      </c>
      <c r="N180" s="92"/>
      <c r="O180" s="2" t="s">
        <v>53</v>
      </c>
      <c r="P180" s="2"/>
      <c r="Q180" s="3"/>
      <c r="R18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359215.8130054081</v>
      </c>
      <c r="S180" s="1"/>
      <c r="T180" s="16"/>
    </row>
    <row r="181" spans="1:20" x14ac:dyDescent="0.25">
      <c r="A181" s="13" t="str">
        <f>VLOOKUP(C181,Data[],2,FALSE)</f>
        <v>BROOKLYN</v>
      </c>
      <c r="B181" s="9" t="s">
        <v>25</v>
      </c>
      <c r="C181" s="9" t="s">
        <v>37</v>
      </c>
      <c r="D181" s="1" t="str">
        <f>VLOOKUP(Table1[[#This Row],[DEVELOPMENT]],Data[],MATCH(Table1[[#Headers],[NRR]],Data[#Headers],0),FALSE)</f>
        <v>Zone 1</v>
      </c>
      <c r="E181" s="1" t="str">
        <f>VLOOKUP(Table1[[#This Row],[DEVELOPMENT]],Data[],MATCH(Table1[[#Headers],[Priority Level]],Data[#Headers],0),FALSE)</f>
        <v>$$$</v>
      </c>
      <c r="F181" s="1" t="str">
        <f>VLOOKUP(Table1[[#This Row],[DEVELOPMENT]],Data[],MATCH(Table1[[#Headers],[RAD/PACT]],Data[#Headers],0),FALSE)</f>
        <v/>
      </c>
      <c r="G181" s="9" t="s">
        <v>49</v>
      </c>
      <c r="H181" s="12" t="s">
        <v>33</v>
      </c>
      <c r="I181" s="10"/>
      <c r="J181" s="10">
        <f>K181</f>
        <v>632251.84219999996</v>
      </c>
      <c r="K181" s="11">
        <v>632251.84219999996</v>
      </c>
      <c r="L181" s="91">
        <v>2019</v>
      </c>
      <c r="M181" s="92" t="str">
        <f>IF(Table1[[#This Row],[WORK TYPE]]="Exterior Compactors",VLOOKUP(Table1[[#This Row],[DEVELOPMENT]],ExtComp[],12,FALSE),IF(Table1[[#This Row],[WORK TYPE]]="Interior Compactors",VLOOKUP(Table1[[#This Row],[DEVELOPMENT]],IntComp[],12,FALSE),""))</f>
        <v/>
      </c>
      <c r="N181" s="92"/>
      <c r="O181" s="2" t="s">
        <v>53</v>
      </c>
      <c r="P181" s="2"/>
      <c r="Q181" s="3"/>
      <c r="R18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1515925.1056017699</v>
      </c>
      <c r="S181" s="1"/>
      <c r="T181" s="16"/>
    </row>
    <row r="182" spans="1:20" x14ac:dyDescent="0.25">
      <c r="A182" s="13" t="str">
        <f>VLOOKUP(C182,Data[],2,FALSE)</f>
        <v>BROOKLYN</v>
      </c>
      <c r="B182" s="9" t="s">
        <v>25</v>
      </c>
      <c r="C182" s="9" t="s">
        <v>38</v>
      </c>
      <c r="D182" s="1" t="str">
        <f>VLOOKUP(Table1[[#This Row],[DEVELOPMENT]],Data[],MATCH(Table1[[#Headers],[NRR]],Data[#Headers],0),FALSE)</f>
        <v>Zone 1</v>
      </c>
      <c r="E182" s="1" t="str">
        <f>VLOOKUP(Table1[[#This Row],[DEVELOPMENT]],Data[],MATCH(Table1[[#Headers],[Priority Level]],Data[#Headers],0),FALSE)</f>
        <v>$$</v>
      </c>
      <c r="F182" s="1">
        <f>VLOOKUP(Table1[[#This Row],[DEVELOPMENT]],Data[],MATCH(Table1[[#Headers],[RAD/PACT]],Data[#Headers],0),FALSE)</f>
        <v>2027</v>
      </c>
      <c r="G182" s="9" t="s">
        <v>49</v>
      </c>
      <c r="H182" s="12" t="s">
        <v>28</v>
      </c>
      <c r="I182" s="10">
        <f>K182</f>
        <v>1160763.6500000001</v>
      </c>
      <c r="J182" s="10"/>
      <c r="K182" s="11">
        <v>1160763.6500000001</v>
      </c>
      <c r="L182" s="91">
        <v>2019</v>
      </c>
      <c r="M182" s="92" t="str">
        <f>IF(Table1[[#This Row],[WORK TYPE]]="Exterior Compactors",VLOOKUP(Table1[[#This Row],[DEVELOPMENT]],ExtComp[],12,FALSE),IF(Table1[[#This Row],[WORK TYPE]]="Interior Compactors",VLOOKUP(Table1[[#This Row],[DEVELOPMENT]],IntComp[],12,FALSE),""))</f>
        <v/>
      </c>
      <c r="N182" s="92"/>
      <c r="O182" s="2" t="s">
        <v>53</v>
      </c>
      <c r="P182" s="2"/>
      <c r="Q182" s="3"/>
      <c r="R18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2949350.8857286135</v>
      </c>
      <c r="S182" s="1"/>
      <c r="T182" s="16"/>
    </row>
    <row r="183" spans="1:20" x14ac:dyDescent="0.25">
      <c r="A183" s="13" t="str">
        <f>VLOOKUP(C183,Data[],2,FALSE)</f>
        <v>MANHATTAN</v>
      </c>
      <c r="B183" s="1"/>
      <c r="C183" s="1" t="s">
        <v>120</v>
      </c>
      <c r="D183" s="1" t="str">
        <f>VLOOKUP(Table1[[#This Row],[DEVELOPMENT]],Data[],MATCH(Table1[[#Headers],[NRR]],Data[#Headers],0),FALSE)</f>
        <v>Zone 2</v>
      </c>
      <c r="E183" s="1" t="str">
        <f>VLOOKUP(Table1[[#This Row],[DEVELOPMENT]],Data[],MATCH(Table1[[#Headers],[Priority Level]],Data[#Headers],0),FALSE)</f>
        <v>$$</v>
      </c>
      <c r="F183" s="1" t="str">
        <f>VLOOKUP(Table1[[#This Row],[DEVELOPMENT]],Data[],MATCH(Table1[[#Headers],[RAD/PACT]],Data[#Headers],0),FALSE)</f>
        <v/>
      </c>
      <c r="G183" s="1" t="s">
        <v>109</v>
      </c>
      <c r="H183" s="7"/>
      <c r="I183" s="8"/>
      <c r="J183" s="8"/>
      <c r="K183" s="3"/>
      <c r="L183" s="93"/>
      <c r="M183" s="90"/>
      <c r="N183" s="90"/>
      <c r="O183" s="2"/>
      <c r="P183" s="2"/>
      <c r="Q183" s="11"/>
      <c r="R18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83" s="9"/>
      <c r="T183" s="16"/>
    </row>
    <row r="184" spans="1:20" x14ac:dyDescent="0.25">
      <c r="A184" s="13" t="str">
        <f>VLOOKUP(C184,Data[],2,FALSE)</f>
        <v>MANHATTAN</v>
      </c>
      <c r="B184" s="1"/>
      <c r="C184" s="1" t="s">
        <v>129</v>
      </c>
      <c r="D184" s="1" t="str">
        <f>VLOOKUP(Table1[[#This Row],[DEVELOPMENT]],Data[],MATCH(Table1[[#Headers],[NRR]],Data[#Headers],0),FALSE)</f>
        <v>Zone 2</v>
      </c>
      <c r="E184" s="1" t="str">
        <f>VLOOKUP(Table1[[#This Row],[DEVELOPMENT]],Data[],MATCH(Table1[[#Headers],[Priority Level]],Data[#Headers],0),FALSE)</f>
        <v>$$$$</v>
      </c>
      <c r="F184" s="1" t="str">
        <f>VLOOKUP(Table1[[#This Row],[DEVELOPMENT]],Data[],MATCH(Table1[[#Headers],[RAD/PACT]],Data[#Headers],0),FALSE)</f>
        <v/>
      </c>
      <c r="G184" s="1" t="s">
        <v>109</v>
      </c>
      <c r="H184" s="7"/>
      <c r="I184" s="8"/>
      <c r="J184" s="8"/>
      <c r="K184" s="3"/>
      <c r="L184" s="93"/>
      <c r="M184" s="90"/>
      <c r="N184" s="90"/>
      <c r="O184" s="2"/>
      <c r="P184" s="2"/>
      <c r="Q184" s="11"/>
      <c r="R18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84" s="9"/>
      <c r="T184" s="16"/>
    </row>
    <row r="185" spans="1:20" x14ac:dyDescent="0.25">
      <c r="A185" s="13" t="str">
        <f>VLOOKUP(C185,Data[],2,FALSE)</f>
        <v>MANHATTAN</v>
      </c>
      <c r="B185" s="1"/>
      <c r="C185" s="1" t="s">
        <v>77</v>
      </c>
      <c r="D185" s="1" t="str">
        <f>VLOOKUP(Table1[[#This Row],[DEVELOPMENT]],Data[],MATCH(Table1[[#Headers],[NRR]],Data[#Headers],0),FALSE)</f>
        <v>Zone 2</v>
      </c>
      <c r="E185" s="1" t="str">
        <f>VLOOKUP(Table1[[#This Row],[DEVELOPMENT]],Data[],MATCH(Table1[[#Headers],[Priority Level]],Data[#Headers],0),FALSE)</f>
        <v>$</v>
      </c>
      <c r="F185" s="1" t="str">
        <f>VLOOKUP(Table1[[#This Row],[DEVELOPMENT]],Data[],MATCH(Table1[[#Headers],[RAD/PACT]],Data[#Headers],0),FALSE)</f>
        <v/>
      </c>
      <c r="G185" s="1" t="s">
        <v>109</v>
      </c>
      <c r="H185" s="7"/>
      <c r="I185" s="8"/>
      <c r="J185" s="8"/>
      <c r="K185" s="3"/>
      <c r="L185" s="93"/>
      <c r="M185" s="90"/>
      <c r="N185" s="90"/>
      <c r="O185" s="2"/>
      <c r="P185" s="2"/>
      <c r="Q185" s="11"/>
      <c r="R18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85" s="9"/>
      <c r="T185" s="16"/>
    </row>
    <row r="186" spans="1:20" x14ac:dyDescent="0.25">
      <c r="A186" s="13" t="str">
        <f>VLOOKUP(C186,Data[],2,FALSE)</f>
        <v>MANHATTAN</v>
      </c>
      <c r="B186" s="1"/>
      <c r="C186" s="1" t="s">
        <v>78</v>
      </c>
      <c r="D186" s="1" t="str">
        <f>VLOOKUP(Table1[[#This Row],[DEVELOPMENT]],Data[],MATCH(Table1[[#Headers],[NRR]],Data[#Headers],0),FALSE)</f>
        <v>Zone 2</v>
      </c>
      <c r="E186" s="1" t="str">
        <f>VLOOKUP(Table1[[#This Row],[DEVELOPMENT]],Data[],MATCH(Table1[[#Headers],[Priority Level]],Data[#Headers],0),FALSE)</f>
        <v>$</v>
      </c>
      <c r="F186" s="1">
        <f>VLOOKUP(Table1[[#This Row],[DEVELOPMENT]],Data[],MATCH(Table1[[#Headers],[RAD/PACT]],Data[#Headers],0),FALSE)</f>
        <v>2024</v>
      </c>
      <c r="G186" s="1" t="s">
        <v>109</v>
      </c>
      <c r="H186" s="7"/>
      <c r="I186" s="8"/>
      <c r="J186" s="8"/>
      <c r="K186" s="3"/>
      <c r="L186" s="93"/>
      <c r="M186" s="90"/>
      <c r="N186" s="90"/>
      <c r="O186" s="2"/>
      <c r="P186" s="2"/>
      <c r="Q186" s="11"/>
      <c r="R18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186" s="9"/>
      <c r="T186" s="16"/>
    </row>
    <row r="187" spans="1:20" x14ac:dyDescent="0.25">
      <c r="A187" s="13" t="str">
        <f>VLOOKUP(C187,Data[],2,FALSE)</f>
        <v>MANHATTAN</v>
      </c>
      <c r="B187" s="1"/>
      <c r="C187" s="1" t="s">
        <v>81</v>
      </c>
      <c r="D187" s="1" t="str">
        <f>VLOOKUP(Table1[[#This Row],[DEVELOPMENT]],Data[],MATCH(Table1[[#Headers],[NRR]],Data[#Headers],0),FALSE)</f>
        <v>Zone 2</v>
      </c>
      <c r="E187" s="1" t="str">
        <f>VLOOKUP(Table1[[#This Row],[DEVELOPMENT]],Data[],MATCH(Table1[[#Headers],[Priority Level]],Data[#Headers],0),FALSE)</f>
        <v>$$$$</v>
      </c>
      <c r="F187" s="1" t="str">
        <f>VLOOKUP(Table1[[#This Row],[DEVELOPMENT]],Data[],MATCH(Table1[[#Headers],[RAD/PACT]],Data[#Headers],0),FALSE)</f>
        <v/>
      </c>
      <c r="G187" s="1" t="s">
        <v>109</v>
      </c>
      <c r="H187" s="7"/>
      <c r="I187" s="8"/>
      <c r="J187" s="8"/>
      <c r="K187" s="3"/>
      <c r="L187" s="93"/>
      <c r="M187" s="90"/>
      <c r="N187" s="90"/>
      <c r="O187" s="2"/>
      <c r="P187" s="2"/>
      <c r="Q187" s="11"/>
      <c r="R18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87" s="9"/>
      <c r="T187" s="16"/>
    </row>
    <row r="188" spans="1:20" x14ac:dyDescent="0.25">
      <c r="A188" s="13" t="str">
        <f>VLOOKUP(C188,Data[],2,FALSE)</f>
        <v>MANHATTAN</v>
      </c>
      <c r="B188" s="1"/>
      <c r="C188" s="1" t="s">
        <v>112</v>
      </c>
      <c r="D188" s="1" t="str">
        <f>VLOOKUP(Table1[[#This Row],[DEVELOPMENT]],Data[],MATCH(Table1[[#Headers],[NRR]],Data[#Headers],0),FALSE)</f>
        <v>Zone 2</v>
      </c>
      <c r="E188" s="1" t="str">
        <f>VLOOKUP(Table1[[#This Row],[DEVELOPMENT]],Data[],MATCH(Table1[[#Headers],[Priority Level]],Data[#Headers],0),FALSE)</f>
        <v>$$</v>
      </c>
      <c r="F188" s="1">
        <f>VLOOKUP(Table1[[#This Row],[DEVELOPMENT]],Data[],MATCH(Table1[[#Headers],[RAD/PACT]],Data[#Headers],0),FALSE)</f>
        <v>2026</v>
      </c>
      <c r="G188" s="1" t="s">
        <v>109</v>
      </c>
      <c r="H188" s="7"/>
      <c r="I188" s="8"/>
      <c r="J188" s="8"/>
      <c r="K188" s="3"/>
      <c r="L188" s="93"/>
      <c r="M188" s="90"/>
      <c r="N188" s="90"/>
      <c r="O188" s="2"/>
      <c r="P188" s="2"/>
      <c r="Q188" s="11"/>
      <c r="R18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88" s="9"/>
      <c r="T188" s="16"/>
    </row>
    <row r="189" spans="1:20" x14ac:dyDescent="0.25">
      <c r="A189" s="13" t="str">
        <f>VLOOKUP(C189,Data[],2,FALSE)</f>
        <v>MANHATTAN</v>
      </c>
      <c r="B189" s="1"/>
      <c r="C189" s="1" t="s">
        <v>83</v>
      </c>
      <c r="D189" s="1" t="str">
        <f>VLOOKUP(Table1[[#This Row],[DEVELOPMENT]],Data[],MATCH(Table1[[#Headers],[NRR]],Data[#Headers],0),FALSE)</f>
        <v>Zone 2</v>
      </c>
      <c r="E189" s="1" t="str">
        <f>VLOOKUP(Table1[[#This Row],[DEVELOPMENT]],Data[],MATCH(Table1[[#Headers],[Priority Level]],Data[#Headers],0),FALSE)</f>
        <v>$$$</v>
      </c>
      <c r="F189" s="1">
        <f>VLOOKUP(Table1[[#This Row],[DEVELOPMENT]],Data[],MATCH(Table1[[#Headers],[RAD/PACT]],Data[#Headers],0),FALSE)</f>
        <v>2028</v>
      </c>
      <c r="G189" s="1" t="s">
        <v>109</v>
      </c>
      <c r="H189" s="7"/>
      <c r="I189" s="8"/>
      <c r="J189" s="8"/>
      <c r="K189" s="3"/>
      <c r="L189" s="93"/>
      <c r="M189" s="90"/>
      <c r="N189" s="90"/>
      <c r="O189" s="2"/>
      <c r="P189" s="2"/>
      <c r="Q189" s="11"/>
      <c r="R18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89" s="9"/>
      <c r="T189" s="16"/>
    </row>
    <row r="190" spans="1:20" x14ac:dyDescent="0.25">
      <c r="A190" s="13" t="str">
        <f>VLOOKUP(C190,Data[],2,FALSE)</f>
        <v>MANHATTAN</v>
      </c>
      <c r="B190" s="1"/>
      <c r="C190" s="1" t="s">
        <v>131</v>
      </c>
      <c r="D190" s="1" t="str">
        <f>VLOOKUP(Table1[[#This Row],[DEVELOPMENT]],Data[],MATCH(Table1[[#Headers],[NRR]],Data[#Headers],0),FALSE)</f>
        <v>Zone 2</v>
      </c>
      <c r="E190" s="1" t="str">
        <f>VLOOKUP(Table1[[#This Row],[DEVELOPMENT]],Data[],MATCH(Table1[[#Headers],[Priority Level]],Data[#Headers],0),FALSE)</f>
        <v>$$$</v>
      </c>
      <c r="F190" s="1" t="str">
        <f>VLOOKUP(Table1[[#This Row],[DEVELOPMENT]],Data[],MATCH(Table1[[#Headers],[RAD/PACT]],Data[#Headers],0),FALSE)</f>
        <v/>
      </c>
      <c r="G190" s="1" t="s">
        <v>109</v>
      </c>
      <c r="H190" s="7"/>
      <c r="I190" s="8"/>
      <c r="J190" s="8"/>
      <c r="K190" s="3"/>
      <c r="L190" s="93"/>
      <c r="M190" s="90"/>
      <c r="N190" s="90"/>
      <c r="O190" s="2"/>
      <c r="P190" s="2"/>
      <c r="Q190" s="11"/>
      <c r="R19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0" s="9"/>
      <c r="T190" s="16"/>
    </row>
    <row r="191" spans="1:20" x14ac:dyDescent="0.25">
      <c r="A191" s="13" t="str">
        <f>VLOOKUP(C191,Data[],2,FALSE)</f>
        <v>MANHATTAN</v>
      </c>
      <c r="B191" s="1"/>
      <c r="C191" s="1" t="s">
        <v>113</v>
      </c>
      <c r="D191" s="1" t="str">
        <f>VLOOKUP(Table1[[#This Row],[DEVELOPMENT]],Data[],MATCH(Table1[[#Headers],[NRR]],Data[#Headers],0),FALSE)</f>
        <v>Zone 2</v>
      </c>
      <c r="E191" s="1" t="str">
        <f>VLOOKUP(Table1[[#This Row],[DEVELOPMENT]],Data[],MATCH(Table1[[#Headers],[Priority Level]],Data[#Headers],0),FALSE)</f>
        <v>$$$$</v>
      </c>
      <c r="F191" s="1" t="str">
        <f>VLOOKUP(Table1[[#This Row],[DEVELOPMENT]],Data[],MATCH(Table1[[#Headers],[RAD/PACT]],Data[#Headers],0),FALSE)</f>
        <v/>
      </c>
      <c r="G191" s="1" t="s">
        <v>109</v>
      </c>
      <c r="H191" s="7"/>
      <c r="I191" s="8"/>
      <c r="J191" s="8"/>
      <c r="K191" s="3"/>
      <c r="L191" s="93"/>
      <c r="M191" s="90"/>
      <c r="N191" s="90"/>
      <c r="O191" s="2"/>
      <c r="P191" s="2"/>
      <c r="Q191" s="11"/>
      <c r="R19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1" s="9"/>
      <c r="T191" s="16"/>
    </row>
    <row r="192" spans="1:20" x14ac:dyDescent="0.25">
      <c r="A192" s="13" t="str">
        <f>VLOOKUP(C192,Data[],2,FALSE)</f>
        <v>MANHATTAN</v>
      </c>
      <c r="B192" s="1"/>
      <c r="C192" s="1" t="s">
        <v>122</v>
      </c>
      <c r="D192" s="1" t="str">
        <f>VLOOKUP(Table1[[#This Row],[DEVELOPMENT]],Data[],MATCH(Table1[[#Headers],[NRR]],Data[#Headers],0),FALSE)</f>
        <v>Zone 2</v>
      </c>
      <c r="E192" s="1" t="str">
        <f>VLOOKUP(Table1[[#This Row],[DEVELOPMENT]],Data[],MATCH(Table1[[#Headers],[Priority Level]],Data[#Headers],0),FALSE)</f>
        <v>$</v>
      </c>
      <c r="F192" s="1">
        <f>VLOOKUP(Table1[[#This Row],[DEVELOPMENT]],Data[],MATCH(Table1[[#Headers],[RAD/PACT]],Data[#Headers],0),FALSE)</f>
        <v>2028</v>
      </c>
      <c r="G192" s="1" t="s">
        <v>109</v>
      </c>
      <c r="H192" s="7"/>
      <c r="I192" s="8"/>
      <c r="J192" s="8"/>
      <c r="K192" s="3"/>
      <c r="L192" s="93"/>
      <c r="M192" s="90"/>
      <c r="N192" s="90"/>
      <c r="O192" s="2"/>
      <c r="P192" s="2"/>
      <c r="Q192" s="11"/>
      <c r="R19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2" s="9"/>
      <c r="T192" s="16"/>
    </row>
    <row r="193" spans="1:20" x14ac:dyDescent="0.25">
      <c r="A193" s="13" t="str">
        <f>VLOOKUP(C193,Data[],2,FALSE)</f>
        <v>BROOKLYN</v>
      </c>
      <c r="B193" s="9" t="s">
        <v>25</v>
      </c>
      <c r="C193" s="9" t="s">
        <v>38</v>
      </c>
      <c r="D193" s="1" t="str">
        <f>VLOOKUP(Table1[[#This Row],[DEVELOPMENT]],Data[],MATCH(Table1[[#Headers],[NRR]],Data[#Headers],0),FALSE)</f>
        <v>Zone 1</v>
      </c>
      <c r="E193" s="1" t="str">
        <f>VLOOKUP(Table1[[#This Row],[DEVELOPMENT]],Data[],MATCH(Table1[[#Headers],[Priority Level]],Data[#Headers],0),FALSE)</f>
        <v>$$</v>
      </c>
      <c r="F193" s="1">
        <f>VLOOKUP(Table1[[#This Row],[DEVELOPMENT]],Data[],MATCH(Table1[[#Headers],[RAD/PACT]],Data[#Headers],0),FALSE)</f>
        <v>2027</v>
      </c>
      <c r="G193" s="9" t="s">
        <v>109</v>
      </c>
      <c r="H193" s="75" t="s">
        <v>85</v>
      </c>
      <c r="I193" s="10"/>
      <c r="J193" s="10">
        <f>K193</f>
        <v>1362690</v>
      </c>
      <c r="K193" s="11">
        <v>1362690</v>
      </c>
      <c r="L193" s="90">
        <v>2019</v>
      </c>
      <c r="M193" s="92"/>
      <c r="N193" s="92"/>
      <c r="O193" s="2" t="s">
        <v>53</v>
      </c>
      <c r="P193" s="2"/>
      <c r="Q193" s="3"/>
      <c r="R19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3" s="1"/>
      <c r="T193" s="16"/>
    </row>
    <row r="194" spans="1:20" x14ac:dyDescent="0.25">
      <c r="A194" s="13" t="str">
        <f>VLOOKUP(C194,Data[],2,FALSE)</f>
        <v>MANHATTAN</v>
      </c>
      <c r="B194" s="1"/>
      <c r="C194" s="1" t="s">
        <v>90</v>
      </c>
      <c r="D194" s="1" t="str">
        <f>VLOOKUP(Table1[[#This Row],[DEVELOPMENT]],Data[],MATCH(Table1[[#Headers],[NRR]],Data[#Headers],0),FALSE)</f>
        <v>Zone 2</v>
      </c>
      <c r="E194" s="1" t="str">
        <f>VLOOKUP(Table1[[#This Row],[DEVELOPMENT]],Data[],MATCH(Table1[[#Headers],[Priority Level]],Data[#Headers],0),FALSE)</f>
        <v>$</v>
      </c>
      <c r="F194" s="1" t="str">
        <f>VLOOKUP(Table1[[#This Row],[DEVELOPMENT]],Data[],MATCH(Table1[[#Headers],[RAD/PACT]],Data[#Headers],0),FALSE)</f>
        <v/>
      </c>
      <c r="G194" s="1" t="s">
        <v>109</v>
      </c>
      <c r="H194" s="7"/>
      <c r="I194" s="8"/>
      <c r="J194" s="8"/>
      <c r="K194" s="3"/>
      <c r="L194" s="93"/>
      <c r="M194" s="90"/>
      <c r="N194" s="90"/>
      <c r="O194" s="2"/>
      <c r="P194" s="2"/>
      <c r="Q194" s="11"/>
      <c r="R19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4" s="9"/>
      <c r="T194" s="16"/>
    </row>
    <row r="195" spans="1:20" x14ac:dyDescent="0.25">
      <c r="A195" s="13" t="str">
        <f>VLOOKUP(C195,Data[],2,FALSE)</f>
        <v>BRONX</v>
      </c>
      <c r="B195" s="1" t="s">
        <v>25</v>
      </c>
      <c r="C195" s="1" t="s">
        <v>140</v>
      </c>
      <c r="D195" s="1" t="str">
        <f>VLOOKUP(Table1[[#This Row],[DEVELOPMENT]],Data[],MATCH(Table1[[#Headers],[NRR]],Data[#Headers],0),FALSE)</f>
        <v>Zone 1</v>
      </c>
      <c r="E195" s="1" t="str">
        <f>VLOOKUP(Table1[[#This Row],[DEVELOPMENT]],Data[],MATCH(Table1[[#Headers],[Priority Level]],Data[#Headers],0),FALSE)</f>
        <v>$$$</v>
      </c>
      <c r="F195" s="1" t="str">
        <f>VLOOKUP(Table1[[#This Row],[DEVELOPMENT]],Data[],MATCH(Table1[[#Headers],[RAD/PACT]],Data[#Headers],0),FALSE)</f>
        <v/>
      </c>
      <c r="G195" s="1" t="s">
        <v>109</v>
      </c>
      <c r="H195" s="75" t="s">
        <v>85</v>
      </c>
      <c r="I195" s="8"/>
      <c r="J195" s="8">
        <f>K195</f>
        <v>1362690</v>
      </c>
      <c r="K195" s="3">
        <v>1362690</v>
      </c>
      <c r="L195" s="92">
        <v>2019</v>
      </c>
      <c r="M195" s="92"/>
      <c r="N195" s="92"/>
      <c r="O195" s="2" t="s">
        <v>53</v>
      </c>
      <c r="P195" s="2"/>
      <c r="Q195" s="3"/>
      <c r="R19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5" s="1"/>
      <c r="T195" s="16"/>
    </row>
    <row r="196" spans="1:20" x14ac:dyDescent="0.25">
      <c r="A196" s="13" t="str">
        <f>VLOOKUP(C196,Data[],2,FALSE)</f>
        <v>MANHATTAN</v>
      </c>
      <c r="B196" s="1"/>
      <c r="C196" s="1" t="s">
        <v>133</v>
      </c>
      <c r="D196" s="1" t="str">
        <f>VLOOKUP(Table1[[#This Row],[DEVELOPMENT]],Data[],MATCH(Table1[[#Headers],[NRR]],Data[#Headers],0),FALSE)</f>
        <v>Zone 2</v>
      </c>
      <c r="E196" s="1" t="str">
        <f>VLOOKUP(Table1[[#This Row],[DEVELOPMENT]],Data[],MATCH(Table1[[#Headers],[Priority Level]],Data[#Headers],0),FALSE)</f>
        <v>$</v>
      </c>
      <c r="F196" s="1" t="str">
        <f>VLOOKUP(Table1[[#This Row],[DEVELOPMENT]],Data[],MATCH(Table1[[#Headers],[RAD/PACT]],Data[#Headers],0),FALSE)</f>
        <v/>
      </c>
      <c r="G196" s="1" t="s">
        <v>109</v>
      </c>
      <c r="H196" s="7"/>
      <c r="I196" s="8"/>
      <c r="J196" s="8"/>
      <c r="K196" s="3"/>
      <c r="L196" s="93"/>
      <c r="M196" s="90"/>
      <c r="N196" s="90"/>
      <c r="O196" s="2"/>
      <c r="P196" s="2"/>
      <c r="Q196" s="11"/>
      <c r="R19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6" s="9"/>
      <c r="T196" s="16"/>
    </row>
    <row r="197" spans="1:20" x14ac:dyDescent="0.25">
      <c r="A197" s="13" t="str">
        <f>VLOOKUP(C197,Data[],2,FALSE)</f>
        <v>MANHATTAN</v>
      </c>
      <c r="B197" s="1"/>
      <c r="C197" s="1" t="s">
        <v>115</v>
      </c>
      <c r="D197" s="1" t="str">
        <f>VLOOKUP(Table1[[#This Row],[DEVELOPMENT]],Data[],MATCH(Table1[[#Headers],[NRR]],Data[#Headers],0),FALSE)</f>
        <v>Zone 2</v>
      </c>
      <c r="E197" s="1" t="str">
        <f>VLOOKUP(Table1[[#This Row],[DEVELOPMENT]],Data[],MATCH(Table1[[#Headers],[Priority Level]],Data[#Headers],0),FALSE)</f>
        <v>$</v>
      </c>
      <c r="F197" s="1" t="str">
        <f>VLOOKUP(Table1[[#This Row],[DEVELOPMENT]],Data[],MATCH(Table1[[#Headers],[RAD/PACT]],Data[#Headers],0),FALSE)</f>
        <v/>
      </c>
      <c r="G197" s="1" t="s">
        <v>109</v>
      </c>
      <c r="H197" s="7"/>
      <c r="I197" s="8"/>
      <c r="J197" s="8"/>
      <c r="K197" s="3"/>
      <c r="L197" s="93"/>
      <c r="M197" s="90"/>
      <c r="N197" s="90"/>
      <c r="O197" s="2"/>
      <c r="P197" s="2"/>
      <c r="Q197" s="11"/>
      <c r="R19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7" s="9"/>
      <c r="T197" s="16"/>
    </row>
    <row r="198" spans="1:20" x14ac:dyDescent="0.25">
      <c r="A198" s="13" t="str">
        <f>VLOOKUP(C198,Data[],2,FALSE)</f>
        <v>MANHATTAN</v>
      </c>
      <c r="B198" s="1"/>
      <c r="C198" s="1" t="s">
        <v>136</v>
      </c>
      <c r="D198" s="1" t="str">
        <f>VLOOKUP(Table1[[#This Row],[DEVELOPMENT]],Data[],MATCH(Table1[[#Headers],[NRR]],Data[#Headers],0),FALSE)</f>
        <v>Zone 2</v>
      </c>
      <c r="E198" s="1" t="str">
        <f>VLOOKUP(Table1[[#This Row],[DEVELOPMENT]],Data[],MATCH(Table1[[#Headers],[Priority Level]],Data[#Headers],0),FALSE)</f>
        <v>$</v>
      </c>
      <c r="F198" s="1" t="str">
        <f>VLOOKUP(Table1[[#This Row],[DEVELOPMENT]],Data[],MATCH(Table1[[#Headers],[RAD/PACT]],Data[#Headers],0),FALSE)</f>
        <v/>
      </c>
      <c r="G198" s="1" t="s">
        <v>109</v>
      </c>
      <c r="H198" s="7"/>
      <c r="I198" s="8"/>
      <c r="J198" s="8"/>
      <c r="K198" s="3"/>
      <c r="L198" s="93"/>
      <c r="M198" s="90"/>
      <c r="N198" s="90"/>
      <c r="O198" s="2"/>
      <c r="P198" s="2"/>
      <c r="Q198" s="11"/>
      <c r="R19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8" s="9"/>
      <c r="T198" s="16"/>
    </row>
    <row r="199" spans="1:20" x14ac:dyDescent="0.25">
      <c r="A199" s="13" t="str">
        <f>VLOOKUP(C199,Data[],2,FALSE)</f>
        <v>MANHATTAN</v>
      </c>
      <c r="B199" s="1"/>
      <c r="C199" s="1" t="s">
        <v>128</v>
      </c>
      <c r="D199" s="1" t="str">
        <f>VLOOKUP(Table1[[#This Row],[DEVELOPMENT]],Data[],MATCH(Table1[[#Headers],[NRR]],Data[#Headers],0),FALSE)</f>
        <v>Zone 2</v>
      </c>
      <c r="E199" s="1" t="str">
        <f>VLOOKUP(Table1[[#This Row],[DEVELOPMENT]],Data[],MATCH(Table1[[#Headers],[Priority Level]],Data[#Headers],0),FALSE)</f>
        <v>$$$</v>
      </c>
      <c r="F199" s="1" t="str">
        <f>VLOOKUP(Table1[[#This Row],[DEVELOPMENT]],Data[],MATCH(Table1[[#Headers],[RAD/PACT]],Data[#Headers],0),FALSE)</f>
        <v/>
      </c>
      <c r="G199" s="1" t="s">
        <v>109</v>
      </c>
      <c r="H199" s="7"/>
      <c r="I199" s="8"/>
      <c r="J199" s="8"/>
      <c r="K199" s="3"/>
      <c r="L199" s="93"/>
      <c r="M199" s="90"/>
      <c r="N199" s="90"/>
      <c r="O199" s="2"/>
      <c r="P199" s="2"/>
      <c r="Q199" s="11"/>
      <c r="R19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199" s="9"/>
      <c r="T199" s="16"/>
    </row>
    <row r="200" spans="1:20" x14ac:dyDescent="0.25">
      <c r="A200" s="13" t="str">
        <f>VLOOKUP(C200,Data[],2,FALSE)</f>
        <v>MANHATTAN</v>
      </c>
      <c r="B200" s="1"/>
      <c r="C200" s="1" t="s">
        <v>127</v>
      </c>
      <c r="D200" s="1" t="str">
        <f>VLOOKUP(Table1[[#This Row],[DEVELOPMENT]],Data[],MATCH(Table1[[#Headers],[NRR]],Data[#Headers],0),FALSE)</f>
        <v>Zone 2</v>
      </c>
      <c r="E200" s="1" t="str">
        <f>VLOOKUP(Table1[[#This Row],[DEVELOPMENT]],Data[],MATCH(Table1[[#Headers],[Priority Level]],Data[#Headers],0),FALSE)</f>
        <v>$</v>
      </c>
      <c r="F200" s="1" t="str">
        <f>VLOOKUP(Table1[[#This Row],[DEVELOPMENT]],Data[],MATCH(Table1[[#Headers],[RAD/PACT]],Data[#Headers],0),FALSE)</f>
        <v/>
      </c>
      <c r="G200" s="1" t="s">
        <v>109</v>
      </c>
      <c r="H200" s="7"/>
      <c r="I200" s="8"/>
      <c r="J200" s="8"/>
      <c r="K200" s="3"/>
      <c r="L200" s="93"/>
      <c r="M200" s="90"/>
      <c r="N200" s="90"/>
      <c r="O200" s="2"/>
      <c r="P200" s="2"/>
      <c r="Q200" s="11"/>
      <c r="R20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200" s="9"/>
      <c r="T200" s="16"/>
    </row>
    <row r="201" spans="1:20" x14ac:dyDescent="0.25">
      <c r="A201" s="13" t="str">
        <f>VLOOKUP(C201,Data[],2,FALSE)</f>
        <v>BRONX</v>
      </c>
      <c r="B201" s="1" t="s">
        <v>25</v>
      </c>
      <c r="C201" s="1" t="s">
        <v>47</v>
      </c>
      <c r="D201" s="1" t="str">
        <f>VLOOKUP(Table1[[#This Row],[DEVELOPMENT]],Data[],MATCH(Table1[[#Headers],[NRR]],Data[#Headers],0),FALSE)</f>
        <v>Zone 1</v>
      </c>
      <c r="E201" s="1" t="str">
        <f>VLOOKUP(Table1[[#This Row],[DEVELOPMENT]],Data[],MATCH(Table1[[#Headers],[Priority Level]],Data[#Headers],0),FALSE)</f>
        <v>$</v>
      </c>
      <c r="F201" s="1" t="str">
        <f>VLOOKUP(Table1[[#This Row],[DEVELOPMENT]],Data[],MATCH(Table1[[#Headers],[RAD/PACT]],Data[#Headers],0),FALSE)</f>
        <v/>
      </c>
      <c r="G201" s="1" t="s">
        <v>109</v>
      </c>
      <c r="H201" s="75" t="s">
        <v>85</v>
      </c>
      <c r="I201" s="8"/>
      <c r="J201" s="8">
        <f>K201</f>
        <v>1362690</v>
      </c>
      <c r="K201" s="3">
        <v>1362690</v>
      </c>
      <c r="L201" s="92">
        <v>2019</v>
      </c>
      <c r="M201" s="92"/>
      <c r="N201" s="92"/>
      <c r="O201" s="2" t="s">
        <v>53</v>
      </c>
      <c r="P201" s="2"/>
      <c r="Q201" s="3"/>
      <c r="R20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1307070</v>
      </c>
      <c r="S201" s="1"/>
      <c r="T201" s="16"/>
    </row>
    <row r="202" spans="1:20" x14ac:dyDescent="0.25">
      <c r="A202" s="13" t="str">
        <f>VLOOKUP(C202,Data[],2,FALSE)</f>
        <v>MANHATTAN</v>
      </c>
      <c r="B202" s="1"/>
      <c r="C202" s="1" t="s">
        <v>120</v>
      </c>
      <c r="D202" s="1" t="str">
        <f>VLOOKUP(Table1[[#This Row],[DEVELOPMENT]],Data[],MATCH(Table1[[#Headers],[NRR]],Data[#Headers],0),FALSE)</f>
        <v>Zone 2</v>
      </c>
      <c r="E202" s="1" t="str">
        <f>VLOOKUP(Table1[[#This Row],[DEVELOPMENT]],Data[],MATCH(Table1[[#Headers],[Priority Level]],Data[#Headers],0),FALSE)</f>
        <v>$$</v>
      </c>
      <c r="F202" s="1" t="str">
        <f>VLOOKUP(Table1[[#This Row],[DEVELOPMENT]],Data[],MATCH(Table1[[#Headers],[RAD/PACT]],Data[#Headers],0),FALSE)</f>
        <v/>
      </c>
      <c r="G202" s="9" t="s">
        <v>52</v>
      </c>
      <c r="H202" s="12"/>
      <c r="I202" s="8"/>
      <c r="J202" s="8"/>
      <c r="K202" s="3"/>
      <c r="L202" s="93"/>
      <c r="M202" s="90"/>
      <c r="N202" s="90"/>
      <c r="O202" s="2"/>
      <c r="P202" s="2"/>
      <c r="Q202" s="11"/>
      <c r="R20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02" s="9"/>
      <c r="T202" s="16"/>
    </row>
    <row r="203" spans="1:20" x14ac:dyDescent="0.25">
      <c r="A203" s="13" t="str">
        <f>VLOOKUP(C203,Data[],2,FALSE)</f>
        <v>MANHATTAN</v>
      </c>
      <c r="B203" s="1"/>
      <c r="C203" s="1" t="s">
        <v>129</v>
      </c>
      <c r="D203" s="1" t="str">
        <f>VLOOKUP(Table1[[#This Row],[DEVELOPMENT]],Data[],MATCH(Table1[[#Headers],[NRR]],Data[#Headers],0),FALSE)</f>
        <v>Zone 2</v>
      </c>
      <c r="E203" s="1" t="str">
        <f>VLOOKUP(Table1[[#This Row],[DEVELOPMENT]],Data[],MATCH(Table1[[#Headers],[Priority Level]],Data[#Headers],0),FALSE)</f>
        <v>$$$$</v>
      </c>
      <c r="F203" s="1" t="str">
        <f>VLOOKUP(Table1[[#This Row],[DEVELOPMENT]],Data[],MATCH(Table1[[#Headers],[RAD/PACT]],Data[#Headers],0),FALSE)</f>
        <v/>
      </c>
      <c r="G203" s="9" t="s">
        <v>52</v>
      </c>
      <c r="H203" s="12"/>
      <c r="I203" s="8"/>
      <c r="J203" s="8"/>
      <c r="K203" s="3"/>
      <c r="L203" s="93"/>
      <c r="M203" s="90"/>
      <c r="N203" s="90"/>
      <c r="O203" s="2"/>
      <c r="P203" s="2"/>
      <c r="Q203" s="11"/>
      <c r="R20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03" s="9"/>
      <c r="T203" s="16"/>
    </row>
    <row r="204" spans="1:20" x14ac:dyDescent="0.25">
      <c r="A204" s="13" t="str">
        <f>VLOOKUP(C204,Data[],2,FALSE)</f>
        <v>MANHATTAN</v>
      </c>
      <c r="B204" s="1"/>
      <c r="C204" s="1" t="s">
        <v>77</v>
      </c>
      <c r="D204" s="1" t="str">
        <f>VLOOKUP(Table1[[#This Row],[DEVELOPMENT]],Data[],MATCH(Table1[[#Headers],[NRR]],Data[#Headers],0),FALSE)</f>
        <v>Zone 2</v>
      </c>
      <c r="E204" s="1" t="str">
        <f>VLOOKUP(Table1[[#This Row],[DEVELOPMENT]],Data[],MATCH(Table1[[#Headers],[Priority Level]],Data[#Headers],0),FALSE)</f>
        <v>$</v>
      </c>
      <c r="F204" s="1" t="str">
        <f>VLOOKUP(Table1[[#This Row],[DEVELOPMENT]],Data[],MATCH(Table1[[#Headers],[RAD/PACT]],Data[#Headers],0),FALSE)</f>
        <v/>
      </c>
      <c r="G204" s="9" t="s">
        <v>52</v>
      </c>
      <c r="H204" s="12"/>
      <c r="I204" s="8"/>
      <c r="J204" s="8"/>
      <c r="K204" s="3"/>
      <c r="L204" s="93"/>
      <c r="M204" s="90"/>
      <c r="N204" s="90"/>
      <c r="O204" s="2"/>
      <c r="P204" s="2"/>
      <c r="Q204" s="11"/>
      <c r="R20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04" s="9"/>
      <c r="T204" s="16"/>
    </row>
    <row r="205" spans="1:20" x14ac:dyDescent="0.25">
      <c r="A205" s="13" t="str">
        <f>VLOOKUP(C205,Data[],2,FALSE)</f>
        <v>MANHATTAN</v>
      </c>
      <c r="B205" s="1"/>
      <c r="C205" s="1" t="s">
        <v>78</v>
      </c>
      <c r="D205" s="1" t="str">
        <f>VLOOKUP(Table1[[#This Row],[DEVELOPMENT]],Data[],MATCH(Table1[[#Headers],[NRR]],Data[#Headers],0),FALSE)</f>
        <v>Zone 2</v>
      </c>
      <c r="E205" s="1" t="str">
        <f>VLOOKUP(Table1[[#This Row],[DEVELOPMENT]],Data[],MATCH(Table1[[#Headers],[Priority Level]],Data[#Headers],0),FALSE)</f>
        <v>$</v>
      </c>
      <c r="F205" s="1">
        <f>VLOOKUP(Table1[[#This Row],[DEVELOPMENT]],Data[],MATCH(Table1[[#Headers],[RAD/PACT]],Data[#Headers],0),FALSE)</f>
        <v>2024</v>
      </c>
      <c r="G205" s="9" t="s">
        <v>52</v>
      </c>
      <c r="H205" s="12"/>
      <c r="I205" s="8"/>
      <c r="J205" s="8"/>
      <c r="K205" s="3"/>
      <c r="L205" s="93"/>
      <c r="M205" s="90"/>
      <c r="N205" s="90"/>
      <c r="O205" s="2"/>
      <c r="P205" s="2"/>
      <c r="Q205" s="11"/>
      <c r="R20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05" s="9"/>
      <c r="T205" s="16"/>
    </row>
    <row r="206" spans="1:20" x14ac:dyDescent="0.25">
      <c r="A206" s="13" t="str">
        <f>VLOOKUP(C206,Data[],2,FALSE)</f>
        <v>MANHATTAN</v>
      </c>
      <c r="B206" s="1"/>
      <c r="C206" s="1" t="s">
        <v>81</v>
      </c>
      <c r="D206" s="1" t="str">
        <f>VLOOKUP(Table1[[#This Row],[DEVELOPMENT]],Data[],MATCH(Table1[[#Headers],[NRR]],Data[#Headers],0),FALSE)</f>
        <v>Zone 2</v>
      </c>
      <c r="E206" s="1" t="str">
        <f>VLOOKUP(Table1[[#This Row],[DEVELOPMENT]],Data[],MATCH(Table1[[#Headers],[Priority Level]],Data[#Headers],0),FALSE)</f>
        <v>$$$$</v>
      </c>
      <c r="F206" s="1" t="str">
        <f>VLOOKUP(Table1[[#This Row],[DEVELOPMENT]],Data[],MATCH(Table1[[#Headers],[RAD/PACT]],Data[#Headers],0),FALSE)</f>
        <v/>
      </c>
      <c r="G206" s="9" t="s">
        <v>52</v>
      </c>
      <c r="H206" s="12"/>
      <c r="I206" s="8"/>
      <c r="J206" s="8"/>
      <c r="K206" s="3"/>
      <c r="L206" s="93"/>
      <c r="M206" s="90"/>
      <c r="N206" s="90"/>
      <c r="O206" s="2"/>
      <c r="P206" s="2"/>
      <c r="Q206" s="11"/>
      <c r="R20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06" s="9"/>
      <c r="T206" s="16"/>
    </row>
    <row r="207" spans="1:20" x14ac:dyDescent="0.25">
      <c r="A207" s="13" t="str">
        <f>VLOOKUP(C207,Data[],2,FALSE)</f>
        <v>MANHATTAN</v>
      </c>
      <c r="B207" s="1"/>
      <c r="C207" s="1" t="s">
        <v>112</v>
      </c>
      <c r="D207" s="1" t="str">
        <f>VLOOKUP(Table1[[#This Row],[DEVELOPMENT]],Data[],MATCH(Table1[[#Headers],[NRR]],Data[#Headers],0),FALSE)</f>
        <v>Zone 2</v>
      </c>
      <c r="E207" s="1" t="str">
        <f>VLOOKUP(Table1[[#This Row],[DEVELOPMENT]],Data[],MATCH(Table1[[#Headers],[Priority Level]],Data[#Headers],0),FALSE)</f>
        <v>$$</v>
      </c>
      <c r="F207" s="1">
        <f>VLOOKUP(Table1[[#This Row],[DEVELOPMENT]],Data[],MATCH(Table1[[#Headers],[RAD/PACT]],Data[#Headers],0),FALSE)</f>
        <v>2026</v>
      </c>
      <c r="G207" s="9" t="s">
        <v>52</v>
      </c>
      <c r="H207" s="12"/>
      <c r="I207" s="8"/>
      <c r="J207" s="8"/>
      <c r="K207" s="3"/>
      <c r="L207" s="93"/>
      <c r="M207" s="90"/>
      <c r="N207" s="90"/>
      <c r="O207" s="2"/>
      <c r="P207" s="2"/>
      <c r="Q207" s="11"/>
      <c r="R20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07" s="9"/>
      <c r="T207" s="16"/>
    </row>
    <row r="208" spans="1:20" x14ac:dyDescent="0.25">
      <c r="A208" s="13" t="str">
        <f>VLOOKUP(C208,Data[],2,FALSE)</f>
        <v>MANHATTAN</v>
      </c>
      <c r="B208" s="1"/>
      <c r="C208" s="1" t="s">
        <v>83</v>
      </c>
      <c r="D208" s="1" t="str">
        <f>VLOOKUP(Table1[[#This Row],[DEVELOPMENT]],Data[],MATCH(Table1[[#Headers],[NRR]],Data[#Headers],0),FALSE)</f>
        <v>Zone 2</v>
      </c>
      <c r="E208" s="1" t="str">
        <f>VLOOKUP(Table1[[#This Row],[DEVELOPMENT]],Data[],MATCH(Table1[[#Headers],[Priority Level]],Data[#Headers],0),FALSE)</f>
        <v>$$$</v>
      </c>
      <c r="F208" s="1">
        <f>VLOOKUP(Table1[[#This Row],[DEVELOPMENT]],Data[],MATCH(Table1[[#Headers],[RAD/PACT]],Data[#Headers],0),FALSE)</f>
        <v>2028</v>
      </c>
      <c r="G208" s="9" t="s">
        <v>52</v>
      </c>
      <c r="H208" s="12"/>
      <c r="I208" s="8"/>
      <c r="J208" s="8"/>
      <c r="K208" s="3"/>
      <c r="L208" s="93"/>
      <c r="M208" s="90"/>
      <c r="N208" s="90"/>
      <c r="O208" s="2"/>
      <c r="P208" s="2"/>
      <c r="Q208" s="11"/>
      <c r="R20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08" s="9"/>
      <c r="T208" s="16"/>
    </row>
    <row r="209" spans="1:20" x14ac:dyDescent="0.25">
      <c r="A209" s="13" t="str">
        <f>VLOOKUP(C209,Data[],2,FALSE)</f>
        <v>MANHATTAN</v>
      </c>
      <c r="B209" s="1"/>
      <c r="C209" s="1" t="s">
        <v>131</v>
      </c>
      <c r="D209" s="1" t="str">
        <f>VLOOKUP(Table1[[#This Row],[DEVELOPMENT]],Data[],MATCH(Table1[[#Headers],[NRR]],Data[#Headers],0),FALSE)</f>
        <v>Zone 2</v>
      </c>
      <c r="E209" s="1" t="str">
        <f>VLOOKUP(Table1[[#This Row],[DEVELOPMENT]],Data[],MATCH(Table1[[#Headers],[Priority Level]],Data[#Headers],0),FALSE)</f>
        <v>$$$</v>
      </c>
      <c r="F209" s="1" t="str">
        <f>VLOOKUP(Table1[[#This Row],[DEVELOPMENT]],Data[],MATCH(Table1[[#Headers],[RAD/PACT]],Data[#Headers],0),FALSE)</f>
        <v/>
      </c>
      <c r="G209" s="9" t="s">
        <v>52</v>
      </c>
      <c r="H209" s="12"/>
      <c r="I209" s="8"/>
      <c r="J209" s="8"/>
      <c r="K209" s="3"/>
      <c r="L209" s="93"/>
      <c r="M209" s="90"/>
      <c r="N209" s="90"/>
      <c r="O209" s="2"/>
      <c r="P209" s="2"/>
      <c r="Q209" s="11"/>
      <c r="R20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09" s="9"/>
      <c r="T209" s="16"/>
    </row>
    <row r="210" spans="1:20" x14ac:dyDescent="0.25">
      <c r="A210" s="13" t="str">
        <f>VLOOKUP(C210,Data[],2,FALSE)</f>
        <v>MANHATTAN</v>
      </c>
      <c r="B210" s="1"/>
      <c r="C210" s="1" t="s">
        <v>113</v>
      </c>
      <c r="D210" s="1" t="str">
        <f>VLOOKUP(Table1[[#This Row],[DEVELOPMENT]],Data[],MATCH(Table1[[#Headers],[NRR]],Data[#Headers],0),FALSE)</f>
        <v>Zone 2</v>
      </c>
      <c r="E210" s="1" t="str">
        <f>VLOOKUP(Table1[[#This Row],[DEVELOPMENT]],Data[],MATCH(Table1[[#Headers],[Priority Level]],Data[#Headers],0),FALSE)</f>
        <v>$$$$</v>
      </c>
      <c r="F210" s="1" t="str">
        <f>VLOOKUP(Table1[[#This Row],[DEVELOPMENT]],Data[],MATCH(Table1[[#Headers],[RAD/PACT]],Data[#Headers],0),FALSE)</f>
        <v/>
      </c>
      <c r="G210" s="9" t="s">
        <v>52</v>
      </c>
      <c r="H210" s="12"/>
      <c r="I210" s="8"/>
      <c r="J210" s="8"/>
      <c r="K210" s="3"/>
      <c r="L210" s="93"/>
      <c r="M210" s="90"/>
      <c r="N210" s="90"/>
      <c r="O210" s="2"/>
      <c r="P210" s="2"/>
      <c r="Q210" s="11"/>
      <c r="R21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10" s="9"/>
      <c r="T210" s="16"/>
    </row>
    <row r="211" spans="1:20" x14ac:dyDescent="0.25">
      <c r="A211" s="13" t="str">
        <f>VLOOKUP(C211,Data[],2,FALSE)</f>
        <v>MANHATTAN</v>
      </c>
      <c r="B211" s="1"/>
      <c r="C211" s="1" t="s">
        <v>122</v>
      </c>
      <c r="D211" s="1" t="str">
        <f>VLOOKUP(Table1[[#This Row],[DEVELOPMENT]],Data[],MATCH(Table1[[#Headers],[NRR]],Data[#Headers],0),FALSE)</f>
        <v>Zone 2</v>
      </c>
      <c r="E211" s="1" t="str">
        <f>VLOOKUP(Table1[[#This Row],[DEVELOPMENT]],Data[],MATCH(Table1[[#Headers],[Priority Level]],Data[#Headers],0),FALSE)</f>
        <v>$</v>
      </c>
      <c r="F211" s="1">
        <f>VLOOKUP(Table1[[#This Row],[DEVELOPMENT]],Data[],MATCH(Table1[[#Headers],[RAD/PACT]],Data[#Headers],0),FALSE)</f>
        <v>2028</v>
      </c>
      <c r="G211" s="9" t="s">
        <v>52</v>
      </c>
      <c r="H211" s="12"/>
      <c r="I211" s="8"/>
      <c r="J211" s="8"/>
      <c r="K211" s="3"/>
      <c r="L211" s="93"/>
      <c r="M211" s="90"/>
      <c r="N211" s="90"/>
      <c r="O211" s="2"/>
      <c r="P211" s="2"/>
      <c r="Q211" s="11"/>
      <c r="R21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11" s="9"/>
      <c r="T211" s="16"/>
    </row>
    <row r="212" spans="1:20" x14ac:dyDescent="0.25">
      <c r="A212" s="13" t="str">
        <f>VLOOKUP(C212,Data[],2,FALSE)</f>
        <v>BROOKLYN</v>
      </c>
      <c r="B212" s="9" t="s">
        <v>25</v>
      </c>
      <c r="C212" s="9" t="s">
        <v>38</v>
      </c>
      <c r="D212" s="1" t="str">
        <f>VLOOKUP(Table1[[#This Row],[DEVELOPMENT]],Data[],MATCH(Table1[[#Headers],[NRR]],Data[#Headers],0),FALSE)</f>
        <v>Zone 1</v>
      </c>
      <c r="E212" s="1" t="str">
        <f>VLOOKUP(Table1[[#This Row],[DEVELOPMENT]],Data[],MATCH(Table1[[#Headers],[Priority Level]],Data[#Headers],0),FALSE)</f>
        <v>$$</v>
      </c>
      <c r="F212" s="1">
        <f>VLOOKUP(Table1[[#This Row],[DEVELOPMENT]],Data[],MATCH(Table1[[#Headers],[RAD/PACT]],Data[#Headers],0),FALSE)</f>
        <v>2027</v>
      </c>
      <c r="G212" s="9" t="s">
        <v>52</v>
      </c>
      <c r="H212" s="2" t="s">
        <v>28</v>
      </c>
      <c r="I212" s="10">
        <f>K212</f>
        <v>33089.670899999997</v>
      </c>
      <c r="J212" s="10"/>
      <c r="K212" s="11">
        <v>33089.670899999997</v>
      </c>
      <c r="L212" s="90">
        <v>2019</v>
      </c>
      <c r="M212" s="92"/>
      <c r="N212" s="92"/>
      <c r="O212" s="2" t="s">
        <v>53</v>
      </c>
      <c r="P212" s="2"/>
      <c r="Q212" s="3"/>
      <c r="R21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12" s="1"/>
      <c r="T212" s="16"/>
    </row>
    <row r="213" spans="1:20" x14ac:dyDescent="0.25">
      <c r="A213" s="13" t="str">
        <f>VLOOKUP(C213,Data[],2,FALSE)</f>
        <v>BRONX</v>
      </c>
      <c r="B213" s="1" t="s">
        <v>25</v>
      </c>
      <c r="C213" s="1" t="s">
        <v>39</v>
      </c>
      <c r="D213" s="1" t="str">
        <f>VLOOKUP(Table1[[#This Row],[DEVELOPMENT]],Data[],MATCH(Table1[[#Headers],[NRR]],Data[#Headers],0),FALSE)</f>
        <v>Zone 1</v>
      </c>
      <c r="E213" s="1" t="str">
        <f>VLOOKUP(Table1[[#This Row],[DEVELOPMENT]],Data[],MATCH(Table1[[#Headers],[Priority Level]],Data[#Headers],0),FALSE)</f>
        <v>$</v>
      </c>
      <c r="F213" s="1">
        <f>VLOOKUP(Table1[[#This Row],[DEVELOPMENT]],Data[],MATCH(Table1[[#Headers],[RAD/PACT]],Data[#Headers],0),FALSE)</f>
        <v>2023</v>
      </c>
      <c r="G213" s="1" t="s">
        <v>52</v>
      </c>
      <c r="H213" s="6" t="s">
        <v>33</v>
      </c>
      <c r="I213" s="8"/>
      <c r="J213" s="8">
        <f>K213</f>
        <v>34083.566126999998</v>
      </c>
      <c r="K213" s="3">
        <v>34083.566126999998</v>
      </c>
      <c r="L213" s="92">
        <v>2019</v>
      </c>
      <c r="M213" s="92"/>
      <c r="N213" s="92"/>
      <c r="O213" s="2" t="s">
        <v>53</v>
      </c>
      <c r="P213" s="2"/>
      <c r="Q213" s="3"/>
      <c r="R21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13" s="1"/>
      <c r="T213" s="16"/>
    </row>
    <row r="214" spans="1:20" x14ac:dyDescent="0.25">
      <c r="A214" s="13" t="str">
        <f>VLOOKUP(C214,Data[],2,FALSE)</f>
        <v>MANHATTAN</v>
      </c>
      <c r="B214" s="1"/>
      <c r="C214" s="1" t="s">
        <v>90</v>
      </c>
      <c r="D214" s="1" t="str">
        <f>VLOOKUP(Table1[[#This Row],[DEVELOPMENT]],Data[],MATCH(Table1[[#Headers],[NRR]],Data[#Headers],0),FALSE)</f>
        <v>Zone 2</v>
      </c>
      <c r="E214" s="1" t="str">
        <f>VLOOKUP(Table1[[#This Row],[DEVELOPMENT]],Data[],MATCH(Table1[[#Headers],[Priority Level]],Data[#Headers],0),FALSE)</f>
        <v>$</v>
      </c>
      <c r="F214" s="1" t="str">
        <f>VLOOKUP(Table1[[#This Row],[DEVELOPMENT]],Data[],MATCH(Table1[[#Headers],[RAD/PACT]],Data[#Headers],0),FALSE)</f>
        <v/>
      </c>
      <c r="G214" s="9" t="s">
        <v>52</v>
      </c>
      <c r="H214" s="12"/>
      <c r="I214" s="8"/>
      <c r="J214" s="8"/>
      <c r="K214" s="3"/>
      <c r="L214" s="93"/>
      <c r="M214" s="90"/>
      <c r="N214" s="90"/>
      <c r="O214" s="2"/>
      <c r="P214" s="2"/>
      <c r="Q214" s="11"/>
      <c r="R21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14" s="9"/>
      <c r="T214" s="16"/>
    </row>
    <row r="215" spans="1:20" x14ac:dyDescent="0.25">
      <c r="A215" s="13" t="str">
        <f>VLOOKUP(C215,Data[],2,FALSE)</f>
        <v>BRONX</v>
      </c>
      <c r="B215" s="1" t="s">
        <v>25</v>
      </c>
      <c r="C215" s="1" t="s">
        <v>40</v>
      </c>
      <c r="D215" s="1" t="str">
        <f>VLOOKUP(Table1[[#This Row],[DEVELOPMENT]],Data[],MATCH(Table1[[#Headers],[NRR]],Data[#Headers],0),FALSE)</f>
        <v>Zone 1</v>
      </c>
      <c r="E215" s="1" t="str">
        <f>VLOOKUP(Table1[[#This Row],[DEVELOPMENT]],Data[],MATCH(Table1[[#Headers],[Priority Level]],Data[#Headers],0),FALSE)</f>
        <v>$$</v>
      </c>
      <c r="F215" s="1" t="str">
        <f>VLOOKUP(Table1[[#This Row],[DEVELOPMENT]],Data[],MATCH(Table1[[#Headers],[RAD/PACT]],Data[#Headers],0),FALSE)</f>
        <v/>
      </c>
      <c r="G215" s="1" t="s">
        <v>52</v>
      </c>
      <c r="H215" s="6" t="s">
        <v>28</v>
      </c>
      <c r="I215" s="8">
        <f>K215</f>
        <v>33090.840899999996</v>
      </c>
      <c r="J215" s="8"/>
      <c r="K215" s="3">
        <v>33090.840899999996</v>
      </c>
      <c r="L215" s="92">
        <v>2019</v>
      </c>
      <c r="M215" s="92"/>
      <c r="N215" s="92"/>
      <c r="O215" s="2" t="s">
        <v>53</v>
      </c>
      <c r="P215" s="2"/>
      <c r="Q215" s="3"/>
      <c r="R21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15" s="1"/>
      <c r="T215" s="16"/>
    </row>
    <row r="216" spans="1:20" x14ac:dyDescent="0.25">
      <c r="A216" s="13" t="str">
        <f>VLOOKUP(C216,Data[],2,FALSE)</f>
        <v>BRONX</v>
      </c>
      <c r="B216" s="1" t="s">
        <v>25</v>
      </c>
      <c r="C216" s="1" t="s">
        <v>41</v>
      </c>
      <c r="D216" s="1" t="str">
        <f>VLOOKUP(Table1[[#This Row],[DEVELOPMENT]],Data[],MATCH(Table1[[#Headers],[NRR]],Data[#Headers],0),FALSE)</f>
        <v>Zone 1</v>
      </c>
      <c r="E216" s="1" t="str">
        <f>VLOOKUP(Table1[[#This Row],[DEVELOPMENT]],Data[],MATCH(Table1[[#Headers],[Priority Level]],Data[#Headers],0),FALSE)</f>
        <v>$</v>
      </c>
      <c r="F216" s="1" t="str">
        <f>VLOOKUP(Table1[[#This Row],[DEVELOPMENT]],Data[],MATCH(Table1[[#Headers],[RAD/PACT]],Data[#Headers],0),FALSE)</f>
        <v/>
      </c>
      <c r="G216" s="1" t="s">
        <v>52</v>
      </c>
      <c r="H216" s="6" t="s">
        <v>33</v>
      </c>
      <c r="I216" s="8"/>
      <c r="J216" s="8">
        <f>K216</f>
        <v>33090.840899999996</v>
      </c>
      <c r="K216" s="3">
        <v>33090.840899999996</v>
      </c>
      <c r="L216" s="92">
        <v>2019</v>
      </c>
      <c r="M216" s="92"/>
      <c r="N216" s="92"/>
      <c r="O216" s="2" t="s">
        <v>53</v>
      </c>
      <c r="P216" s="2"/>
      <c r="Q216" s="3"/>
      <c r="R21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16" s="1"/>
      <c r="T216" s="16"/>
    </row>
    <row r="217" spans="1:20" x14ac:dyDescent="0.25">
      <c r="A217" s="13" t="str">
        <f>VLOOKUP(C217,Data[],2,FALSE)</f>
        <v>MANHATTAN</v>
      </c>
      <c r="B217" s="1"/>
      <c r="C217" s="1" t="s">
        <v>133</v>
      </c>
      <c r="D217" s="1" t="str">
        <f>VLOOKUP(Table1[[#This Row],[DEVELOPMENT]],Data[],MATCH(Table1[[#Headers],[NRR]],Data[#Headers],0),FALSE)</f>
        <v>Zone 2</v>
      </c>
      <c r="E217" s="1" t="str">
        <f>VLOOKUP(Table1[[#This Row],[DEVELOPMENT]],Data[],MATCH(Table1[[#Headers],[Priority Level]],Data[#Headers],0),FALSE)</f>
        <v>$</v>
      </c>
      <c r="F217" s="1" t="str">
        <f>VLOOKUP(Table1[[#This Row],[DEVELOPMENT]],Data[],MATCH(Table1[[#Headers],[RAD/PACT]],Data[#Headers],0),FALSE)</f>
        <v/>
      </c>
      <c r="G217" s="9" t="s">
        <v>52</v>
      </c>
      <c r="H217" s="12"/>
      <c r="I217" s="8"/>
      <c r="J217" s="8"/>
      <c r="K217" s="3"/>
      <c r="L217" s="93"/>
      <c r="M217" s="90"/>
      <c r="N217" s="90"/>
      <c r="O217" s="2"/>
      <c r="P217" s="2"/>
      <c r="Q217" s="11"/>
      <c r="R21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17" s="9"/>
      <c r="T217" s="16"/>
    </row>
    <row r="218" spans="1:20" x14ac:dyDescent="0.25">
      <c r="A218" s="13" t="str">
        <f>VLOOKUP(C218,Data[],2,FALSE)</f>
        <v>MANHATTAN</v>
      </c>
      <c r="B218" s="1"/>
      <c r="C218" s="1" t="s">
        <v>115</v>
      </c>
      <c r="D218" s="1" t="str">
        <f>VLOOKUP(Table1[[#This Row],[DEVELOPMENT]],Data[],MATCH(Table1[[#Headers],[NRR]],Data[#Headers],0),FALSE)</f>
        <v>Zone 2</v>
      </c>
      <c r="E218" s="1" t="str">
        <f>VLOOKUP(Table1[[#This Row],[DEVELOPMENT]],Data[],MATCH(Table1[[#Headers],[Priority Level]],Data[#Headers],0),FALSE)</f>
        <v>$</v>
      </c>
      <c r="F218" s="1" t="str">
        <f>VLOOKUP(Table1[[#This Row],[DEVELOPMENT]],Data[],MATCH(Table1[[#Headers],[RAD/PACT]],Data[#Headers],0),FALSE)</f>
        <v/>
      </c>
      <c r="G218" s="9" t="s">
        <v>52</v>
      </c>
      <c r="H218" s="12"/>
      <c r="I218" s="8"/>
      <c r="J218" s="8"/>
      <c r="K218" s="3"/>
      <c r="L218" s="93"/>
      <c r="M218" s="90"/>
      <c r="N218" s="90"/>
      <c r="O218" s="2"/>
      <c r="P218" s="2"/>
      <c r="Q218" s="11"/>
      <c r="R21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18" s="9"/>
      <c r="T218" s="16"/>
    </row>
    <row r="219" spans="1:20" x14ac:dyDescent="0.25">
      <c r="A219" s="13" t="str">
        <f>VLOOKUP(C219,Data[],2,FALSE)</f>
        <v>BROOKLYN</v>
      </c>
      <c r="B219" s="9" t="s">
        <v>25</v>
      </c>
      <c r="C219" s="9" t="s">
        <v>42</v>
      </c>
      <c r="D219" s="1" t="str">
        <f>VLOOKUP(Table1[[#This Row],[DEVELOPMENT]],Data[],MATCH(Table1[[#Headers],[NRR]],Data[#Headers],0),FALSE)</f>
        <v>Zone 1</v>
      </c>
      <c r="E219" s="1" t="str">
        <f>VLOOKUP(Table1[[#This Row],[DEVELOPMENT]],Data[],MATCH(Table1[[#Headers],[Priority Level]],Data[#Headers],0),FALSE)</f>
        <v>$</v>
      </c>
      <c r="F219" s="1" t="str">
        <f>VLOOKUP(Table1[[#This Row],[DEVELOPMENT]],Data[],MATCH(Table1[[#Headers],[RAD/PACT]],Data[#Headers],0),FALSE)</f>
        <v/>
      </c>
      <c r="G219" s="9" t="s">
        <v>52</v>
      </c>
      <c r="H219" s="2" t="s">
        <v>33</v>
      </c>
      <c r="I219" s="10"/>
      <c r="J219" s="10">
        <f>K219</f>
        <v>37244.032963258331</v>
      </c>
      <c r="K219" s="11">
        <v>37244.032963258331</v>
      </c>
      <c r="L219" s="90">
        <v>2019</v>
      </c>
      <c r="M219" s="92"/>
      <c r="N219" s="92"/>
      <c r="O219" s="2" t="s">
        <v>53</v>
      </c>
      <c r="P219" s="2"/>
      <c r="Q219" s="3"/>
      <c r="R21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19" s="1"/>
      <c r="T219" s="16"/>
    </row>
    <row r="220" spans="1:20" x14ac:dyDescent="0.25">
      <c r="A220" s="13" t="str">
        <f>VLOOKUP(C220,Data[],2,FALSE)</f>
        <v>MANHATTAN</v>
      </c>
      <c r="B220" s="1"/>
      <c r="C220" s="1" t="s">
        <v>136</v>
      </c>
      <c r="D220" s="1" t="str">
        <f>VLOOKUP(Table1[[#This Row],[DEVELOPMENT]],Data[],MATCH(Table1[[#Headers],[NRR]],Data[#Headers],0),FALSE)</f>
        <v>Zone 2</v>
      </c>
      <c r="E220" s="1" t="str">
        <f>VLOOKUP(Table1[[#This Row],[DEVELOPMENT]],Data[],MATCH(Table1[[#Headers],[Priority Level]],Data[#Headers],0),FALSE)</f>
        <v>$</v>
      </c>
      <c r="F220" s="1" t="str">
        <f>VLOOKUP(Table1[[#This Row],[DEVELOPMENT]],Data[],MATCH(Table1[[#Headers],[RAD/PACT]],Data[#Headers],0),FALSE)</f>
        <v/>
      </c>
      <c r="G220" s="9" t="s">
        <v>52</v>
      </c>
      <c r="H220" s="12"/>
      <c r="I220" s="8"/>
      <c r="J220" s="8"/>
      <c r="K220" s="3"/>
      <c r="L220" s="93"/>
      <c r="M220" s="90"/>
      <c r="N220" s="90"/>
      <c r="O220" s="2"/>
      <c r="P220" s="2"/>
      <c r="Q220" s="11"/>
      <c r="R22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20" s="9"/>
      <c r="T220" s="16"/>
    </row>
    <row r="221" spans="1:20" x14ac:dyDescent="0.25">
      <c r="A221" s="13" t="str">
        <f>VLOOKUP(C221,Data[],2,FALSE)</f>
        <v>BROOKLYN</v>
      </c>
      <c r="B221" s="9" t="s">
        <v>25</v>
      </c>
      <c r="C221" s="9" t="s">
        <v>45</v>
      </c>
      <c r="D221" s="1" t="str">
        <f>VLOOKUP(Table1[[#This Row],[DEVELOPMENT]],Data[],MATCH(Table1[[#Headers],[NRR]],Data[#Headers],0),FALSE)</f>
        <v>Zone 1</v>
      </c>
      <c r="E221" s="1" t="str">
        <f>VLOOKUP(Table1[[#This Row],[DEVELOPMENT]],Data[],MATCH(Table1[[#Headers],[Priority Level]],Data[#Headers],0),FALSE)</f>
        <v>$</v>
      </c>
      <c r="F221" s="1" t="str">
        <f>VLOOKUP(Table1[[#This Row],[DEVELOPMENT]],Data[],MATCH(Table1[[#Headers],[RAD/PACT]],Data[#Headers],0),FALSE)</f>
        <v/>
      </c>
      <c r="G221" s="9" t="s">
        <v>52</v>
      </c>
      <c r="H221" s="2" t="s">
        <v>33</v>
      </c>
      <c r="I221" s="10"/>
      <c r="J221" s="10">
        <f>K221</f>
        <v>38361.353952156082</v>
      </c>
      <c r="K221" s="11">
        <v>38361.353952156082</v>
      </c>
      <c r="L221" s="90">
        <v>2019</v>
      </c>
      <c r="M221" s="92"/>
      <c r="N221" s="92"/>
      <c r="O221" s="2" t="s">
        <v>53</v>
      </c>
      <c r="P221" s="2"/>
      <c r="Q221" s="3"/>
      <c r="R22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21" s="1"/>
      <c r="T221" s="16"/>
    </row>
    <row r="222" spans="1:20" x14ac:dyDescent="0.25">
      <c r="A222" s="13" t="str">
        <f>VLOOKUP(C222,Data[],2,FALSE)</f>
        <v>MANHATTAN</v>
      </c>
      <c r="B222" s="1"/>
      <c r="C222" s="1" t="s">
        <v>128</v>
      </c>
      <c r="D222" s="1" t="str">
        <f>VLOOKUP(Table1[[#This Row],[DEVELOPMENT]],Data[],MATCH(Table1[[#Headers],[NRR]],Data[#Headers],0),FALSE)</f>
        <v>Zone 2</v>
      </c>
      <c r="E222" s="1" t="str">
        <f>VLOOKUP(Table1[[#This Row],[DEVELOPMENT]],Data[],MATCH(Table1[[#Headers],[Priority Level]],Data[#Headers],0),FALSE)</f>
        <v>$$$</v>
      </c>
      <c r="F222" s="1" t="str">
        <f>VLOOKUP(Table1[[#This Row],[DEVELOPMENT]],Data[],MATCH(Table1[[#Headers],[RAD/PACT]],Data[#Headers],0),FALSE)</f>
        <v/>
      </c>
      <c r="G222" s="9" t="s">
        <v>52</v>
      </c>
      <c r="H222" s="12"/>
      <c r="I222" s="8"/>
      <c r="J222" s="8"/>
      <c r="K222" s="3"/>
      <c r="L222" s="93"/>
      <c r="M222" s="90"/>
      <c r="N222" s="90"/>
      <c r="O222" s="2"/>
      <c r="P222" s="2"/>
      <c r="Q222" s="11"/>
      <c r="R22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22" s="9"/>
      <c r="T222" s="16"/>
    </row>
    <row r="223" spans="1:20" x14ac:dyDescent="0.25">
      <c r="A223" s="13" t="str">
        <f>VLOOKUP(C223,Data[],2,FALSE)</f>
        <v>MANHATTAN</v>
      </c>
      <c r="B223" s="1"/>
      <c r="C223" s="1" t="s">
        <v>127</v>
      </c>
      <c r="D223" s="1" t="str">
        <f>VLOOKUP(Table1[[#This Row],[DEVELOPMENT]],Data[],MATCH(Table1[[#Headers],[NRR]],Data[#Headers],0),FALSE)</f>
        <v>Zone 2</v>
      </c>
      <c r="E223" s="1" t="str">
        <f>VLOOKUP(Table1[[#This Row],[DEVELOPMENT]],Data[],MATCH(Table1[[#Headers],[Priority Level]],Data[#Headers],0),FALSE)</f>
        <v>$</v>
      </c>
      <c r="F223" s="1" t="str">
        <f>VLOOKUP(Table1[[#This Row],[DEVELOPMENT]],Data[],MATCH(Table1[[#Headers],[RAD/PACT]],Data[#Headers],0),FALSE)</f>
        <v/>
      </c>
      <c r="G223" s="9" t="s">
        <v>52</v>
      </c>
      <c r="H223" s="12"/>
      <c r="I223" s="8"/>
      <c r="J223" s="8"/>
      <c r="K223" s="3"/>
      <c r="L223" s="93"/>
      <c r="M223" s="90"/>
      <c r="N223" s="90"/>
      <c r="O223" s="2"/>
      <c r="P223" s="2"/>
      <c r="Q223" s="11"/>
      <c r="R22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23" s="9"/>
      <c r="T223" s="16"/>
    </row>
    <row r="224" spans="1:20" x14ac:dyDescent="0.25">
      <c r="A224" s="13" t="str">
        <f>VLOOKUP(C224,Data[],2,FALSE)</f>
        <v>BRONX</v>
      </c>
      <c r="B224" s="9" t="s">
        <v>25</v>
      </c>
      <c r="C224" s="9" t="s">
        <v>47</v>
      </c>
      <c r="D224" s="1" t="str">
        <f>VLOOKUP(Table1[[#This Row],[DEVELOPMENT]],Data[],MATCH(Table1[[#Headers],[NRR]],Data[#Headers],0),FALSE)</f>
        <v>Zone 1</v>
      </c>
      <c r="E224" s="1" t="str">
        <f>VLOOKUP(Table1[[#This Row],[DEVELOPMENT]],Data[],MATCH(Table1[[#Headers],[Priority Level]],Data[#Headers],0),FALSE)</f>
        <v>$</v>
      </c>
      <c r="F224" s="1" t="str">
        <f>VLOOKUP(Table1[[#This Row],[DEVELOPMENT]],Data[],MATCH(Table1[[#Headers],[RAD/PACT]],Data[#Headers],0),FALSE)</f>
        <v/>
      </c>
      <c r="G224" s="9" t="s">
        <v>52</v>
      </c>
      <c r="H224" s="2" t="s">
        <v>28</v>
      </c>
      <c r="I224" s="10">
        <f>K224</f>
        <v>37244.032963258331</v>
      </c>
      <c r="J224" s="10"/>
      <c r="K224" s="11">
        <v>37244.032963258331</v>
      </c>
      <c r="L224" s="90">
        <v>2019</v>
      </c>
      <c r="M224" s="92"/>
      <c r="N224" s="92"/>
      <c r="O224" s="2" t="s">
        <v>53</v>
      </c>
      <c r="P224" s="2"/>
      <c r="Q224" s="3"/>
      <c r="R22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38885.4</v>
      </c>
      <c r="S224" s="1"/>
      <c r="T224" s="16"/>
    </row>
    <row r="225" spans="1:20" x14ac:dyDescent="0.25">
      <c r="A225" s="13" t="str">
        <f>VLOOKUP(C225,Data[],2,FALSE)</f>
        <v>MANHATTAN</v>
      </c>
      <c r="B225" s="1"/>
      <c r="C225" s="1" t="s">
        <v>120</v>
      </c>
      <c r="D225" s="1" t="str">
        <f>VLOOKUP(Table1[[#This Row],[DEVELOPMENT]],Data[],MATCH(Table1[[#Headers],[NRR]],Data[#Headers],0),FALSE)</f>
        <v>Zone 2</v>
      </c>
      <c r="E225" s="1" t="str">
        <f>VLOOKUP(Table1[[#This Row],[DEVELOPMENT]],Data[],MATCH(Table1[[#Headers],[Priority Level]],Data[#Headers],0),FALSE)</f>
        <v>$$</v>
      </c>
      <c r="F225" s="1" t="str">
        <f>VLOOKUP(Table1[[#This Row],[DEVELOPMENT]],Data[],MATCH(Table1[[#Headers],[RAD/PACT]],Data[#Headers],0),FALSE)</f>
        <v/>
      </c>
      <c r="G225" s="1" t="s">
        <v>141</v>
      </c>
      <c r="H225" s="7"/>
      <c r="I225" s="8"/>
      <c r="J225" s="8"/>
      <c r="K225" s="3"/>
      <c r="L225" s="93"/>
      <c r="M225" s="90"/>
      <c r="N225" s="90"/>
      <c r="O225" s="2"/>
      <c r="P225" s="2"/>
      <c r="Q225" s="11"/>
      <c r="R22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25" s="9"/>
      <c r="T225" s="16"/>
    </row>
    <row r="226" spans="1:20" x14ac:dyDescent="0.25">
      <c r="A226" s="13" t="str">
        <f>VLOOKUP(C226,Data[],2,FALSE)</f>
        <v>MANHATTAN</v>
      </c>
      <c r="B226" s="1"/>
      <c r="C226" s="1" t="s">
        <v>78</v>
      </c>
      <c r="D226" s="1" t="str">
        <f>VLOOKUP(Table1[[#This Row],[DEVELOPMENT]],Data[],MATCH(Table1[[#Headers],[NRR]],Data[#Headers],0),FALSE)</f>
        <v>Zone 2</v>
      </c>
      <c r="E226" s="1" t="str">
        <f>VLOOKUP(Table1[[#This Row],[DEVELOPMENT]],Data[],MATCH(Table1[[#Headers],[Priority Level]],Data[#Headers],0),FALSE)</f>
        <v>$</v>
      </c>
      <c r="F226" s="1">
        <f>VLOOKUP(Table1[[#This Row],[DEVELOPMENT]],Data[],MATCH(Table1[[#Headers],[RAD/PACT]],Data[#Headers],0),FALSE)</f>
        <v>2024</v>
      </c>
      <c r="G226" s="1" t="s">
        <v>141</v>
      </c>
      <c r="H226" s="7"/>
      <c r="I226" s="8"/>
      <c r="J226" s="8"/>
      <c r="K226" s="3"/>
      <c r="L226" s="93"/>
      <c r="M226" s="90"/>
      <c r="N226" s="90"/>
      <c r="O226" s="2"/>
      <c r="P226" s="2"/>
      <c r="Q226" s="11"/>
      <c r="R22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26" s="9"/>
      <c r="T226" s="16"/>
    </row>
    <row r="227" spans="1:20" x14ac:dyDescent="0.25">
      <c r="A227" s="13" t="str">
        <f>VLOOKUP(C227,Data[],2,FALSE)</f>
        <v>MANHATTAN</v>
      </c>
      <c r="B227" s="1"/>
      <c r="C227" s="1" t="s">
        <v>81</v>
      </c>
      <c r="D227" s="1" t="str">
        <f>VLOOKUP(Table1[[#This Row],[DEVELOPMENT]],Data[],MATCH(Table1[[#Headers],[NRR]],Data[#Headers],0),FALSE)</f>
        <v>Zone 2</v>
      </c>
      <c r="E227" s="1" t="str">
        <f>VLOOKUP(Table1[[#This Row],[DEVELOPMENT]],Data[],MATCH(Table1[[#Headers],[Priority Level]],Data[#Headers],0),FALSE)</f>
        <v>$$$$</v>
      </c>
      <c r="F227" s="1" t="str">
        <f>VLOOKUP(Table1[[#This Row],[DEVELOPMENT]],Data[],MATCH(Table1[[#Headers],[RAD/PACT]],Data[#Headers],0),FALSE)</f>
        <v/>
      </c>
      <c r="G227" s="1" t="s">
        <v>141</v>
      </c>
      <c r="H227" s="7"/>
      <c r="I227" s="8"/>
      <c r="J227" s="8"/>
      <c r="K227" s="3"/>
      <c r="L227" s="93"/>
      <c r="M227" s="90"/>
      <c r="N227" s="90"/>
      <c r="O227" s="2"/>
      <c r="P227" s="2"/>
      <c r="Q227" s="11"/>
      <c r="R22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27" s="9"/>
      <c r="T227" s="16"/>
    </row>
    <row r="228" spans="1:20" x14ac:dyDescent="0.25">
      <c r="A228" s="13" t="str">
        <f>VLOOKUP(C228,Data[],2,FALSE)</f>
        <v>MANHATTAN</v>
      </c>
      <c r="B228" s="1"/>
      <c r="C228" s="1" t="s">
        <v>112</v>
      </c>
      <c r="D228" s="1" t="str">
        <f>VLOOKUP(Table1[[#This Row],[DEVELOPMENT]],Data[],MATCH(Table1[[#Headers],[NRR]],Data[#Headers],0),FALSE)</f>
        <v>Zone 2</v>
      </c>
      <c r="E228" s="1" t="str">
        <f>VLOOKUP(Table1[[#This Row],[DEVELOPMENT]],Data[],MATCH(Table1[[#Headers],[Priority Level]],Data[#Headers],0),FALSE)</f>
        <v>$$</v>
      </c>
      <c r="F228" s="1">
        <f>VLOOKUP(Table1[[#This Row],[DEVELOPMENT]],Data[],MATCH(Table1[[#Headers],[RAD/PACT]],Data[#Headers],0),FALSE)</f>
        <v>2026</v>
      </c>
      <c r="G228" s="1" t="s">
        <v>141</v>
      </c>
      <c r="H228" s="7"/>
      <c r="I228" s="8"/>
      <c r="J228" s="8"/>
      <c r="K228" s="3"/>
      <c r="L228" s="93"/>
      <c r="M228" s="90"/>
      <c r="N228" s="90"/>
      <c r="O228" s="2"/>
      <c r="P228" s="2"/>
      <c r="Q228" s="11"/>
      <c r="R22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28" s="9"/>
      <c r="T228" s="16"/>
    </row>
    <row r="229" spans="1:20" x14ac:dyDescent="0.25">
      <c r="A229" s="13" t="str">
        <f>VLOOKUP(C229,Data[],2,FALSE)</f>
        <v>MANHATTAN</v>
      </c>
      <c r="B229" s="1"/>
      <c r="C229" s="1" t="s">
        <v>83</v>
      </c>
      <c r="D229" s="1" t="str">
        <f>VLOOKUP(Table1[[#This Row],[DEVELOPMENT]],Data[],MATCH(Table1[[#Headers],[NRR]],Data[#Headers],0),FALSE)</f>
        <v>Zone 2</v>
      </c>
      <c r="E229" s="1" t="str">
        <f>VLOOKUP(Table1[[#This Row],[DEVELOPMENT]],Data[],MATCH(Table1[[#Headers],[Priority Level]],Data[#Headers],0),FALSE)</f>
        <v>$$$</v>
      </c>
      <c r="F229" s="1">
        <f>VLOOKUP(Table1[[#This Row],[DEVELOPMENT]],Data[],MATCH(Table1[[#Headers],[RAD/PACT]],Data[#Headers],0),FALSE)</f>
        <v>2028</v>
      </c>
      <c r="G229" s="1" t="s">
        <v>141</v>
      </c>
      <c r="H229" s="7"/>
      <c r="I229" s="8"/>
      <c r="J229" s="8"/>
      <c r="K229" s="3"/>
      <c r="L229" s="93"/>
      <c r="M229" s="90"/>
      <c r="N229" s="90"/>
      <c r="O229" s="2"/>
      <c r="P229" s="2"/>
      <c r="Q229" s="11"/>
      <c r="R22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29" s="9"/>
      <c r="T229" s="16"/>
    </row>
    <row r="230" spans="1:20" x14ac:dyDescent="0.25">
      <c r="A230" s="13" t="str">
        <f>VLOOKUP(C230,Data[],2,FALSE)</f>
        <v>MANHATTAN</v>
      </c>
      <c r="B230" s="1"/>
      <c r="C230" s="1" t="s">
        <v>131</v>
      </c>
      <c r="D230" s="1" t="str">
        <f>VLOOKUP(Table1[[#This Row],[DEVELOPMENT]],Data[],MATCH(Table1[[#Headers],[NRR]],Data[#Headers],0),FALSE)</f>
        <v>Zone 2</v>
      </c>
      <c r="E230" s="1" t="str">
        <f>VLOOKUP(Table1[[#This Row],[DEVELOPMENT]],Data[],MATCH(Table1[[#Headers],[Priority Level]],Data[#Headers],0),FALSE)</f>
        <v>$$$</v>
      </c>
      <c r="F230" s="1" t="str">
        <f>VLOOKUP(Table1[[#This Row],[DEVELOPMENT]],Data[],MATCH(Table1[[#Headers],[RAD/PACT]],Data[#Headers],0),FALSE)</f>
        <v/>
      </c>
      <c r="G230" s="1" t="s">
        <v>141</v>
      </c>
      <c r="H230" s="7"/>
      <c r="I230" s="8"/>
      <c r="J230" s="8"/>
      <c r="K230" s="3"/>
      <c r="L230" s="93"/>
      <c r="M230" s="90"/>
      <c r="N230" s="90"/>
      <c r="O230" s="2"/>
      <c r="P230" s="2"/>
      <c r="Q230" s="11"/>
      <c r="R23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30" s="9"/>
      <c r="T230" s="16"/>
    </row>
    <row r="231" spans="1:20" x14ac:dyDescent="0.25">
      <c r="A231" s="13" t="str">
        <f>VLOOKUP(C231,Data[],2,FALSE)</f>
        <v>MANHATTAN</v>
      </c>
      <c r="B231" s="1"/>
      <c r="C231" s="1" t="s">
        <v>113</v>
      </c>
      <c r="D231" s="1" t="str">
        <f>VLOOKUP(Table1[[#This Row],[DEVELOPMENT]],Data[],MATCH(Table1[[#Headers],[NRR]],Data[#Headers],0),FALSE)</f>
        <v>Zone 2</v>
      </c>
      <c r="E231" s="1" t="str">
        <f>VLOOKUP(Table1[[#This Row],[DEVELOPMENT]],Data[],MATCH(Table1[[#Headers],[Priority Level]],Data[#Headers],0),FALSE)</f>
        <v>$$$$</v>
      </c>
      <c r="F231" s="1" t="str">
        <f>VLOOKUP(Table1[[#This Row],[DEVELOPMENT]],Data[],MATCH(Table1[[#Headers],[RAD/PACT]],Data[#Headers],0),FALSE)</f>
        <v/>
      </c>
      <c r="G231" s="1" t="s">
        <v>141</v>
      </c>
      <c r="H231" s="7"/>
      <c r="I231" s="8"/>
      <c r="J231" s="8"/>
      <c r="K231" s="3"/>
      <c r="L231" s="93"/>
      <c r="M231" s="90"/>
      <c r="N231" s="90"/>
      <c r="O231" s="2"/>
      <c r="P231" s="2"/>
      <c r="Q231" s="11"/>
      <c r="R23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31" s="9"/>
      <c r="T231" s="16"/>
    </row>
    <row r="232" spans="1:20" x14ac:dyDescent="0.25">
      <c r="A232" s="13" t="str">
        <f>VLOOKUP(C232,Data[],2,FALSE)</f>
        <v>MANHATTAN</v>
      </c>
      <c r="B232" s="1"/>
      <c r="C232" s="1" t="s">
        <v>115</v>
      </c>
      <c r="D232" s="1" t="str">
        <f>VLOOKUP(Table1[[#This Row],[DEVELOPMENT]],Data[],MATCH(Table1[[#Headers],[NRR]],Data[#Headers],0),FALSE)</f>
        <v>Zone 2</v>
      </c>
      <c r="E232" s="1" t="str">
        <f>VLOOKUP(Table1[[#This Row],[DEVELOPMENT]],Data[],MATCH(Table1[[#Headers],[Priority Level]],Data[#Headers],0),FALSE)</f>
        <v>$</v>
      </c>
      <c r="F232" s="1" t="str">
        <f>VLOOKUP(Table1[[#This Row],[DEVELOPMENT]],Data[],MATCH(Table1[[#Headers],[RAD/PACT]],Data[#Headers],0),FALSE)</f>
        <v/>
      </c>
      <c r="G232" s="1" t="s">
        <v>141</v>
      </c>
      <c r="H232" s="7"/>
      <c r="I232" s="8"/>
      <c r="J232" s="8"/>
      <c r="K232" s="3"/>
      <c r="L232" s="93"/>
      <c r="M232" s="90"/>
      <c r="N232" s="90"/>
      <c r="O232" s="2"/>
      <c r="P232" s="2"/>
      <c r="Q232" s="11"/>
      <c r="R23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32" s="9"/>
      <c r="T232" s="16"/>
    </row>
    <row r="233" spans="1:20" x14ac:dyDescent="0.25">
      <c r="A233" s="13" t="str">
        <f>VLOOKUP(C233,Data[],2,FALSE)</f>
        <v>MANHATTAN</v>
      </c>
      <c r="B233" s="1"/>
      <c r="C233" s="1" t="s">
        <v>136</v>
      </c>
      <c r="D233" s="1" t="str">
        <f>VLOOKUP(Table1[[#This Row],[DEVELOPMENT]],Data[],MATCH(Table1[[#Headers],[NRR]],Data[#Headers],0),FALSE)</f>
        <v>Zone 2</v>
      </c>
      <c r="E233" s="1" t="str">
        <f>VLOOKUP(Table1[[#This Row],[DEVELOPMENT]],Data[],MATCH(Table1[[#Headers],[Priority Level]],Data[#Headers],0),FALSE)</f>
        <v>$</v>
      </c>
      <c r="F233" s="1" t="str">
        <f>VLOOKUP(Table1[[#This Row],[DEVELOPMENT]],Data[],MATCH(Table1[[#Headers],[RAD/PACT]],Data[#Headers],0),FALSE)</f>
        <v/>
      </c>
      <c r="G233" s="1" t="s">
        <v>141</v>
      </c>
      <c r="H233" s="7"/>
      <c r="I233" s="8"/>
      <c r="J233" s="8"/>
      <c r="K233" s="3"/>
      <c r="L233" s="93"/>
      <c r="M233" s="90"/>
      <c r="N233" s="90"/>
      <c r="O233" s="2"/>
      <c r="P233" s="2"/>
      <c r="Q233" s="11"/>
      <c r="R23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33" s="9"/>
      <c r="T233" s="16"/>
    </row>
    <row r="234" spans="1:20" x14ac:dyDescent="0.25">
      <c r="A234" s="13" t="str">
        <f>VLOOKUP(C234,Data[],2,FALSE)</f>
        <v>MANHATTAN</v>
      </c>
      <c r="B234" s="1"/>
      <c r="C234" s="1" t="s">
        <v>128</v>
      </c>
      <c r="D234" s="1" t="str">
        <f>VLOOKUP(Table1[[#This Row],[DEVELOPMENT]],Data[],MATCH(Table1[[#Headers],[NRR]],Data[#Headers],0),FALSE)</f>
        <v>Zone 2</v>
      </c>
      <c r="E234" s="1" t="str">
        <f>VLOOKUP(Table1[[#This Row],[DEVELOPMENT]],Data[],MATCH(Table1[[#Headers],[Priority Level]],Data[#Headers],0),FALSE)</f>
        <v>$$$</v>
      </c>
      <c r="F234" s="1" t="str">
        <f>VLOOKUP(Table1[[#This Row],[DEVELOPMENT]],Data[],MATCH(Table1[[#Headers],[RAD/PACT]],Data[#Headers],0),FALSE)</f>
        <v/>
      </c>
      <c r="G234" s="1" t="s">
        <v>141</v>
      </c>
      <c r="H234" s="7"/>
      <c r="I234" s="8"/>
      <c r="J234" s="8"/>
      <c r="K234" s="3"/>
      <c r="L234" s="93"/>
      <c r="M234" s="90"/>
      <c r="N234" s="90"/>
      <c r="O234" s="2"/>
      <c r="P234" s="2"/>
      <c r="Q234" s="11"/>
      <c r="R23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34" s="9"/>
      <c r="T234" s="16"/>
    </row>
    <row r="235" spans="1:20" x14ac:dyDescent="0.25">
      <c r="A235" s="13" t="str">
        <f>VLOOKUP(C235,Data[],2,FALSE)</f>
        <v>MANHATTAN</v>
      </c>
      <c r="B235" s="1"/>
      <c r="C235" s="1" t="s">
        <v>127</v>
      </c>
      <c r="D235" s="1" t="str">
        <f>VLOOKUP(Table1[[#This Row],[DEVELOPMENT]],Data[],MATCH(Table1[[#Headers],[NRR]],Data[#Headers],0),FALSE)</f>
        <v>Zone 2</v>
      </c>
      <c r="E235" s="1" t="str">
        <f>VLOOKUP(Table1[[#This Row],[DEVELOPMENT]],Data[],MATCH(Table1[[#Headers],[Priority Level]],Data[#Headers],0),FALSE)</f>
        <v>$</v>
      </c>
      <c r="F235" s="1" t="str">
        <f>VLOOKUP(Table1[[#This Row],[DEVELOPMENT]],Data[],MATCH(Table1[[#Headers],[RAD/PACT]],Data[#Headers],0),FALSE)</f>
        <v/>
      </c>
      <c r="G235" s="1" t="s">
        <v>141</v>
      </c>
      <c r="H235" s="7"/>
      <c r="I235" s="8"/>
      <c r="J235" s="8"/>
      <c r="K235" s="3"/>
      <c r="L235" s="93"/>
      <c r="M235" s="90"/>
      <c r="N235" s="90"/>
      <c r="O235" s="2"/>
      <c r="P235" s="2"/>
      <c r="Q235" s="11"/>
      <c r="R23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37000</v>
      </c>
      <c r="S235" s="9"/>
      <c r="T235" s="16"/>
    </row>
    <row r="236" spans="1:20" x14ac:dyDescent="0.25">
      <c r="A236" s="13" t="str">
        <f>VLOOKUP(C236,Data[],2,FALSE)</f>
        <v>MANHATTAN</v>
      </c>
      <c r="B236" s="1"/>
      <c r="C236" s="1" t="s">
        <v>67</v>
      </c>
      <c r="D236" s="1" t="str">
        <f>VLOOKUP(Table1[[#This Row],[DEVELOPMENT]],Data[],MATCH(Table1[[#Headers],[NRR]],Data[#Headers],0),FALSE)</f>
        <v>Zone 2</v>
      </c>
      <c r="E236" s="1" t="str">
        <f>VLOOKUP(Table1[[#This Row],[DEVELOPMENT]],Data[],MATCH(Table1[[#Headers],[Priority Level]],Data[#Headers],0),FALSE)</f>
        <v>$</v>
      </c>
      <c r="F236" s="1" t="str">
        <f>VLOOKUP(Table1[[#This Row],[DEVELOPMENT]],Data[],MATCH(Table1[[#Headers],[RAD/PACT]],Data[#Headers],0),FALSE)</f>
        <v/>
      </c>
      <c r="G236" s="9" t="s">
        <v>27</v>
      </c>
      <c r="H236" s="7"/>
      <c r="I236" s="8"/>
      <c r="J236" s="8"/>
      <c r="K236" s="3"/>
      <c r="L236" s="93"/>
      <c r="M236" s="90"/>
      <c r="N236" s="90"/>
      <c r="O236" s="2"/>
      <c r="P236" s="2"/>
      <c r="Q236" s="11"/>
      <c r="R23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36" s="9"/>
      <c r="T236" s="16"/>
    </row>
    <row r="237" spans="1:20" x14ac:dyDescent="0.25">
      <c r="A237" s="13" t="str">
        <f>VLOOKUP(C237,Data[],2,FALSE)</f>
        <v>BROOKLYN</v>
      </c>
      <c r="B237" s="9" t="s">
        <v>25</v>
      </c>
      <c r="C237" s="9" t="s">
        <v>118</v>
      </c>
      <c r="D237" s="1" t="str">
        <f>VLOOKUP(Table1[[#This Row],[DEVELOPMENT]],Data[],MATCH(Table1[[#Headers],[NRR]],Data[#Headers],0),FALSE)</f>
        <v>Zone 1</v>
      </c>
      <c r="E237" s="1" t="str">
        <f>VLOOKUP(Table1[[#This Row],[DEVELOPMENT]],Data[],MATCH(Table1[[#Headers],[Priority Level]],Data[#Headers],0),FALSE)</f>
        <v>$</v>
      </c>
      <c r="F237" s="1" t="str">
        <f>VLOOKUP(Table1[[#This Row],[DEVELOPMENT]],Data[],MATCH(Table1[[#Headers],[RAD/PACT]],Data[#Headers],0),FALSE)</f>
        <v/>
      </c>
      <c r="G237" s="9" t="s">
        <v>27</v>
      </c>
      <c r="H237" s="2" t="s">
        <v>33</v>
      </c>
      <c r="I237" s="12"/>
      <c r="J237" s="10">
        <f>K237</f>
        <v>3000</v>
      </c>
      <c r="K237" s="11">
        <v>3000</v>
      </c>
      <c r="L237" s="90">
        <v>2019</v>
      </c>
      <c r="M237" s="92"/>
      <c r="N237" s="92"/>
      <c r="O237" s="2" t="s">
        <v>53</v>
      </c>
      <c r="P237" s="2"/>
      <c r="Q237" s="3"/>
      <c r="R23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37" s="1"/>
      <c r="T237" s="16"/>
    </row>
    <row r="238" spans="1:20" x14ac:dyDescent="0.25">
      <c r="A238" s="13" t="str">
        <f>VLOOKUP(C238,Data[],2,FALSE)</f>
        <v>BROOKLYN</v>
      </c>
      <c r="B238" s="9" t="s">
        <v>25</v>
      </c>
      <c r="C238" s="9" t="s">
        <v>142</v>
      </c>
      <c r="D238" s="1" t="str">
        <f>VLOOKUP(Table1[[#This Row],[DEVELOPMENT]],Data[],MATCH(Table1[[#Headers],[NRR]],Data[#Headers],0),FALSE)</f>
        <v>Zone 1</v>
      </c>
      <c r="E238" s="1" t="str">
        <f>VLOOKUP(Table1[[#This Row],[DEVELOPMENT]],Data[],MATCH(Table1[[#Headers],[Priority Level]],Data[#Headers],0),FALSE)</f>
        <v>$</v>
      </c>
      <c r="F238" s="1" t="str">
        <f>VLOOKUP(Table1[[#This Row],[DEVELOPMENT]],Data[],MATCH(Table1[[#Headers],[RAD/PACT]],Data[#Headers],0),FALSE)</f>
        <v/>
      </c>
      <c r="G238" s="9" t="s">
        <v>27</v>
      </c>
      <c r="H238" s="2" t="s">
        <v>33</v>
      </c>
      <c r="I238" s="12"/>
      <c r="J238" s="10">
        <f>K238</f>
        <v>15000</v>
      </c>
      <c r="K238" s="11">
        <v>15000</v>
      </c>
      <c r="L238" s="90">
        <v>2019</v>
      </c>
      <c r="M238" s="92"/>
      <c r="N238" s="92"/>
      <c r="O238" s="2" t="s">
        <v>53</v>
      </c>
      <c r="P238" s="2"/>
      <c r="Q238" s="3"/>
      <c r="R23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38" s="1"/>
      <c r="T238" s="16"/>
    </row>
    <row r="239" spans="1:20" x14ac:dyDescent="0.25">
      <c r="A239" s="13" t="str">
        <f>VLOOKUP(C239,Data[],2,FALSE)</f>
        <v>MANHATTAN</v>
      </c>
      <c r="B239" s="1"/>
      <c r="C239" s="1" t="s">
        <v>120</v>
      </c>
      <c r="D239" s="1" t="str">
        <f>VLOOKUP(Table1[[#This Row],[DEVELOPMENT]],Data[],MATCH(Table1[[#Headers],[NRR]],Data[#Headers],0),FALSE)</f>
        <v>Zone 2</v>
      </c>
      <c r="E239" s="1" t="str">
        <f>VLOOKUP(Table1[[#This Row],[DEVELOPMENT]],Data[],MATCH(Table1[[#Headers],[Priority Level]],Data[#Headers],0),FALSE)</f>
        <v>$$</v>
      </c>
      <c r="F239" s="1" t="str">
        <f>VLOOKUP(Table1[[#This Row],[DEVELOPMENT]],Data[],MATCH(Table1[[#Headers],[RAD/PACT]],Data[#Headers],0),FALSE)</f>
        <v/>
      </c>
      <c r="G239" s="9" t="s">
        <v>27</v>
      </c>
      <c r="H239" s="7"/>
      <c r="I239" s="8"/>
      <c r="J239" s="8"/>
      <c r="K239" s="3"/>
      <c r="L239" s="93"/>
      <c r="M239" s="90"/>
      <c r="N239" s="90"/>
      <c r="O239" s="2"/>
      <c r="P239" s="2"/>
      <c r="Q239" s="11"/>
      <c r="R23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39" s="9"/>
      <c r="T239" s="16"/>
    </row>
    <row r="240" spans="1:20" x14ac:dyDescent="0.25">
      <c r="A240" s="13" t="str">
        <f>VLOOKUP(C240,Data[],2,FALSE)</f>
        <v>BRONX</v>
      </c>
      <c r="B240" s="9" t="s">
        <v>25</v>
      </c>
      <c r="C240" s="9" t="s">
        <v>143</v>
      </c>
      <c r="D240" s="1" t="str">
        <f>VLOOKUP(Table1[[#This Row],[DEVELOPMENT]],Data[],MATCH(Table1[[#Headers],[NRR]],Data[#Headers],0),FALSE)</f>
        <v>Zone 1</v>
      </c>
      <c r="E240" s="1" t="str">
        <f>VLOOKUP(Table1[[#This Row],[DEVELOPMENT]],Data[],MATCH(Table1[[#Headers],[Priority Level]],Data[#Headers],0),FALSE)</f>
        <v>$</v>
      </c>
      <c r="F240" s="1">
        <f>VLOOKUP(Table1[[#This Row],[DEVELOPMENT]],Data[],MATCH(Table1[[#Headers],[RAD/PACT]],Data[#Headers],0),FALSE)</f>
        <v>2025</v>
      </c>
      <c r="G240" s="9" t="s">
        <v>27</v>
      </c>
      <c r="H240" s="2" t="s">
        <v>33</v>
      </c>
      <c r="I240" s="12"/>
      <c r="J240" s="10">
        <f>K240</f>
        <v>12000</v>
      </c>
      <c r="K240" s="11">
        <v>12000</v>
      </c>
      <c r="L240" s="90">
        <v>2019</v>
      </c>
      <c r="M240" s="92"/>
      <c r="N240" s="92"/>
      <c r="O240" s="2" t="s">
        <v>53</v>
      </c>
      <c r="P240" s="2"/>
      <c r="Q240" s="3"/>
      <c r="R24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0" s="1"/>
      <c r="T240" s="16"/>
    </row>
    <row r="241" spans="1:20" x14ac:dyDescent="0.25">
      <c r="A241" s="13" t="str">
        <f>VLOOKUP(C241,Data[],2,FALSE)</f>
        <v>BRONX</v>
      </c>
      <c r="B241" s="9" t="s">
        <v>25</v>
      </c>
      <c r="C241" s="9" t="s">
        <v>144</v>
      </c>
      <c r="D241" s="1" t="str">
        <f>VLOOKUP(Table1[[#This Row],[DEVELOPMENT]],Data[],MATCH(Table1[[#Headers],[NRR]],Data[#Headers],0),FALSE)</f>
        <v>Zone 1</v>
      </c>
      <c r="E241" s="1" t="str">
        <f>VLOOKUP(Table1[[#This Row],[DEVELOPMENT]],Data[],MATCH(Table1[[#Headers],[Priority Level]],Data[#Headers],0),FALSE)</f>
        <v>$</v>
      </c>
      <c r="F241" s="1">
        <f>VLOOKUP(Table1[[#This Row],[DEVELOPMENT]],Data[],MATCH(Table1[[#Headers],[RAD/PACT]],Data[#Headers],0),FALSE)</f>
        <v>2025</v>
      </c>
      <c r="G241" s="9" t="s">
        <v>27</v>
      </c>
      <c r="H241" s="2" t="s">
        <v>33</v>
      </c>
      <c r="I241" s="12"/>
      <c r="J241" s="10">
        <f>K241</f>
        <v>9000</v>
      </c>
      <c r="K241" s="11">
        <v>9000</v>
      </c>
      <c r="L241" s="90">
        <v>2019</v>
      </c>
      <c r="M241" s="92"/>
      <c r="N241" s="92"/>
      <c r="O241" s="2" t="s">
        <v>53</v>
      </c>
      <c r="P241" s="2"/>
      <c r="Q241" s="3"/>
      <c r="R24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1" s="1"/>
      <c r="T241" s="16"/>
    </row>
    <row r="242" spans="1:20" x14ac:dyDescent="0.25">
      <c r="A242" s="13" t="str">
        <f>VLOOKUP(C242,Data[],2,FALSE)</f>
        <v>MANHATTAN</v>
      </c>
      <c r="B242" s="1"/>
      <c r="C242" s="1" t="s">
        <v>129</v>
      </c>
      <c r="D242" s="1" t="str">
        <f>VLOOKUP(Table1[[#This Row],[DEVELOPMENT]],Data[],MATCH(Table1[[#Headers],[NRR]],Data[#Headers],0),FALSE)</f>
        <v>Zone 2</v>
      </c>
      <c r="E242" s="1" t="str">
        <f>VLOOKUP(Table1[[#This Row],[DEVELOPMENT]],Data[],MATCH(Table1[[#Headers],[Priority Level]],Data[#Headers],0),FALSE)</f>
        <v>$$$$</v>
      </c>
      <c r="F242" s="1" t="str">
        <f>VLOOKUP(Table1[[#This Row],[DEVELOPMENT]],Data[],MATCH(Table1[[#Headers],[RAD/PACT]],Data[#Headers],0),FALSE)</f>
        <v/>
      </c>
      <c r="G242" s="9" t="s">
        <v>27</v>
      </c>
      <c r="H242" s="7"/>
      <c r="I242" s="8"/>
      <c r="J242" s="8"/>
      <c r="K242" s="3"/>
      <c r="L242" s="93"/>
      <c r="M242" s="90"/>
      <c r="N242" s="90"/>
      <c r="O242" s="2"/>
      <c r="P242" s="2"/>
      <c r="Q242" s="11"/>
      <c r="R24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2" s="9"/>
      <c r="T242" s="16"/>
    </row>
    <row r="243" spans="1:20" x14ac:dyDescent="0.25">
      <c r="A243" s="13" t="str">
        <f>VLOOKUP(C243,Data[],2,FALSE)</f>
        <v>BRONX</v>
      </c>
      <c r="B243" s="9" t="s">
        <v>25</v>
      </c>
      <c r="C243" s="9" t="s">
        <v>145</v>
      </c>
      <c r="D243" s="1" t="str">
        <f>VLOOKUP(Table1[[#This Row],[DEVELOPMENT]],Data[],MATCH(Table1[[#Headers],[NRR]],Data[#Headers],0),FALSE)</f>
        <v>Zone 1</v>
      </c>
      <c r="E243" s="1" t="str">
        <f>VLOOKUP(Table1[[#This Row],[DEVELOPMENT]],Data[],MATCH(Table1[[#Headers],[Priority Level]],Data[#Headers],0),FALSE)</f>
        <v>$</v>
      </c>
      <c r="F243" s="1">
        <f>VLOOKUP(Table1[[#This Row],[DEVELOPMENT]],Data[],MATCH(Table1[[#Headers],[RAD/PACT]],Data[#Headers],0),FALSE)</f>
        <v>2025</v>
      </c>
      <c r="G243" s="9" t="s">
        <v>27</v>
      </c>
      <c r="H243" s="2" t="s">
        <v>33</v>
      </c>
      <c r="I243" s="12"/>
      <c r="J243" s="10">
        <f>K243</f>
        <v>3000</v>
      </c>
      <c r="K243" s="11">
        <v>3000</v>
      </c>
      <c r="L243" s="90">
        <v>2019</v>
      </c>
      <c r="M243" s="92"/>
      <c r="N243" s="92"/>
      <c r="O243" s="2" t="s">
        <v>53</v>
      </c>
      <c r="P243" s="2"/>
      <c r="Q243" s="3"/>
      <c r="R24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3" s="1"/>
      <c r="T243" s="16"/>
    </row>
    <row r="244" spans="1:20" x14ac:dyDescent="0.25">
      <c r="A244" s="13" t="str">
        <f>VLOOKUP(C244,Data[],2,FALSE)</f>
        <v>MANHATTAN</v>
      </c>
      <c r="B244" s="1"/>
      <c r="C244" s="1" t="s">
        <v>74</v>
      </c>
      <c r="D244" s="1" t="str">
        <f>VLOOKUP(Table1[[#This Row],[DEVELOPMENT]],Data[],MATCH(Table1[[#Headers],[NRR]],Data[#Headers],0),FALSE)</f>
        <v>Zone 2</v>
      </c>
      <c r="E244" s="1" t="str">
        <f>VLOOKUP(Table1[[#This Row],[DEVELOPMENT]],Data[],MATCH(Table1[[#Headers],[Priority Level]],Data[#Headers],0),FALSE)</f>
        <v>$</v>
      </c>
      <c r="F244" s="1">
        <f>VLOOKUP(Table1[[#This Row],[DEVELOPMENT]],Data[],MATCH(Table1[[#Headers],[RAD/PACT]],Data[#Headers],0),FALSE)</f>
        <v>2026</v>
      </c>
      <c r="G244" s="9" t="s">
        <v>27</v>
      </c>
      <c r="H244" s="7"/>
      <c r="I244" s="8"/>
      <c r="J244" s="8"/>
      <c r="K244" s="3"/>
      <c r="L244" s="93"/>
      <c r="M244" s="90"/>
      <c r="N244" s="90"/>
      <c r="O244" s="2"/>
      <c r="P244" s="2"/>
      <c r="Q244" s="11"/>
      <c r="R24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4" s="9"/>
      <c r="T244" s="16"/>
    </row>
    <row r="245" spans="1:20" x14ac:dyDescent="0.25">
      <c r="A245" s="13" t="str">
        <f>VLOOKUP(C245,Data[],2,FALSE)</f>
        <v>MANHATTAN</v>
      </c>
      <c r="B245" s="1"/>
      <c r="C245" s="1" t="s">
        <v>77</v>
      </c>
      <c r="D245" s="1" t="str">
        <f>VLOOKUP(Table1[[#This Row],[DEVELOPMENT]],Data[],MATCH(Table1[[#Headers],[NRR]],Data[#Headers],0),FALSE)</f>
        <v>Zone 2</v>
      </c>
      <c r="E245" s="1" t="str">
        <f>VLOOKUP(Table1[[#This Row],[DEVELOPMENT]],Data[],MATCH(Table1[[#Headers],[Priority Level]],Data[#Headers],0),FALSE)</f>
        <v>$</v>
      </c>
      <c r="F245" s="1" t="str">
        <f>VLOOKUP(Table1[[#This Row],[DEVELOPMENT]],Data[],MATCH(Table1[[#Headers],[RAD/PACT]],Data[#Headers],0),FALSE)</f>
        <v/>
      </c>
      <c r="G245" s="9" t="s">
        <v>27</v>
      </c>
      <c r="H245" s="7"/>
      <c r="I245" s="8"/>
      <c r="J245" s="8"/>
      <c r="K245" s="3"/>
      <c r="L245" s="93"/>
      <c r="M245" s="90"/>
      <c r="N245" s="90"/>
      <c r="O245" s="2"/>
      <c r="P245" s="2"/>
      <c r="Q245" s="11"/>
      <c r="R24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5" s="9"/>
      <c r="T245" s="16"/>
    </row>
    <row r="246" spans="1:20" x14ac:dyDescent="0.25">
      <c r="A246" s="13" t="str">
        <f>VLOOKUP(C246,Data[],2,FALSE)</f>
        <v>BRONX</v>
      </c>
      <c r="B246" s="9" t="s">
        <v>25</v>
      </c>
      <c r="C246" s="9" t="s">
        <v>121</v>
      </c>
      <c r="D246" s="1" t="str">
        <f>VLOOKUP(Table1[[#This Row],[DEVELOPMENT]],Data[],MATCH(Table1[[#Headers],[NRR]],Data[#Headers],0),FALSE)</f>
        <v>Zone 1</v>
      </c>
      <c r="E246" s="1" t="str">
        <f>VLOOKUP(Table1[[#This Row],[DEVELOPMENT]],Data[],MATCH(Table1[[#Headers],[Priority Level]],Data[#Headers],0),FALSE)</f>
        <v>$$</v>
      </c>
      <c r="F246" s="1" t="str">
        <f>VLOOKUP(Table1[[#This Row],[DEVELOPMENT]],Data[],MATCH(Table1[[#Headers],[RAD/PACT]],Data[#Headers],0),FALSE)</f>
        <v/>
      </c>
      <c r="G246" s="9" t="s">
        <v>27</v>
      </c>
      <c r="H246" s="2" t="s">
        <v>28</v>
      </c>
      <c r="I246" s="10">
        <f>K246</f>
        <v>3000</v>
      </c>
      <c r="J246" s="10"/>
      <c r="K246" s="11">
        <v>3000</v>
      </c>
      <c r="L246" s="90">
        <v>2019</v>
      </c>
      <c r="M246" s="92"/>
      <c r="N246" s="92"/>
      <c r="O246" s="2" t="s">
        <v>53</v>
      </c>
      <c r="P246" s="2"/>
      <c r="Q246" s="3"/>
      <c r="R24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6" s="1"/>
      <c r="T246" s="16"/>
    </row>
    <row r="247" spans="1:20" x14ac:dyDescent="0.25">
      <c r="A247" s="13" t="str">
        <f>VLOOKUP(C247,Data[],2,FALSE)</f>
        <v>MANHATTAN</v>
      </c>
      <c r="B247" s="1"/>
      <c r="C247" s="1" t="s">
        <v>78</v>
      </c>
      <c r="D247" s="1" t="str">
        <f>VLOOKUP(Table1[[#This Row],[DEVELOPMENT]],Data[],MATCH(Table1[[#Headers],[NRR]],Data[#Headers],0),FALSE)</f>
        <v>Zone 2</v>
      </c>
      <c r="E247" s="1" t="str">
        <f>VLOOKUP(Table1[[#This Row],[DEVELOPMENT]],Data[],MATCH(Table1[[#Headers],[Priority Level]],Data[#Headers],0),FALSE)</f>
        <v>$</v>
      </c>
      <c r="F247" s="1">
        <f>VLOOKUP(Table1[[#This Row],[DEVELOPMENT]],Data[],MATCH(Table1[[#Headers],[RAD/PACT]],Data[#Headers],0),FALSE)</f>
        <v>2024</v>
      </c>
      <c r="G247" s="9" t="s">
        <v>27</v>
      </c>
      <c r="H247" s="7"/>
      <c r="I247" s="8"/>
      <c r="J247" s="8"/>
      <c r="K247" s="3"/>
      <c r="L247" s="93"/>
      <c r="M247" s="90"/>
      <c r="N247" s="90"/>
      <c r="O247" s="2"/>
      <c r="P247" s="2"/>
      <c r="Q247" s="11"/>
      <c r="R24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7" s="9"/>
      <c r="T247" s="16"/>
    </row>
    <row r="248" spans="1:20" x14ac:dyDescent="0.25">
      <c r="A248" s="13" t="str">
        <f>VLOOKUP(C248,Data[],2,FALSE)</f>
        <v>MANHATTAN</v>
      </c>
      <c r="B248" s="1"/>
      <c r="C248" s="1" t="s">
        <v>81</v>
      </c>
      <c r="D248" s="1" t="str">
        <f>VLOOKUP(Table1[[#This Row],[DEVELOPMENT]],Data[],MATCH(Table1[[#Headers],[NRR]],Data[#Headers],0),FALSE)</f>
        <v>Zone 2</v>
      </c>
      <c r="E248" s="1" t="str">
        <f>VLOOKUP(Table1[[#This Row],[DEVELOPMENT]],Data[],MATCH(Table1[[#Headers],[Priority Level]],Data[#Headers],0),FALSE)</f>
        <v>$$$$</v>
      </c>
      <c r="F248" s="1" t="str">
        <f>VLOOKUP(Table1[[#This Row],[DEVELOPMENT]],Data[],MATCH(Table1[[#Headers],[RAD/PACT]],Data[#Headers],0),FALSE)</f>
        <v/>
      </c>
      <c r="G248" s="9" t="s">
        <v>27</v>
      </c>
      <c r="H248" s="7"/>
      <c r="I248" s="8"/>
      <c r="J248" s="8"/>
      <c r="K248" s="3"/>
      <c r="L248" s="93"/>
      <c r="M248" s="90"/>
      <c r="N248" s="90"/>
      <c r="O248" s="2"/>
      <c r="P248" s="2"/>
      <c r="Q248" s="11"/>
      <c r="R24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8" s="9"/>
      <c r="T248" s="16"/>
    </row>
    <row r="249" spans="1:20" x14ac:dyDescent="0.25">
      <c r="A249" s="13" t="str">
        <f>VLOOKUP(C249,Data[],2,FALSE)</f>
        <v>BROOKLYN</v>
      </c>
      <c r="B249" s="9" t="s">
        <v>25</v>
      </c>
      <c r="C249" s="9" t="s">
        <v>139</v>
      </c>
      <c r="D249" s="1" t="str">
        <f>VLOOKUP(Table1[[#This Row],[DEVELOPMENT]],Data[],MATCH(Table1[[#Headers],[NRR]],Data[#Headers],0),FALSE)</f>
        <v>Zone 1</v>
      </c>
      <c r="E249" s="1" t="str">
        <f>VLOOKUP(Table1[[#This Row],[DEVELOPMENT]],Data[],MATCH(Table1[[#Headers],[Priority Level]],Data[#Headers],0),FALSE)</f>
        <v>$</v>
      </c>
      <c r="F249" s="1" t="str">
        <f>VLOOKUP(Table1[[#This Row],[DEVELOPMENT]],Data[],MATCH(Table1[[#Headers],[RAD/PACT]],Data[#Headers],0),FALSE)</f>
        <v/>
      </c>
      <c r="G249" s="9" t="s">
        <v>27</v>
      </c>
      <c r="H249" s="2" t="s">
        <v>33</v>
      </c>
      <c r="I249" s="12"/>
      <c r="J249" s="10">
        <f>K249</f>
        <v>3000</v>
      </c>
      <c r="K249" s="11">
        <v>3000</v>
      </c>
      <c r="L249" s="90">
        <v>2019</v>
      </c>
      <c r="M249" s="92"/>
      <c r="N249" s="92"/>
      <c r="O249" s="2" t="s">
        <v>53</v>
      </c>
      <c r="P249" s="2"/>
      <c r="Q249" s="3"/>
      <c r="R24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49" s="1"/>
      <c r="T249" s="16"/>
    </row>
    <row r="250" spans="1:20" x14ac:dyDescent="0.25">
      <c r="A250" s="13" t="str">
        <f>VLOOKUP(C250,Data[],2,FALSE)</f>
        <v>MANHATTAN</v>
      </c>
      <c r="B250" s="1"/>
      <c r="C250" s="1" t="s">
        <v>112</v>
      </c>
      <c r="D250" s="1" t="str">
        <f>VLOOKUP(Table1[[#This Row],[DEVELOPMENT]],Data[],MATCH(Table1[[#Headers],[NRR]],Data[#Headers],0),FALSE)</f>
        <v>Zone 2</v>
      </c>
      <c r="E250" s="1" t="str">
        <f>VLOOKUP(Table1[[#This Row],[DEVELOPMENT]],Data[],MATCH(Table1[[#Headers],[Priority Level]],Data[#Headers],0),FALSE)</f>
        <v>$$</v>
      </c>
      <c r="F250" s="1">
        <f>VLOOKUP(Table1[[#This Row],[DEVELOPMENT]],Data[],MATCH(Table1[[#Headers],[RAD/PACT]],Data[#Headers],0),FALSE)</f>
        <v>2026</v>
      </c>
      <c r="G250" s="9" t="s">
        <v>27</v>
      </c>
      <c r="H250" s="7"/>
      <c r="I250" s="8"/>
      <c r="J250" s="8"/>
      <c r="K250" s="3"/>
      <c r="L250" s="93"/>
      <c r="M250" s="90"/>
      <c r="N250" s="90"/>
      <c r="O250" s="2"/>
      <c r="P250" s="2"/>
      <c r="Q250" s="11"/>
      <c r="R25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0" s="9"/>
      <c r="T250" s="16"/>
    </row>
    <row r="251" spans="1:20" x14ac:dyDescent="0.25">
      <c r="A251" s="13" t="str">
        <f>VLOOKUP(C251,Data[],2,FALSE)</f>
        <v>MANHATTAN</v>
      </c>
      <c r="B251" s="1"/>
      <c r="C251" s="1" t="s">
        <v>83</v>
      </c>
      <c r="D251" s="1" t="str">
        <f>VLOOKUP(Table1[[#This Row],[DEVELOPMENT]],Data[],MATCH(Table1[[#Headers],[NRR]],Data[#Headers],0),FALSE)</f>
        <v>Zone 2</v>
      </c>
      <c r="E251" s="1" t="str">
        <f>VLOOKUP(Table1[[#This Row],[DEVELOPMENT]],Data[],MATCH(Table1[[#Headers],[Priority Level]],Data[#Headers],0),FALSE)</f>
        <v>$$$</v>
      </c>
      <c r="F251" s="1">
        <f>VLOOKUP(Table1[[#This Row],[DEVELOPMENT]],Data[],MATCH(Table1[[#Headers],[RAD/PACT]],Data[#Headers],0),FALSE)</f>
        <v>2028</v>
      </c>
      <c r="G251" s="9" t="s">
        <v>27</v>
      </c>
      <c r="H251" s="7"/>
      <c r="I251" s="8"/>
      <c r="J251" s="8"/>
      <c r="K251" s="3"/>
      <c r="L251" s="93"/>
      <c r="M251" s="90"/>
      <c r="N251" s="90"/>
      <c r="O251" s="2"/>
      <c r="P251" s="2"/>
      <c r="Q251" s="11"/>
      <c r="R25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1" s="9"/>
      <c r="T251" s="16"/>
    </row>
    <row r="252" spans="1:20" x14ac:dyDescent="0.25">
      <c r="A252" s="13" t="str">
        <f>VLOOKUP(C252,Data[],2,FALSE)</f>
        <v>MANHATTAN</v>
      </c>
      <c r="B252" s="1"/>
      <c r="C252" s="1" t="s">
        <v>131</v>
      </c>
      <c r="D252" s="1" t="str">
        <f>VLOOKUP(Table1[[#This Row],[DEVELOPMENT]],Data[],MATCH(Table1[[#Headers],[NRR]],Data[#Headers],0),FALSE)</f>
        <v>Zone 2</v>
      </c>
      <c r="E252" s="1" t="str">
        <f>VLOOKUP(Table1[[#This Row],[DEVELOPMENT]],Data[],MATCH(Table1[[#Headers],[Priority Level]],Data[#Headers],0),FALSE)</f>
        <v>$$$</v>
      </c>
      <c r="F252" s="1" t="str">
        <f>VLOOKUP(Table1[[#This Row],[DEVELOPMENT]],Data[],MATCH(Table1[[#Headers],[RAD/PACT]],Data[#Headers],0),FALSE)</f>
        <v/>
      </c>
      <c r="G252" s="9" t="s">
        <v>27</v>
      </c>
      <c r="H252" s="7"/>
      <c r="I252" s="8"/>
      <c r="J252" s="8"/>
      <c r="K252" s="3"/>
      <c r="L252" s="93"/>
      <c r="M252" s="90"/>
      <c r="N252" s="90"/>
      <c r="O252" s="2"/>
      <c r="P252" s="2"/>
      <c r="Q252" s="11"/>
      <c r="R25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2" s="9"/>
      <c r="T252" s="16"/>
    </row>
    <row r="253" spans="1:20" x14ac:dyDescent="0.25">
      <c r="A253" s="13" t="str">
        <f>VLOOKUP(C253,Data[],2,FALSE)</f>
        <v>MANHATTAN</v>
      </c>
      <c r="B253" s="1"/>
      <c r="C253" s="41" t="s">
        <v>146</v>
      </c>
      <c r="D253" s="1">
        <f>VLOOKUP(Table1[[#This Row],[DEVELOPMENT]],Data[],MATCH(Table1[[#Headers],[NRR]],Data[#Headers],0),FALSE)</f>
        <v>0</v>
      </c>
      <c r="E253" s="1">
        <f>VLOOKUP(Table1[[#This Row],[DEVELOPMENT]],Data[],MATCH(Table1[[#Headers],[Priority Level]],Data[#Headers],0),FALSE)</f>
        <v>0</v>
      </c>
      <c r="F253" s="1" t="str">
        <f>VLOOKUP(Table1[[#This Row],[DEVELOPMENT]],Data[],MATCH(Table1[[#Headers],[RAD/PACT]],Data[#Headers],0),FALSE)</f>
        <v/>
      </c>
      <c r="G253" s="9" t="s">
        <v>27</v>
      </c>
      <c r="H253" s="7"/>
      <c r="I253" s="8"/>
      <c r="J253" s="8"/>
      <c r="K253" s="3"/>
      <c r="L253" s="93"/>
      <c r="M253" s="90"/>
      <c r="N253" s="90"/>
      <c r="O253" s="2"/>
      <c r="P253" s="2"/>
      <c r="Q253" s="11"/>
      <c r="R25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3" s="9"/>
      <c r="T253" s="16"/>
    </row>
    <row r="254" spans="1:20" x14ac:dyDescent="0.25">
      <c r="A254" s="13" t="str">
        <f>VLOOKUP(C254,Data[],2,FALSE)</f>
        <v>MANHATTAN</v>
      </c>
      <c r="B254" s="1"/>
      <c r="C254" s="1" t="s">
        <v>125</v>
      </c>
      <c r="D254" s="1" t="str">
        <f>VLOOKUP(Table1[[#This Row],[DEVELOPMENT]],Data[],MATCH(Table1[[#Headers],[NRR]],Data[#Headers],0),FALSE)</f>
        <v>Zone 2</v>
      </c>
      <c r="E254" s="1" t="str">
        <f>VLOOKUP(Table1[[#This Row],[DEVELOPMENT]],Data[],MATCH(Table1[[#Headers],[Priority Level]],Data[#Headers],0),FALSE)</f>
        <v>$</v>
      </c>
      <c r="F254" s="1">
        <f>VLOOKUP(Table1[[#This Row],[DEVELOPMENT]],Data[],MATCH(Table1[[#Headers],[RAD/PACT]],Data[#Headers],0),FALSE)</f>
        <v>2023</v>
      </c>
      <c r="G254" s="9" t="s">
        <v>27</v>
      </c>
      <c r="H254" s="7"/>
      <c r="I254" s="8"/>
      <c r="J254" s="8"/>
      <c r="K254" s="3"/>
      <c r="L254" s="93"/>
      <c r="M254" s="90"/>
      <c r="N254" s="90"/>
      <c r="O254" s="2"/>
      <c r="P254" s="2"/>
      <c r="Q254" s="11"/>
      <c r="R25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4" s="9"/>
      <c r="T254" s="16"/>
    </row>
    <row r="255" spans="1:20" x14ac:dyDescent="0.25">
      <c r="A255" s="13" t="str">
        <f>VLOOKUP(C255,Data[],2,FALSE)</f>
        <v>MANHATTAN</v>
      </c>
      <c r="B255" s="1"/>
      <c r="C255" s="1" t="s">
        <v>113</v>
      </c>
      <c r="D255" s="1" t="str">
        <f>VLOOKUP(Table1[[#This Row],[DEVELOPMENT]],Data[],MATCH(Table1[[#Headers],[NRR]],Data[#Headers],0),FALSE)</f>
        <v>Zone 2</v>
      </c>
      <c r="E255" s="1" t="str">
        <f>VLOOKUP(Table1[[#This Row],[DEVELOPMENT]],Data[],MATCH(Table1[[#Headers],[Priority Level]],Data[#Headers],0),FALSE)</f>
        <v>$$$$</v>
      </c>
      <c r="F255" s="1" t="str">
        <f>VLOOKUP(Table1[[#This Row],[DEVELOPMENT]],Data[],MATCH(Table1[[#Headers],[RAD/PACT]],Data[#Headers],0),FALSE)</f>
        <v/>
      </c>
      <c r="G255" s="9" t="s">
        <v>27</v>
      </c>
      <c r="H255" s="7"/>
      <c r="I255" s="8"/>
      <c r="J255" s="8"/>
      <c r="K255" s="3"/>
      <c r="L255" s="93"/>
      <c r="M255" s="90"/>
      <c r="N255" s="90"/>
      <c r="O255" s="2"/>
      <c r="P255" s="2"/>
      <c r="Q255" s="11"/>
      <c r="R25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5" s="9"/>
      <c r="T255" s="16"/>
    </row>
    <row r="256" spans="1:20" x14ac:dyDescent="0.25">
      <c r="A256" s="13" t="str">
        <f>VLOOKUP(C256,Data[],2,FALSE)</f>
        <v>MANHATTAN</v>
      </c>
      <c r="B256" s="1"/>
      <c r="C256" s="1" t="s">
        <v>122</v>
      </c>
      <c r="D256" s="1" t="str">
        <f>VLOOKUP(Table1[[#This Row],[DEVELOPMENT]],Data[],MATCH(Table1[[#Headers],[NRR]],Data[#Headers],0),FALSE)</f>
        <v>Zone 2</v>
      </c>
      <c r="E256" s="1" t="str">
        <f>VLOOKUP(Table1[[#This Row],[DEVELOPMENT]],Data[],MATCH(Table1[[#Headers],[Priority Level]],Data[#Headers],0),FALSE)</f>
        <v>$</v>
      </c>
      <c r="F256" s="1">
        <f>VLOOKUP(Table1[[#This Row],[DEVELOPMENT]],Data[],MATCH(Table1[[#Headers],[RAD/PACT]],Data[#Headers],0),FALSE)</f>
        <v>2028</v>
      </c>
      <c r="G256" s="9" t="s">
        <v>27</v>
      </c>
      <c r="H256" s="7"/>
      <c r="I256" s="8"/>
      <c r="J256" s="8"/>
      <c r="K256" s="3"/>
      <c r="L256" s="93"/>
      <c r="M256" s="90"/>
      <c r="N256" s="90"/>
      <c r="O256" s="2"/>
      <c r="P256" s="2"/>
      <c r="Q256" s="11"/>
      <c r="R25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6" s="9"/>
      <c r="T256" s="16"/>
    </row>
    <row r="257" spans="1:20" x14ac:dyDescent="0.25">
      <c r="A257" s="13" t="str">
        <f>VLOOKUP(C257,Data[],2,FALSE)</f>
        <v>MANHATTAN</v>
      </c>
      <c r="B257" s="1"/>
      <c r="C257" s="1" t="s">
        <v>90</v>
      </c>
      <c r="D257" s="1" t="str">
        <f>VLOOKUP(Table1[[#This Row],[DEVELOPMENT]],Data[],MATCH(Table1[[#Headers],[NRR]],Data[#Headers],0),FALSE)</f>
        <v>Zone 2</v>
      </c>
      <c r="E257" s="1" t="str">
        <f>VLOOKUP(Table1[[#This Row],[DEVELOPMENT]],Data[],MATCH(Table1[[#Headers],[Priority Level]],Data[#Headers],0),FALSE)</f>
        <v>$</v>
      </c>
      <c r="F257" s="1" t="str">
        <f>VLOOKUP(Table1[[#This Row],[DEVELOPMENT]],Data[],MATCH(Table1[[#Headers],[RAD/PACT]],Data[#Headers],0),FALSE)</f>
        <v/>
      </c>
      <c r="G257" s="9" t="s">
        <v>27</v>
      </c>
      <c r="H257" s="7"/>
      <c r="I257" s="8"/>
      <c r="J257" s="8"/>
      <c r="K257" s="3"/>
      <c r="L257" s="93"/>
      <c r="M257" s="90"/>
      <c r="N257" s="90"/>
      <c r="O257" s="2"/>
      <c r="P257" s="2"/>
      <c r="Q257" s="11"/>
      <c r="R25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7" s="9"/>
      <c r="T257" s="16"/>
    </row>
    <row r="258" spans="1:20" x14ac:dyDescent="0.25">
      <c r="A258" s="13" t="str">
        <f>VLOOKUP(C258,Data[],2,FALSE)</f>
        <v>BRONX</v>
      </c>
      <c r="B258" s="9" t="s">
        <v>25</v>
      </c>
      <c r="C258" s="9" t="s">
        <v>140</v>
      </c>
      <c r="D258" s="1" t="str">
        <f>VLOOKUP(Table1[[#This Row],[DEVELOPMENT]],Data[],MATCH(Table1[[#Headers],[NRR]],Data[#Headers],0),FALSE)</f>
        <v>Zone 1</v>
      </c>
      <c r="E258" s="1" t="str">
        <f>VLOOKUP(Table1[[#This Row],[DEVELOPMENT]],Data[],MATCH(Table1[[#Headers],[Priority Level]],Data[#Headers],0),FALSE)</f>
        <v>$$$</v>
      </c>
      <c r="F258" s="1" t="str">
        <f>VLOOKUP(Table1[[#This Row],[DEVELOPMENT]],Data[],MATCH(Table1[[#Headers],[RAD/PACT]],Data[#Headers],0),FALSE)</f>
        <v/>
      </c>
      <c r="G258" s="9" t="s">
        <v>27</v>
      </c>
      <c r="H258" s="2" t="s">
        <v>28</v>
      </c>
      <c r="I258" s="10">
        <f>K258</f>
        <v>3000</v>
      </c>
      <c r="J258" s="10"/>
      <c r="K258" s="11">
        <v>3000</v>
      </c>
      <c r="L258" s="90">
        <v>2019</v>
      </c>
      <c r="M258" s="92"/>
      <c r="N258" s="92"/>
      <c r="O258" s="2" t="s">
        <v>53</v>
      </c>
      <c r="P258" s="2"/>
      <c r="Q258" s="3"/>
      <c r="R25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8" s="1"/>
      <c r="T258" s="16"/>
    </row>
    <row r="259" spans="1:20" x14ac:dyDescent="0.25">
      <c r="A259" s="13" t="str">
        <f>VLOOKUP(C259,Data[],2,FALSE)</f>
        <v>MANHATTAN</v>
      </c>
      <c r="B259" s="1"/>
      <c r="C259" s="1" t="s">
        <v>92</v>
      </c>
      <c r="D259" s="1" t="str">
        <f>VLOOKUP(Table1[[#This Row],[DEVELOPMENT]],Data[],MATCH(Table1[[#Headers],[NRR]],Data[#Headers],0),FALSE)</f>
        <v>Zone 2</v>
      </c>
      <c r="E259" s="1" t="str">
        <f>VLOOKUP(Table1[[#This Row],[DEVELOPMENT]],Data[],MATCH(Table1[[#Headers],[Priority Level]],Data[#Headers],0),FALSE)</f>
        <v>$$$$</v>
      </c>
      <c r="F259" s="1" t="str">
        <f>VLOOKUP(Table1[[#This Row],[DEVELOPMENT]],Data[],MATCH(Table1[[#Headers],[RAD/PACT]],Data[#Headers],0),FALSE)</f>
        <v/>
      </c>
      <c r="G259" s="9" t="s">
        <v>27</v>
      </c>
      <c r="H259" s="7"/>
      <c r="I259" s="8"/>
      <c r="J259" s="8"/>
      <c r="K259" s="3"/>
      <c r="L259" s="93"/>
      <c r="M259" s="90"/>
      <c r="N259" s="90"/>
      <c r="O259" s="2"/>
      <c r="P259" s="2"/>
      <c r="Q259" s="11"/>
      <c r="R25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59" s="9"/>
      <c r="T259" s="16"/>
    </row>
    <row r="260" spans="1:20" x14ac:dyDescent="0.25">
      <c r="A260" s="13" t="str">
        <f>VLOOKUP(C260,Data[],2,FALSE)</f>
        <v>BRONX</v>
      </c>
      <c r="B260" s="9" t="s">
        <v>25</v>
      </c>
      <c r="C260" s="9" t="s">
        <v>147</v>
      </c>
      <c r="D260" s="1" t="str">
        <f>VLOOKUP(Table1[[#This Row],[DEVELOPMENT]],Data[],MATCH(Table1[[#Headers],[NRR]],Data[#Headers],0),FALSE)</f>
        <v>Zone 1</v>
      </c>
      <c r="E260" s="1" t="str">
        <f>VLOOKUP(Table1[[#This Row],[DEVELOPMENT]],Data[],MATCH(Table1[[#Headers],[Priority Level]],Data[#Headers],0),FALSE)</f>
        <v>$$$$</v>
      </c>
      <c r="F260" s="1" t="str">
        <f>VLOOKUP(Table1[[#This Row],[DEVELOPMENT]],Data[],MATCH(Table1[[#Headers],[RAD/PACT]],Data[#Headers],0),FALSE)</f>
        <v/>
      </c>
      <c r="G260" s="9" t="s">
        <v>27</v>
      </c>
      <c r="H260" s="2" t="s">
        <v>28</v>
      </c>
      <c r="I260" s="10">
        <f>K260</f>
        <v>6000</v>
      </c>
      <c r="J260" s="10"/>
      <c r="K260" s="11">
        <v>6000</v>
      </c>
      <c r="L260" s="90">
        <v>2019</v>
      </c>
      <c r="M260" s="92"/>
      <c r="N260" s="92"/>
      <c r="O260" s="2" t="s">
        <v>53</v>
      </c>
      <c r="P260" s="2"/>
      <c r="Q260" s="3"/>
      <c r="R26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0" s="1"/>
      <c r="T260" s="16"/>
    </row>
    <row r="261" spans="1:20" x14ac:dyDescent="0.25">
      <c r="A261" s="13" t="str">
        <f>VLOOKUP(C261,Data[],2,FALSE)</f>
        <v>MANHATTAN</v>
      </c>
      <c r="B261" s="1"/>
      <c r="C261" s="1" t="s">
        <v>133</v>
      </c>
      <c r="D261" s="1" t="str">
        <f>VLOOKUP(Table1[[#This Row],[DEVELOPMENT]],Data[],MATCH(Table1[[#Headers],[NRR]],Data[#Headers],0),FALSE)</f>
        <v>Zone 2</v>
      </c>
      <c r="E261" s="1" t="str">
        <f>VLOOKUP(Table1[[#This Row],[DEVELOPMENT]],Data[],MATCH(Table1[[#Headers],[Priority Level]],Data[#Headers],0),FALSE)</f>
        <v>$</v>
      </c>
      <c r="F261" s="1" t="str">
        <f>VLOOKUP(Table1[[#This Row],[DEVELOPMENT]],Data[],MATCH(Table1[[#Headers],[RAD/PACT]],Data[#Headers],0),FALSE)</f>
        <v/>
      </c>
      <c r="G261" s="9" t="s">
        <v>27</v>
      </c>
      <c r="H261" s="7"/>
      <c r="I261" s="8"/>
      <c r="J261" s="8"/>
      <c r="K261" s="3"/>
      <c r="L261" s="93"/>
      <c r="M261" s="90"/>
      <c r="N261" s="90"/>
      <c r="O261" s="2"/>
      <c r="P261" s="2"/>
      <c r="Q261" s="11"/>
      <c r="R26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1" s="9"/>
      <c r="T261" s="16"/>
    </row>
    <row r="262" spans="1:20" x14ac:dyDescent="0.25">
      <c r="A262" s="13" t="str">
        <f>VLOOKUP(C262,Data[],2,FALSE)</f>
        <v>MANHATTAN</v>
      </c>
      <c r="B262" s="1"/>
      <c r="C262" s="1" t="s">
        <v>115</v>
      </c>
      <c r="D262" s="1" t="str">
        <f>VLOOKUP(Table1[[#This Row],[DEVELOPMENT]],Data[],MATCH(Table1[[#Headers],[NRR]],Data[#Headers],0),FALSE)</f>
        <v>Zone 2</v>
      </c>
      <c r="E262" s="1" t="str">
        <f>VLOOKUP(Table1[[#This Row],[DEVELOPMENT]],Data[],MATCH(Table1[[#Headers],[Priority Level]],Data[#Headers],0),FALSE)</f>
        <v>$</v>
      </c>
      <c r="F262" s="1" t="str">
        <f>VLOOKUP(Table1[[#This Row],[DEVELOPMENT]],Data[],MATCH(Table1[[#Headers],[RAD/PACT]],Data[#Headers],0),FALSE)</f>
        <v/>
      </c>
      <c r="G262" s="9" t="s">
        <v>27</v>
      </c>
      <c r="H262" s="7"/>
      <c r="I262" s="8"/>
      <c r="J262" s="8"/>
      <c r="K262" s="3"/>
      <c r="L262" s="93"/>
      <c r="M262" s="90"/>
      <c r="N262" s="90"/>
      <c r="O262" s="2"/>
      <c r="P262" s="2"/>
      <c r="Q262" s="11"/>
      <c r="R26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2" s="9"/>
      <c r="T262" s="16"/>
    </row>
    <row r="263" spans="1:20" x14ac:dyDescent="0.25">
      <c r="A263" s="13" t="str">
        <f>VLOOKUP(C263,Data[],2,FALSE)</f>
        <v>MANHATTAN</v>
      </c>
      <c r="B263" s="1"/>
      <c r="C263" s="1" t="s">
        <v>107</v>
      </c>
      <c r="D263" s="1" t="str">
        <f>VLOOKUP(Table1[[#This Row],[DEVELOPMENT]],Data[],MATCH(Table1[[#Headers],[NRR]],Data[#Headers],0),FALSE)</f>
        <v>Zone 2</v>
      </c>
      <c r="E263" s="1" t="str">
        <f>VLOOKUP(Table1[[#This Row],[DEVELOPMENT]],Data[],MATCH(Table1[[#Headers],[Priority Level]],Data[#Headers],0),FALSE)</f>
        <v>$$</v>
      </c>
      <c r="F263" s="1" t="str">
        <f>VLOOKUP(Table1[[#This Row],[DEVELOPMENT]],Data[],MATCH(Table1[[#Headers],[RAD/PACT]],Data[#Headers],0),FALSE)</f>
        <v/>
      </c>
      <c r="G263" s="9" t="s">
        <v>27</v>
      </c>
      <c r="H263" s="7"/>
      <c r="I263" s="8"/>
      <c r="J263" s="8"/>
      <c r="K263" s="3"/>
      <c r="L263" s="93"/>
      <c r="M263" s="90"/>
      <c r="N263" s="90"/>
      <c r="O263" s="2"/>
      <c r="P263" s="2"/>
      <c r="Q263" s="11"/>
      <c r="R26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3" s="9"/>
      <c r="T263" s="16"/>
    </row>
    <row r="264" spans="1:20" x14ac:dyDescent="0.25">
      <c r="A264" s="13" t="str">
        <f>VLOOKUP(C264,Data[],2,FALSE)</f>
        <v>BROOKLYN</v>
      </c>
      <c r="B264" s="9" t="s">
        <v>25</v>
      </c>
      <c r="C264" s="9" t="s">
        <v>148</v>
      </c>
      <c r="D264" s="1" t="str">
        <f>VLOOKUP(Table1[[#This Row],[DEVELOPMENT]],Data[],MATCH(Table1[[#Headers],[NRR]],Data[#Headers],0),FALSE)</f>
        <v>Zone 1</v>
      </c>
      <c r="E264" s="1" t="str">
        <f>VLOOKUP(Table1[[#This Row],[DEVELOPMENT]],Data[],MATCH(Table1[[#Headers],[Priority Level]],Data[#Headers],0),FALSE)</f>
        <v>$</v>
      </c>
      <c r="F264" s="1" t="str">
        <f>VLOOKUP(Table1[[#This Row],[DEVELOPMENT]],Data[],MATCH(Table1[[#Headers],[RAD/PACT]],Data[#Headers],0),FALSE)</f>
        <v/>
      </c>
      <c r="G264" s="9" t="s">
        <v>27</v>
      </c>
      <c r="H264" s="2" t="s">
        <v>33</v>
      </c>
      <c r="I264" s="12"/>
      <c r="J264" s="10">
        <f>K264</f>
        <v>9000</v>
      </c>
      <c r="K264" s="11">
        <v>9000</v>
      </c>
      <c r="L264" s="90">
        <v>2019</v>
      </c>
      <c r="M264" s="92"/>
      <c r="N264" s="92"/>
      <c r="O264" s="2" t="s">
        <v>53</v>
      </c>
      <c r="P264" s="2"/>
      <c r="Q264" s="3"/>
      <c r="R26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4" s="1"/>
      <c r="T264" s="16"/>
    </row>
    <row r="265" spans="1:20" x14ac:dyDescent="0.25">
      <c r="A265" s="13" t="str">
        <f>VLOOKUP(C265,Data[],2,FALSE)</f>
        <v>MANHATTAN</v>
      </c>
      <c r="B265" s="1"/>
      <c r="C265" s="1" t="s">
        <v>136</v>
      </c>
      <c r="D265" s="1" t="str">
        <f>VLOOKUP(Table1[[#This Row],[DEVELOPMENT]],Data[],MATCH(Table1[[#Headers],[NRR]],Data[#Headers],0),FALSE)</f>
        <v>Zone 2</v>
      </c>
      <c r="E265" s="1" t="str">
        <f>VLOOKUP(Table1[[#This Row],[DEVELOPMENT]],Data[],MATCH(Table1[[#Headers],[Priority Level]],Data[#Headers],0),FALSE)</f>
        <v>$</v>
      </c>
      <c r="F265" s="1" t="str">
        <f>VLOOKUP(Table1[[#This Row],[DEVELOPMENT]],Data[],MATCH(Table1[[#Headers],[RAD/PACT]],Data[#Headers],0),FALSE)</f>
        <v/>
      </c>
      <c r="G265" s="9" t="s">
        <v>27</v>
      </c>
      <c r="H265" s="7"/>
      <c r="I265" s="8"/>
      <c r="J265" s="8"/>
      <c r="K265" s="3"/>
      <c r="L265" s="93"/>
      <c r="M265" s="90"/>
      <c r="N265" s="90"/>
      <c r="O265" s="2"/>
      <c r="P265" s="2"/>
      <c r="Q265" s="11"/>
      <c r="R26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5" s="9"/>
      <c r="T265" s="16"/>
    </row>
    <row r="266" spans="1:20" x14ac:dyDescent="0.25">
      <c r="A266" s="13" t="str">
        <f>VLOOKUP(C266,Data[],2,FALSE)</f>
        <v>MANHATTAN</v>
      </c>
      <c r="B266" s="1"/>
      <c r="C266" s="1" t="s">
        <v>95</v>
      </c>
      <c r="D266" s="1" t="str">
        <f>VLOOKUP(Table1[[#This Row],[DEVELOPMENT]],Data[],MATCH(Table1[[#Headers],[NRR]],Data[#Headers],0),FALSE)</f>
        <v>Zone 2</v>
      </c>
      <c r="E266" s="1" t="str">
        <f>VLOOKUP(Table1[[#This Row],[DEVELOPMENT]],Data[],MATCH(Table1[[#Headers],[Priority Level]],Data[#Headers],0),FALSE)</f>
        <v>$$</v>
      </c>
      <c r="F266" s="1">
        <f>VLOOKUP(Table1[[#This Row],[DEVELOPMENT]],Data[],MATCH(Table1[[#Headers],[RAD/PACT]],Data[#Headers],0),FALSE)</f>
        <v>2026</v>
      </c>
      <c r="G266" s="9" t="s">
        <v>27</v>
      </c>
      <c r="H266" s="7"/>
      <c r="I266" s="8"/>
      <c r="J266" s="8"/>
      <c r="K266" s="3"/>
      <c r="L266" s="93"/>
      <c r="M266" s="90"/>
      <c r="N266" s="90"/>
      <c r="O266" s="2"/>
      <c r="P266" s="2"/>
      <c r="Q266" s="11"/>
      <c r="R26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6" s="9"/>
      <c r="T266" s="16"/>
    </row>
    <row r="267" spans="1:20" x14ac:dyDescent="0.25">
      <c r="A267" s="13" t="str">
        <f>VLOOKUP(C267,Data[],2,FALSE)</f>
        <v>MANHATTAN</v>
      </c>
      <c r="B267" s="1"/>
      <c r="C267" s="1" t="s">
        <v>128</v>
      </c>
      <c r="D267" s="1" t="str">
        <f>VLOOKUP(Table1[[#This Row],[DEVELOPMENT]],Data[],MATCH(Table1[[#Headers],[NRR]],Data[#Headers],0),FALSE)</f>
        <v>Zone 2</v>
      </c>
      <c r="E267" s="1" t="str">
        <f>VLOOKUP(Table1[[#This Row],[DEVELOPMENT]],Data[],MATCH(Table1[[#Headers],[Priority Level]],Data[#Headers],0),FALSE)</f>
        <v>$$$</v>
      </c>
      <c r="F267" s="1" t="str">
        <f>VLOOKUP(Table1[[#This Row],[DEVELOPMENT]],Data[],MATCH(Table1[[#Headers],[RAD/PACT]],Data[#Headers],0),FALSE)</f>
        <v/>
      </c>
      <c r="G267" s="9" t="s">
        <v>27</v>
      </c>
      <c r="H267" s="7"/>
      <c r="I267" s="8"/>
      <c r="J267" s="8"/>
      <c r="K267" s="3"/>
      <c r="L267" s="93"/>
      <c r="M267" s="90"/>
      <c r="N267" s="90"/>
      <c r="O267" s="2"/>
      <c r="P267" s="2"/>
      <c r="Q267" s="11"/>
      <c r="R26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7" s="9"/>
      <c r="T267" s="16"/>
    </row>
    <row r="268" spans="1:20" x14ac:dyDescent="0.25">
      <c r="A268" s="13" t="str">
        <f>VLOOKUP(C268,Data[],2,FALSE)</f>
        <v>BRONX</v>
      </c>
      <c r="B268" s="9" t="s">
        <v>25</v>
      </c>
      <c r="C268" s="9" t="s">
        <v>149</v>
      </c>
      <c r="D268" s="1" t="str">
        <f>VLOOKUP(Table1[[#This Row],[DEVELOPMENT]],Data[],MATCH(Table1[[#Headers],[NRR]],Data[#Headers],0),FALSE)</f>
        <v>Zone 1</v>
      </c>
      <c r="E268" s="1" t="str">
        <f>VLOOKUP(Table1[[#This Row],[DEVELOPMENT]],Data[],MATCH(Table1[[#Headers],[Priority Level]],Data[#Headers],0),FALSE)</f>
        <v>$</v>
      </c>
      <c r="F268" s="1">
        <f>VLOOKUP(Table1[[#This Row],[DEVELOPMENT]],Data[],MATCH(Table1[[#Headers],[RAD/PACT]],Data[#Headers],0),FALSE)</f>
        <v>2025</v>
      </c>
      <c r="G268" s="9" t="s">
        <v>27</v>
      </c>
      <c r="H268" s="2" t="s">
        <v>33</v>
      </c>
      <c r="I268" s="12"/>
      <c r="J268" s="10">
        <f>K268</f>
        <v>6000</v>
      </c>
      <c r="K268" s="11">
        <v>6000</v>
      </c>
      <c r="L268" s="90">
        <v>2019</v>
      </c>
      <c r="M268" s="92"/>
      <c r="N268" s="92"/>
      <c r="O268" s="2" t="s">
        <v>53</v>
      </c>
      <c r="P268" s="2"/>
      <c r="Q268" s="3"/>
      <c r="R26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8" s="1"/>
      <c r="T268" s="16"/>
    </row>
    <row r="269" spans="1:20" x14ac:dyDescent="0.25">
      <c r="A269" s="13" t="str">
        <f>VLOOKUP(C269,Data[],2,FALSE)</f>
        <v>MANHATTAN</v>
      </c>
      <c r="B269" s="1"/>
      <c r="C269" s="1" t="s">
        <v>126</v>
      </c>
      <c r="D269" s="1" t="str">
        <f>VLOOKUP(Table1[[#This Row],[DEVELOPMENT]],Data[],MATCH(Table1[[#Headers],[NRR]],Data[#Headers],0),FALSE)</f>
        <v>Zone 2</v>
      </c>
      <c r="E269" s="1" t="str">
        <f>VLOOKUP(Table1[[#This Row],[DEVELOPMENT]],Data[],MATCH(Table1[[#Headers],[Priority Level]],Data[#Headers],0),FALSE)</f>
        <v>$</v>
      </c>
      <c r="F269" s="1" t="str">
        <f>VLOOKUP(Table1[[#This Row],[DEVELOPMENT]],Data[],MATCH(Table1[[#Headers],[RAD/PACT]],Data[#Headers],0),FALSE)</f>
        <v/>
      </c>
      <c r="G269" s="9" t="s">
        <v>27</v>
      </c>
      <c r="H269" s="7"/>
      <c r="I269" s="8"/>
      <c r="J269" s="8"/>
      <c r="K269" s="3"/>
      <c r="L269" s="93"/>
      <c r="M269" s="90"/>
      <c r="N269" s="90"/>
      <c r="O269" s="2"/>
      <c r="P269" s="2"/>
      <c r="Q269" s="11"/>
      <c r="R26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69" s="9"/>
      <c r="T269" s="16"/>
    </row>
    <row r="270" spans="1:20" x14ac:dyDescent="0.25">
      <c r="A270" s="13" t="str">
        <f>VLOOKUP(C270,Data[],2,FALSE)</f>
        <v>MANHATTAN</v>
      </c>
      <c r="B270" s="1"/>
      <c r="C270" s="1" t="s">
        <v>100</v>
      </c>
      <c r="D270" s="1" t="str">
        <f>VLOOKUP(Table1[[#This Row],[DEVELOPMENT]],Data[],MATCH(Table1[[#Headers],[NRR]],Data[#Headers],0),FALSE)</f>
        <v>Zone 2</v>
      </c>
      <c r="E270" s="1" t="str">
        <f>VLOOKUP(Table1[[#This Row],[DEVELOPMENT]],Data[],MATCH(Table1[[#Headers],[Priority Level]],Data[#Headers],0),FALSE)</f>
        <v>$</v>
      </c>
      <c r="F270" s="1" t="str">
        <f>VLOOKUP(Table1[[#This Row],[DEVELOPMENT]],Data[],MATCH(Table1[[#Headers],[RAD/PACT]],Data[#Headers],0),FALSE)</f>
        <v/>
      </c>
      <c r="G270" s="9" t="s">
        <v>27</v>
      </c>
      <c r="H270" s="7"/>
      <c r="I270" s="8"/>
      <c r="J270" s="8"/>
      <c r="K270" s="3"/>
      <c r="L270" s="93"/>
      <c r="M270" s="90"/>
      <c r="N270" s="90"/>
      <c r="O270" s="2"/>
      <c r="P270" s="2"/>
      <c r="Q270" s="11"/>
      <c r="R27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70" s="9"/>
      <c r="T270" s="16"/>
    </row>
    <row r="271" spans="1:20" x14ac:dyDescent="0.25">
      <c r="A271" s="13" t="str">
        <f>VLOOKUP(C271,Data[],2,FALSE)</f>
        <v>MANHATTAN</v>
      </c>
      <c r="B271" s="1"/>
      <c r="C271" s="1" t="s">
        <v>127</v>
      </c>
      <c r="D271" s="1" t="str">
        <f>VLOOKUP(Table1[[#This Row],[DEVELOPMENT]],Data[],MATCH(Table1[[#Headers],[NRR]],Data[#Headers],0),FALSE)</f>
        <v>Zone 2</v>
      </c>
      <c r="E271" s="1" t="str">
        <f>VLOOKUP(Table1[[#This Row],[DEVELOPMENT]],Data[],MATCH(Table1[[#Headers],[Priority Level]],Data[#Headers],0),FALSE)</f>
        <v>$</v>
      </c>
      <c r="F271" s="1" t="str">
        <f>VLOOKUP(Table1[[#This Row],[DEVELOPMENT]],Data[],MATCH(Table1[[#Headers],[RAD/PACT]],Data[#Headers],0),FALSE)</f>
        <v/>
      </c>
      <c r="G271" s="9" t="s">
        <v>27</v>
      </c>
      <c r="H271" s="7"/>
      <c r="I271" s="8"/>
      <c r="J271" s="8"/>
      <c r="K271" s="3"/>
      <c r="L271" s="93"/>
      <c r="M271" s="90"/>
      <c r="N271" s="90"/>
      <c r="O271" s="2"/>
      <c r="P271" s="2"/>
      <c r="Q271" s="11"/>
      <c r="R27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71" s="9"/>
      <c r="T271" s="16"/>
    </row>
    <row r="272" spans="1:20" x14ac:dyDescent="0.25">
      <c r="A272" s="13" t="str">
        <f>VLOOKUP(C272,Data[],2,FALSE)</f>
        <v>MANHATTAN</v>
      </c>
      <c r="B272" s="1"/>
      <c r="C272" s="1" t="s">
        <v>137</v>
      </c>
      <c r="D272" s="1" t="str">
        <f>VLOOKUP(Table1[[#This Row],[DEVELOPMENT]],Data[],MATCH(Table1[[#Headers],[NRR]],Data[#Headers],0),FALSE)</f>
        <v>Zone 2</v>
      </c>
      <c r="E272" s="1" t="str">
        <f>VLOOKUP(Table1[[#This Row],[DEVELOPMENT]],Data[],MATCH(Table1[[#Headers],[Priority Level]],Data[#Headers],0),FALSE)</f>
        <v>$$$</v>
      </c>
      <c r="F272" s="1">
        <f>VLOOKUP(Table1[[#This Row],[DEVELOPMENT]],Data[],MATCH(Table1[[#Headers],[RAD/PACT]],Data[#Headers],0),FALSE)</f>
        <v>2023</v>
      </c>
      <c r="G272" s="9" t="s">
        <v>27</v>
      </c>
      <c r="H272" s="7"/>
      <c r="I272" s="8"/>
      <c r="J272" s="8"/>
      <c r="K272" s="3"/>
      <c r="L272" s="93"/>
      <c r="M272" s="90"/>
      <c r="N272" s="90"/>
      <c r="O272" s="2"/>
      <c r="P272" s="2"/>
      <c r="Q272" s="11"/>
      <c r="R27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72" s="9"/>
      <c r="T272" s="16"/>
    </row>
    <row r="273" spans="1:20" x14ac:dyDescent="0.25">
      <c r="A273" s="13" t="str">
        <f>VLOOKUP(C273,Data[],2,FALSE)</f>
        <v>MANHATTAN</v>
      </c>
      <c r="B273" s="1"/>
      <c r="C273" s="1" t="s">
        <v>102</v>
      </c>
      <c r="D273" s="1" t="str">
        <f>VLOOKUP(Table1[[#This Row],[DEVELOPMENT]],Data[],MATCH(Table1[[#Headers],[NRR]],Data[#Headers],0),FALSE)</f>
        <v>Zone 2</v>
      </c>
      <c r="E273" s="1" t="str">
        <f>VLOOKUP(Table1[[#This Row],[DEVELOPMENT]],Data[],MATCH(Table1[[#Headers],[Priority Level]],Data[#Headers],0),FALSE)</f>
        <v>$</v>
      </c>
      <c r="F273" s="1" t="str">
        <f>VLOOKUP(Table1[[#This Row],[DEVELOPMENT]],Data[],MATCH(Table1[[#Headers],[RAD/PACT]],Data[#Headers],0),FALSE)</f>
        <v/>
      </c>
      <c r="G273" s="9" t="s">
        <v>27</v>
      </c>
      <c r="H273" s="7"/>
      <c r="I273" s="8"/>
      <c r="J273" s="8"/>
      <c r="K273" s="3"/>
      <c r="L273" s="93"/>
      <c r="M273" s="90"/>
      <c r="N273" s="90"/>
      <c r="O273" s="2"/>
      <c r="P273" s="2"/>
      <c r="Q273" s="11"/>
      <c r="R27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73" s="9"/>
      <c r="T273" s="16"/>
    </row>
    <row r="274" spans="1:20" x14ac:dyDescent="0.25">
      <c r="A274" s="13" t="str">
        <f>VLOOKUP(C274,Data[],2,FALSE)</f>
        <v>MANHATTAN</v>
      </c>
      <c r="B274" s="1"/>
      <c r="C274" s="1" t="s">
        <v>116</v>
      </c>
      <c r="D274" s="1" t="str">
        <f>VLOOKUP(Table1[[#This Row],[DEVELOPMENT]],Data[],MATCH(Table1[[#Headers],[NRR]],Data[#Headers],0),FALSE)</f>
        <v>Zone 2</v>
      </c>
      <c r="E274" s="1" t="str">
        <f>VLOOKUP(Table1[[#This Row],[DEVELOPMENT]],Data[],MATCH(Table1[[#Headers],[Priority Level]],Data[#Headers],0),FALSE)</f>
        <v>$</v>
      </c>
      <c r="F274" s="1" t="str">
        <f>VLOOKUP(Table1[[#This Row],[DEVELOPMENT]],Data[],MATCH(Table1[[#Headers],[RAD/PACT]],Data[#Headers],0),FALSE)</f>
        <v/>
      </c>
      <c r="G274" s="9" t="s">
        <v>27</v>
      </c>
      <c r="H274" s="7"/>
      <c r="I274" s="8"/>
      <c r="J274" s="8"/>
      <c r="K274" s="3"/>
      <c r="L274" s="93"/>
      <c r="M274" s="90"/>
      <c r="N274" s="90"/>
      <c r="O274" s="2"/>
      <c r="P274" s="2"/>
      <c r="Q274" s="11"/>
      <c r="R27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74" s="9"/>
      <c r="T274" s="16"/>
    </row>
    <row r="275" spans="1:20" x14ac:dyDescent="0.25">
      <c r="A275" s="13" t="str">
        <f>VLOOKUP(C275,Data[],2,FALSE)</f>
        <v>MANHATTAN</v>
      </c>
      <c r="B275" s="1"/>
      <c r="C275" s="1" t="s">
        <v>120</v>
      </c>
      <c r="D275" s="1" t="str">
        <f>VLOOKUP(Table1[[#This Row],[DEVELOPMENT]],Data[],MATCH(Table1[[#Headers],[NRR]],Data[#Headers],0),FALSE)</f>
        <v>Zone 2</v>
      </c>
      <c r="E275" s="1" t="str">
        <f>VLOOKUP(Table1[[#This Row],[DEVELOPMENT]],Data[],MATCH(Table1[[#Headers],[Priority Level]],Data[#Headers],0),FALSE)</f>
        <v>$$</v>
      </c>
      <c r="F275" s="1" t="str">
        <f>VLOOKUP(Table1[[#This Row],[DEVELOPMENT]],Data[],MATCH(Table1[[#Headers],[RAD/PACT]],Data[#Headers],0),FALSE)</f>
        <v/>
      </c>
      <c r="G275" s="1" t="s">
        <v>150</v>
      </c>
      <c r="H275" s="7"/>
      <c r="I275" s="8"/>
      <c r="J275" s="8"/>
      <c r="K275" s="3"/>
      <c r="L275" s="93"/>
      <c r="M275" s="90"/>
      <c r="N275" s="90"/>
      <c r="O275" s="2"/>
      <c r="P275" s="2"/>
      <c r="Q275" s="11"/>
      <c r="R27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75" s="9"/>
      <c r="T275" s="16"/>
    </row>
    <row r="276" spans="1:20" x14ac:dyDescent="0.25">
      <c r="A276" s="13" t="str">
        <f>VLOOKUP(C276,Data[],2,FALSE)</f>
        <v>MANHATTAN</v>
      </c>
      <c r="B276" s="1"/>
      <c r="C276" s="1" t="s">
        <v>129</v>
      </c>
      <c r="D276" s="1" t="str">
        <f>VLOOKUP(Table1[[#This Row],[DEVELOPMENT]],Data[],MATCH(Table1[[#Headers],[NRR]],Data[#Headers],0),FALSE)</f>
        <v>Zone 2</v>
      </c>
      <c r="E276" s="1" t="str">
        <f>VLOOKUP(Table1[[#This Row],[DEVELOPMENT]],Data[],MATCH(Table1[[#Headers],[Priority Level]],Data[#Headers],0),FALSE)</f>
        <v>$$$$</v>
      </c>
      <c r="F276" s="1" t="str">
        <f>VLOOKUP(Table1[[#This Row],[DEVELOPMENT]],Data[],MATCH(Table1[[#Headers],[RAD/PACT]],Data[#Headers],0),FALSE)</f>
        <v/>
      </c>
      <c r="G276" s="1" t="s">
        <v>150</v>
      </c>
      <c r="H276" s="7"/>
      <c r="I276" s="8"/>
      <c r="J276" s="8"/>
      <c r="K276" s="3"/>
      <c r="L276" s="93"/>
      <c r="M276" s="90"/>
      <c r="N276" s="90"/>
      <c r="O276" s="2"/>
      <c r="P276" s="2"/>
      <c r="Q276" s="11"/>
      <c r="R27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76" s="9"/>
      <c r="T276" s="16"/>
    </row>
    <row r="277" spans="1:20" x14ac:dyDescent="0.25">
      <c r="A277" s="13" t="str">
        <f>VLOOKUP(C277,Data[],2,FALSE)</f>
        <v>MANHATTAN</v>
      </c>
      <c r="B277" s="1"/>
      <c r="C277" s="1" t="s">
        <v>77</v>
      </c>
      <c r="D277" s="1" t="str">
        <f>VLOOKUP(Table1[[#This Row],[DEVELOPMENT]],Data[],MATCH(Table1[[#Headers],[NRR]],Data[#Headers],0),FALSE)</f>
        <v>Zone 2</v>
      </c>
      <c r="E277" s="1" t="str">
        <f>VLOOKUP(Table1[[#This Row],[DEVELOPMENT]],Data[],MATCH(Table1[[#Headers],[Priority Level]],Data[#Headers],0),FALSE)</f>
        <v>$</v>
      </c>
      <c r="F277" s="1" t="str">
        <f>VLOOKUP(Table1[[#This Row],[DEVELOPMENT]],Data[],MATCH(Table1[[#Headers],[RAD/PACT]],Data[#Headers],0),FALSE)</f>
        <v/>
      </c>
      <c r="G277" s="1" t="s">
        <v>150</v>
      </c>
      <c r="H277" s="7"/>
      <c r="I277" s="8"/>
      <c r="J277" s="8"/>
      <c r="K277" s="3"/>
      <c r="L277" s="93"/>
      <c r="M277" s="90"/>
      <c r="N277" s="90"/>
      <c r="O277" s="2"/>
      <c r="P277" s="2"/>
      <c r="Q277" s="11"/>
      <c r="R27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77" s="9"/>
      <c r="T277" s="16"/>
    </row>
    <row r="278" spans="1:20" x14ac:dyDescent="0.25">
      <c r="A278" s="13" t="str">
        <f>VLOOKUP(C278,Data[],2,FALSE)</f>
        <v>MANHATTAN</v>
      </c>
      <c r="B278" s="1"/>
      <c r="C278" s="1" t="s">
        <v>78</v>
      </c>
      <c r="D278" s="1" t="str">
        <f>VLOOKUP(Table1[[#This Row],[DEVELOPMENT]],Data[],MATCH(Table1[[#Headers],[NRR]],Data[#Headers],0),FALSE)</f>
        <v>Zone 2</v>
      </c>
      <c r="E278" s="1" t="str">
        <f>VLOOKUP(Table1[[#This Row],[DEVELOPMENT]],Data[],MATCH(Table1[[#Headers],[Priority Level]],Data[#Headers],0),FALSE)</f>
        <v>$</v>
      </c>
      <c r="F278" s="1">
        <f>VLOOKUP(Table1[[#This Row],[DEVELOPMENT]],Data[],MATCH(Table1[[#Headers],[RAD/PACT]],Data[#Headers],0),FALSE)</f>
        <v>2024</v>
      </c>
      <c r="G278" s="1" t="s">
        <v>150</v>
      </c>
      <c r="H278" s="7"/>
      <c r="I278" s="8"/>
      <c r="J278" s="8"/>
      <c r="K278" s="3"/>
      <c r="L278" s="93"/>
      <c r="M278" s="90"/>
      <c r="N278" s="90"/>
      <c r="O278" s="2"/>
      <c r="P278" s="2"/>
      <c r="Q278" s="11"/>
      <c r="R27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78" s="9"/>
      <c r="T278" s="16"/>
    </row>
    <row r="279" spans="1:20" x14ac:dyDescent="0.25">
      <c r="A279" s="13" t="str">
        <f>VLOOKUP(C279,Data[],2,FALSE)</f>
        <v>MANHATTAN</v>
      </c>
      <c r="B279" s="1"/>
      <c r="C279" s="1" t="s">
        <v>81</v>
      </c>
      <c r="D279" s="1" t="str">
        <f>VLOOKUP(Table1[[#This Row],[DEVELOPMENT]],Data[],MATCH(Table1[[#Headers],[NRR]],Data[#Headers],0),FALSE)</f>
        <v>Zone 2</v>
      </c>
      <c r="E279" s="1" t="str">
        <f>VLOOKUP(Table1[[#This Row],[DEVELOPMENT]],Data[],MATCH(Table1[[#Headers],[Priority Level]],Data[#Headers],0),FALSE)</f>
        <v>$$$$</v>
      </c>
      <c r="F279" s="1" t="str">
        <f>VLOOKUP(Table1[[#This Row],[DEVELOPMENT]],Data[],MATCH(Table1[[#Headers],[RAD/PACT]],Data[#Headers],0),FALSE)</f>
        <v/>
      </c>
      <c r="G279" s="1" t="s">
        <v>150</v>
      </c>
      <c r="H279" s="7"/>
      <c r="I279" s="8"/>
      <c r="J279" s="8"/>
      <c r="K279" s="3"/>
      <c r="L279" s="93"/>
      <c r="M279" s="90"/>
      <c r="N279" s="90"/>
      <c r="O279" s="2"/>
      <c r="P279" s="2"/>
      <c r="Q279" s="11"/>
      <c r="R27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79" s="9"/>
      <c r="T279" s="16"/>
    </row>
    <row r="280" spans="1:20" x14ac:dyDescent="0.25">
      <c r="A280" s="13" t="str">
        <f>VLOOKUP(C280,Data[],2,FALSE)</f>
        <v>MANHATTAN</v>
      </c>
      <c r="B280" s="1"/>
      <c r="C280" s="1" t="s">
        <v>112</v>
      </c>
      <c r="D280" s="1" t="str">
        <f>VLOOKUP(Table1[[#This Row],[DEVELOPMENT]],Data[],MATCH(Table1[[#Headers],[NRR]],Data[#Headers],0),FALSE)</f>
        <v>Zone 2</v>
      </c>
      <c r="E280" s="1" t="str">
        <f>VLOOKUP(Table1[[#This Row],[DEVELOPMENT]],Data[],MATCH(Table1[[#Headers],[Priority Level]],Data[#Headers],0),FALSE)</f>
        <v>$$</v>
      </c>
      <c r="F280" s="1">
        <f>VLOOKUP(Table1[[#This Row],[DEVELOPMENT]],Data[],MATCH(Table1[[#Headers],[RAD/PACT]],Data[#Headers],0),FALSE)</f>
        <v>2026</v>
      </c>
      <c r="G280" s="1" t="s">
        <v>150</v>
      </c>
      <c r="H280" s="7"/>
      <c r="I280" s="8"/>
      <c r="J280" s="8"/>
      <c r="K280" s="3"/>
      <c r="L280" s="93"/>
      <c r="M280" s="90"/>
      <c r="N280" s="90"/>
      <c r="O280" s="2"/>
      <c r="P280" s="2"/>
      <c r="Q280" s="11"/>
      <c r="R28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0" s="9"/>
      <c r="T280" s="16"/>
    </row>
    <row r="281" spans="1:20" x14ac:dyDescent="0.25">
      <c r="A281" s="13" t="str">
        <f>VLOOKUP(C281,Data[],2,FALSE)</f>
        <v>MANHATTAN</v>
      </c>
      <c r="B281" s="1"/>
      <c r="C281" s="1" t="s">
        <v>83</v>
      </c>
      <c r="D281" s="1" t="str">
        <f>VLOOKUP(Table1[[#This Row],[DEVELOPMENT]],Data[],MATCH(Table1[[#Headers],[NRR]],Data[#Headers],0),FALSE)</f>
        <v>Zone 2</v>
      </c>
      <c r="E281" s="1" t="str">
        <f>VLOOKUP(Table1[[#This Row],[DEVELOPMENT]],Data[],MATCH(Table1[[#Headers],[Priority Level]],Data[#Headers],0),FALSE)</f>
        <v>$$$</v>
      </c>
      <c r="F281" s="1">
        <f>VLOOKUP(Table1[[#This Row],[DEVELOPMENT]],Data[],MATCH(Table1[[#Headers],[RAD/PACT]],Data[#Headers],0),FALSE)</f>
        <v>2028</v>
      </c>
      <c r="G281" s="1" t="s">
        <v>150</v>
      </c>
      <c r="H281" s="7"/>
      <c r="I281" s="8"/>
      <c r="J281" s="8"/>
      <c r="K281" s="3"/>
      <c r="L281" s="93"/>
      <c r="M281" s="90"/>
      <c r="N281" s="90"/>
      <c r="O281" s="2"/>
      <c r="P281" s="2"/>
      <c r="Q281" s="11"/>
      <c r="R28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1" s="9"/>
      <c r="T281" s="16"/>
    </row>
    <row r="282" spans="1:20" x14ac:dyDescent="0.25">
      <c r="A282" s="13" t="str">
        <f>VLOOKUP(C282,Data[],2,FALSE)</f>
        <v>MANHATTAN</v>
      </c>
      <c r="B282" s="1"/>
      <c r="C282" s="1" t="s">
        <v>131</v>
      </c>
      <c r="D282" s="1" t="str">
        <f>VLOOKUP(Table1[[#This Row],[DEVELOPMENT]],Data[],MATCH(Table1[[#Headers],[NRR]],Data[#Headers],0),FALSE)</f>
        <v>Zone 2</v>
      </c>
      <c r="E282" s="1" t="str">
        <f>VLOOKUP(Table1[[#This Row],[DEVELOPMENT]],Data[],MATCH(Table1[[#Headers],[Priority Level]],Data[#Headers],0),FALSE)</f>
        <v>$$$</v>
      </c>
      <c r="F282" s="1" t="str">
        <f>VLOOKUP(Table1[[#This Row],[DEVELOPMENT]],Data[],MATCH(Table1[[#Headers],[RAD/PACT]],Data[#Headers],0),FALSE)</f>
        <v/>
      </c>
      <c r="G282" s="1" t="s">
        <v>150</v>
      </c>
      <c r="H282" s="7"/>
      <c r="I282" s="8"/>
      <c r="J282" s="8"/>
      <c r="K282" s="3"/>
      <c r="L282" s="93"/>
      <c r="M282" s="90"/>
      <c r="N282" s="90"/>
      <c r="O282" s="2"/>
      <c r="P282" s="2"/>
      <c r="Q282" s="11"/>
      <c r="R28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2" s="9"/>
      <c r="T282" s="16"/>
    </row>
    <row r="283" spans="1:20" x14ac:dyDescent="0.25">
      <c r="A283" s="13" t="str">
        <f>VLOOKUP(C283,Data[],2,FALSE)</f>
        <v>MANHATTAN</v>
      </c>
      <c r="B283" s="1"/>
      <c r="C283" s="1" t="s">
        <v>113</v>
      </c>
      <c r="D283" s="1" t="str">
        <f>VLOOKUP(Table1[[#This Row],[DEVELOPMENT]],Data[],MATCH(Table1[[#Headers],[NRR]],Data[#Headers],0),FALSE)</f>
        <v>Zone 2</v>
      </c>
      <c r="E283" s="1" t="str">
        <f>VLOOKUP(Table1[[#This Row],[DEVELOPMENT]],Data[],MATCH(Table1[[#Headers],[Priority Level]],Data[#Headers],0),FALSE)</f>
        <v>$$$$</v>
      </c>
      <c r="F283" s="1" t="str">
        <f>VLOOKUP(Table1[[#This Row],[DEVELOPMENT]],Data[],MATCH(Table1[[#Headers],[RAD/PACT]],Data[#Headers],0),FALSE)</f>
        <v/>
      </c>
      <c r="G283" s="1" t="s">
        <v>150</v>
      </c>
      <c r="H283" s="7"/>
      <c r="I283" s="8"/>
      <c r="J283" s="8"/>
      <c r="K283" s="3"/>
      <c r="L283" s="93"/>
      <c r="M283" s="90"/>
      <c r="N283" s="90"/>
      <c r="O283" s="2"/>
      <c r="P283" s="2"/>
      <c r="Q283" s="11"/>
      <c r="R28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3" s="9"/>
      <c r="T283" s="16"/>
    </row>
    <row r="284" spans="1:20" x14ac:dyDescent="0.25">
      <c r="A284" s="13" t="str">
        <f>VLOOKUP(C284,Data[],2,FALSE)</f>
        <v>MANHATTAN</v>
      </c>
      <c r="B284" s="1"/>
      <c r="C284" s="1" t="s">
        <v>122</v>
      </c>
      <c r="D284" s="1" t="str">
        <f>VLOOKUP(Table1[[#This Row],[DEVELOPMENT]],Data[],MATCH(Table1[[#Headers],[NRR]],Data[#Headers],0),FALSE)</f>
        <v>Zone 2</v>
      </c>
      <c r="E284" s="1" t="str">
        <f>VLOOKUP(Table1[[#This Row],[DEVELOPMENT]],Data[],MATCH(Table1[[#Headers],[Priority Level]],Data[#Headers],0),FALSE)</f>
        <v>$</v>
      </c>
      <c r="F284" s="1">
        <f>VLOOKUP(Table1[[#This Row],[DEVELOPMENT]],Data[],MATCH(Table1[[#Headers],[RAD/PACT]],Data[#Headers],0),FALSE)</f>
        <v>2028</v>
      </c>
      <c r="G284" s="1" t="s">
        <v>150</v>
      </c>
      <c r="H284" s="7"/>
      <c r="I284" s="8"/>
      <c r="J284" s="8"/>
      <c r="K284" s="3"/>
      <c r="L284" s="93"/>
      <c r="M284" s="90"/>
      <c r="N284" s="90"/>
      <c r="O284" s="2"/>
      <c r="P284" s="2"/>
      <c r="Q284" s="11"/>
      <c r="R28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4" s="9"/>
      <c r="T284" s="16"/>
    </row>
    <row r="285" spans="1:20" x14ac:dyDescent="0.25">
      <c r="A285" s="13" t="str">
        <f>VLOOKUP(C285,Data[],2,FALSE)</f>
        <v>MANHATTAN</v>
      </c>
      <c r="B285" s="1"/>
      <c r="C285" s="1" t="s">
        <v>90</v>
      </c>
      <c r="D285" s="1" t="str">
        <f>VLOOKUP(Table1[[#This Row],[DEVELOPMENT]],Data[],MATCH(Table1[[#Headers],[NRR]],Data[#Headers],0),FALSE)</f>
        <v>Zone 2</v>
      </c>
      <c r="E285" s="1" t="str">
        <f>VLOOKUP(Table1[[#This Row],[DEVELOPMENT]],Data[],MATCH(Table1[[#Headers],[Priority Level]],Data[#Headers],0),FALSE)</f>
        <v>$</v>
      </c>
      <c r="F285" s="1" t="str">
        <f>VLOOKUP(Table1[[#This Row],[DEVELOPMENT]],Data[],MATCH(Table1[[#Headers],[RAD/PACT]],Data[#Headers],0),FALSE)</f>
        <v/>
      </c>
      <c r="G285" s="1" t="s">
        <v>150</v>
      </c>
      <c r="H285" s="7"/>
      <c r="I285" s="8"/>
      <c r="J285" s="8"/>
      <c r="K285" s="3"/>
      <c r="L285" s="93"/>
      <c r="M285" s="90"/>
      <c r="N285" s="90"/>
      <c r="O285" s="2"/>
      <c r="P285" s="2"/>
      <c r="Q285" s="11"/>
      <c r="R28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5" s="9"/>
      <c r="T285" s="16"/>
    </row>
    <row r="286" spans="1:20" x14ac:dyDescent="0.25">
      <c r="A286" s="13" t="str">
        <f>VLOOKUP(C286,Data[],2,FALSE)</f>
        <v>MANHATTAN</v>
      </c>
      <c r="B286" s="1"/>
      <c r="C286" s="1" t="s">
        <v>133</v>
      </c>
      <c r="D286" s="1" t="str">
        <f>VLOOKUP(Table1[[#This Row],[DEVELOPMENT]],Data[],MATCH(Table1[[#Headers],[NRR]],Data[#Headers],0),FALSE)</f>
        <v>Zone 2</v>
      </c>
      <c r="E286" s="1" t="str">
        <f>VLOOKUP(Table1[[#This Row],[DEVELOPMENT]],Data[],MATCH(Table1[[#Headers],[Priority Level]],Data[#Headers],0),FALSE)</f>
        <v>$</v>
      </c>
      <c r="F286" s="1" t="str">
        <f>VLOOKUP(Table1[[#This Row],[DEVELOPMENT]],Data[],MATCH(Table1[[#Headers],[RAD/PACT]],Data[#Headers],0),FALSE)</f>
        <v/>
      </c>
      <c r="G286" s="1" t="s">
        <v>150</v>
      </c>
      <c r="H286" s="7"/>
      <c r="I286" s="8"/>
      <c r="J286" s="8"/>
      <c r="K286" s="3"/>
      <c r="L286" s="93"/>
      <c r="M286" s="90"/>
      <c r="N286" s="90"/>
      <c r="O286" s="2"/>
      <c r="P286" s="2"/>
      <c r="Q286" s="11"/>
      <c r="R28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6" s="9"/>
      <c r="T286" s="16"/>
    </row>
    <row r="287" spans="1:20" x14ac:dyDescent="0.25">
      <c r="A287" s="13" t="str">
        <f>VLOOKUP(C287,Data[],2,FALSE)</f>
        <v>MANHATTAN</v>
      </c>
      <c r="B287" s="1"/>
      <c r="C287" s="1" t="s">
        <v>115</v>
      </c>
      <c r="D287" s="1" t="str">
        <f>VLOOKUP(Table1[[#This Row],[DEVELOPMENT]],Data[],MATCH(Table1[[#Headers],[NRR]],Data[#Headers],0),FALSE)</f>
        <v>Zone 2</v>
      </c>
      <c r="E287" s="1" t="str">
        <f>VLOOKUP(Table1[[#This Row],[DEVELOPMENT]],Data[],MATCH(Table1[[#Headers],[Priority Level]],Data[#Headers],0),FALSE)</f>
        <v>$</v>
      </c>
      <c r="F287" s="1" t="str">
        <f>VLOOKUP(Table1[[#This Row],[DEVELOPMENT]],Data[],MATCH(Table1[[#Headers],[RAD/PACT]],Data[#Headers],0),FALSE)</f>
        <v/>
      </c>
      <c r="G287" s="1" t="s">
        <v>150</v>
      </c>
      <c r="H287" s="7"/>
      <c r="I287" s="8"/>
      <c r="J287" s="8"/>
      <c r="K287" s="3"/>
      <c r="L287" s="93"/>
      <c r="M287" s="90"/>
      <c r="N287" s="90"/>
      <c r="O287" s="2"/>
      <c r="P287" s="2"/>
      <c r="Q287" s="11"/>
      <c r="R28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7" s="9"/>
      <c r="T287" s="16"/>
    </row>
    <row r="288" spans="1:20" x14ac:dyDescent="0.25">
      <c r="A288" s="13" t="str">
        <f>VLOOKUP(C288,Data[],2,FALSE)</f>
        <v>MANHATTAN</v>
      </c>
      <c r="B288" s="1"/>
      <c r="C288" s="1" t="s">
        <v>136</v>
      </c>
      <c r="D288" s="1" t="str">
        <f>VLOOKUP(Table1[[#This Row],[DEVELOPMENT]],Data[],MATCH(Table1[[#Headers],[NRR]],Data[#Headers],0),FALSE)</f>
        <v>Zone 2</v>
      </c>
      <c r="E288" s="1" t="str">
        <f>VLOOKUP(Table1[[#This Row],[DEVELOPMENT]],Data[],MATCH(Table1[[#Headers],[Priority Level]],Data[#Headers],0),FALSE)</f>
        <v>$</v>
      </c>
      <c r="F288" s="1" t="str">
        <f>VLOOKUP(Table1[[#This Row],[DEVELOPMENT]],Data[],MATCH(Table1[[#Headers],[RAD/PACT]],Data[#Headers],0),FALSE)</f>
        <v/>
      </c>
      <c r="G288" s="1" t="s">
        <v>150</v>
      </c>
      <c r="H288" s="7"/>
      <c r="I288" s="8"/>
      <c r="J288" s="8"/>
      <c r="K288" s="3"/>
      <c r="L288" s="93"/>
      <c r="M288" s="90"/>
      <c r="N288" s="90"/>
      <c r="O288" s="2"/>
      <c r="P288" s="2"/>
      <c r="Q288" s="11"/>
      <c r="R28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8" s="9"/>
      <c r="T288" s="16"/>
    </row>
    <row r="289" spans="1:20" x14ac:dyDescent="0.25">
      <c r="A289" s="13" t="str">
        <f>VLOOKUP(C289,Data[],2,FALSE)</f>
        <v>MANHATTAN</v>
      </c>
      <c r="B289" s="1"/>
      <c r="C289" s="1" t="s">
        <v>128</v>
      </c>
      <c r="D289" s="1" t="str">
        <f>VLOOKUP(Table1[[#This Row],[DEVELOPMENT]],Data[],MATCH(Table1[[#Headers],[NRR]],Data[#Headers],0),FALSE)</f>
        <v>Zone 2</v>
      </c>
      <c r="E289" s="1" t="str">
        <f>VLOOKUP(Table1[[#This Row],[DEVELOPMENT]],Data[],MATCH(Table1[[#Headers],[Priority Level]],Data[#Headers],0),FALSE)</f>
        <v>$$$</v>
      </c>
      <c r="F289" s="1" t="str">
        <f>VLOOKUP(Table1[[#This Row],[DEVELOPMENT]],Data[],MATCH(Table1[[#Headers],[RAD/PACT]],Data[#Headers],0),FALSE)</f>
        <v/>
      </c>
      <c r="G289" s="1" t="s">
        <v>150</v>
      </c>
      <c r="H289" s="7"/>
      <c r="I289" s="8"/>
      <c r="J289" s="8"/>
      <c r="K289" s="3"/>
      <c r="L289" s="93"/>
      <c r="M289" s="90"/>
      <c r="N289" s="90"/>
      <c r="O289" s="2"/>
      <c r="P289" s="2"/>
      <c r="Q289" s="11"/>
      <c r="R28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89" s="9"/>
      <c r="T289" s="16"/>
    </row>
    <row r="290" spans="1:20" x14ac:dyDescent="0.25">
      <c r="A290" s="13" t="str">
        <f>VLOOKUP(C290,Data[],2,FALSE)</f>
        <v>MANHATTAN</v>
      </c>
      <c r="B290" s="1"/>
      <c r="C290" s="1" t="s">
        <v>127</v>
      </c>
      <c r="D290" s="1" t="str">
        <f>VLOOKUP(Table1[[#This Row],[DEVELOPMENT]],Data[],MATCH(Table1[[#Headers],[NRR]],Data[#Headers],0),FALSE)</f>
        <v>Zone 2</v>
      </c>
      <c r="E290" s="1" t="str">
        <f>VLOOKUP(Table1[[#This Row],[DEVELOPMENT]],Data[],MATCH(Table1[[#Headers],[Priority Level]],Data[#Headers],0),FALSE)</f>
        <v>$</v>
      </c>
      <c r="F290" s="1" t="str">
        <f>VLOOKUP(Table1[[#This Row],[DEVELOPMENT]],Data[],MATCH(Table1[[#Headers],[RAD/PACT]],Data[#Headers],0),FALSE)</f>
        <v/>
      </c>
      <c r="G290" s="1" t="s">
        <v>150</v>
      </c>
      <c r="H290" s="7"/>
      <c r="I290" s="8"/>
      <c r="J290" s="8"/>
      <c r="K290" s="3"/>
      <c r="L290" s="93"/>
      <c r="M290" s="90"/>
      <c r="N290" s="90"/>
      <c r="O290" s="2"/>
      <c r="P290" s="2"/>
      <c r="Q290" s="11"/>
      <c r="R29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13656</v>
      </c>
      <c r="S290" s="9"/>
      <c r="T290" s="16"/>
    </row>
    <row r="291" spans="1:20" x14ac:dyDescent="0.25">
      <c r="A291" s="13" t="str">
        <f>VLOOKUP(C291,Data[],2,FALSE)</f>
        <v>MANHATTAN</v>
      </c>
      <c r="B291" s="1"/>
      <c r="C291" s="1" t="s">
        <v>120</v>
      </c>
      <c r="D291" s="1" t="str">
        <f>VLOOKUP(Table1[[#This Row],[DEVELOPMENT]],Data[],MATCH(Table1[[#Headers],[NRR]],Data[#Headers],0),FALSE)</f>
        <v>Zone 2</v>
      </c>
      <c r="E291" s="1" t="str">
        <f>VLOOKUP(Table1[[#This Row],[DEVELOPMENT]],Data[],MATCH(Table1[[#Headers],[Priority Level]],Data[#Headers],0),FALSE)</f>
        <v>$$</v>
      </c>
      <c r="F291" s="1" t="str">
        <f>VLOOKUP(Table1[[#This Row],[DEVELOPMENT]],Data[],MATCH(Table1[[#Headers],[RAD/PACT]],Data[#Headers],0),FALSE)</f>
        <v/>
      </c>
      <c r="G291" s="9" t="s">
        <v>151</v>
      </c>
      <c r="H291" s="7"/>
      <c r="I291" s="8"/>
      <c r="J291" s="8"/>
      <c r="K291" s="3"/>
      <c r="L291" s="93"/>
      <c r="M291" s="90"/>
      <c r="N291" s="90"/>
      <c r="O291" s="2"/>
      <c r="P291" s="2"/>
      <c r="Q291" s="11"/>
      <c r="R29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291" s="9"/>
      <c r="T291" s="16"/>
    </row>
    <row r="292" spans="1:20" x14ac:dyDescent="0.25">
      <c r="A292" s="13" t="str">
        <f>VLOOKUP(C292,Data[],2,FALSE)</f>
        <v>MANHATTAN</v>
      </c>
      <c r="B292" s="1"/>
      <c r="C292" s="1" t="s">
        <v>78</v>
      </c>
      <c r="D292" s="1" t="str">
        <f>VLOOKUP(Table1[[#This Row],[DEVELOPMENT]],Data[],MATCH(Table1[[#Headers],[NRR]],Data[#Headers],0),FALSE)</f>
        <v>Zone 2</v>
      </c>
      <c r="E292" s="1" t="str">
        <f>VLOOKUP(Table1[[#This Row],[DEVELOPMENT]],Data[],MATCH(Table1[[#Headers],[Priority Level]],Data[#Headers],0),FALSE)</f>
        <v>$</v>
      </c>
      <c r="F292" s="1">
        <f>VLOOKUP(Table1[[#This Row],[DEVELOPMENT]],Data[],MATCH(Table1[[#Headers],[RAD/PACT]],Data[#Headers],0),FALSE)</f>
        <v>2024</v>
      </c>
      <c r="G292" s="9" t="s">
        <v>151</v>
      </c>
      <c r="H292" s="7"/>
      <c r="I292" s="8"/>
      <c r="J292" s="8"/>
      <c r="K292" s="3"/>
      <c r="L292" s="93"/>
      <c r="M292" s="90"/>
      <c r="N292" s="90"/>
      <c r="O292" s="2"/>
      <c r="P292" s="2"/>
      <c r="Q292" s="11"/>
      <c r="R29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292" s="9"/>
      <c r="T292" s="16"/>
    </row>
    <row r="293" spans="1:20" x14ac:dyDescent="0.25">
      <c r="A293" s="13" t="str">
        <f>VLOOKUP(C293,Data[],2,FALSE)</f>
        <v>MANHATTAN</v>
      </c>
      <c r="B293" s="1"/>
      <c r="C293" s="1" t="s">
        <v>81</v>
      </c>
      <c r="D293" s="1" t="str">
        <f>VLOOKUP(Table1[[#This Row],[DEVELOPMENT]],Data[],MATCH(Table1[[#Headers],[NRR]],Data[#Headers],0),FALSE)</f>
        <v>Zone 2</v>
      </c>
      <c r="E293" s="1" t="str">
        <f>VLOOKUP(Table1[[#This Row],[DEVELOPMENT]],Data[],MATCH(Table1[[#Headers],[Priority Level]],Data[#Headers],0),FALSE)</f>
        <v>$$$$</v>
      </c>
      <c r="F293" s="1" t="str">
        <f>VLOOKUP(Table1[[#This Row],[DEVELOPMENT]],Data[],MATCH(Table1[[#Headers],[RAD/PACT]],Data[#Headers],0),FALSE)</f>
        <v/>
      </c>
      <c r="G293" s="9" t="s">
        <v>151</v>
      </c>
      <c r="H293" s="7"/>
      <c r="I293" s="8"/>
      <c r="J293" s="8"/>
      <c r="K293" s="3"/>
      <c r="L293" s="93"/>
      <c r="M293" s="90"/>
      <c r="N293" s="90"/>
      <c r="O293" s="2"/>
      <c r="P293" s="2"/>
      <c r="Q293" s="11"/>
      <c r="R293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293" s="9"/>
      <c r="T293" s="16"/>
    </row>
    <row r="294" spans="1:20" x14ac:dyDescent="0.25">
      <c r="A294" s="13" t="str">
        <f>VLOOKUP(C294,Data[],2,FALSE)</f>
        <v>MANHATTAN</v>
      </c>
      <c r="B294" s="1"/>
      <c r="C294" s="1" t="s">
        <v>112</v>
      </c>
      <c r="D294" s="1" t="str">
        <f>VLOOKUP(Table1[[#This Row],[DEVELOPMENT]],Data[],MATCH(Table1[[#Headers],[NRR]],Data[#Headers],0),FALSE)</f>
        <v>Zone 2</v>
      </c>
      <c r="E294" s="1" t="str">
        <f>VLOOKUP(Table1[[#This Row],[DEVELOPMENT]],Data[],MATCH(Table1[[#Headers],[Priority Level]],Data[#Headers],0),FALSE)</f>
        <v>$$</v>
      </c>
      <c r="F294" s="1">
        <f>VLOOKUP(Table1[[#This Row],[DEVELOPMENT]],Data[],MATCH(Table1[[#Headers],[RAD/PACT]],Data[#Headers],0),FALSE)</f>
        <v>2026</v>
      </c>
      <c r="G294" s="9" t="s">
        <v>151</v>
      </c>
      <c r="H294" s="7"/>
      <c r="I294" s="8"/>
      <c r="J294" s="8"/>
      <c r="K294" s="3"/>
      <c r="L294" s="93"/>
      <c r="M294" s="90"/>
      <c r="N294" s="90"/>
      <c r="O294" s="2"/>
      <c r="P294" s="2"/>
      <c r="Q294" s="11"/>
      <c r="R294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294" s="9"/>
      <c r="T294" s="16"/>
    </row>
    <row r="295" spans="1:20" x14ac:dyDescent="0.25">
      <c r="A295" s="13" t="str">
        <f>VLOOKUP(C295,Data[],2,FALSE)</f>
        <v>MANHATTAN</v>
      </c>
      <c r="B295" s="1"/>
      <c r="C295" s="1" t="s">
        <v>83</v>
      </c>
      <c r="D295" s="1" t="str">
        <f>VLOOKUP(Table1[[#This Row],[DEVELOPMENT]],Data[],MATCH(Table1[[#Headers],[NRR]],Data[#Headers],0),FALSE)</f>
        <v>Zone 2</v>
      </c>
      <c r="E295" s="1" t="str">
        <f>VLOOKUP(Table1[[#This Row],[DEVELOPMENT]],Data[],MATCH(Table1[[#Headers],[Priority Level]],Data[#Headers],0),FALSE)</f>
        <v>$$$</v>
      </c>
      <c r="F295" s="1">
        <f>VLOOKUP(Table1[[#This Row],[DEVELOPMENT]],Data[],MATCH(Table1[[#Headers],[RAD/PACT]],Data[#Headers],0),FALSE)</f>
        <v>2028</v>
      </c>
      <c r="G295" s="9" t="s">
        <v>151</v>
      </c>
      <c r="H295" s="7"/>
      <c r="I295" s="8"/>
      <c r="J295" s="8"/>
      <c r="K295" s="3"/>
      <c r="L295" s="93"/>
      <c r="M295" s="90"/>
      <c r="N295" s="90"/>
      <c r="O295" s="2"/>
      <c r="P295" s="2"/>
      <c r="Q295" s="11"/>
      <c r="R295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295" s="9"/>
      <c r="T295" s="16"/>
    </row>
    <row r="296" spans="1:20" x14ac:dyDescent="0.25">
      <c r="A296" s="13" t="str">
        <f>VLOOKUP(C296,Data[],2,FALSE)</f>
        <v>MANHATTAN</v>
      </c>
      <c r="B296" s="1"/>
      <c r="C296" s="1" t="s">
        <v>131</v>
      </c>
      <c r="D296" s="1" t="str">
        <f>VLOOKUP(Table1[[#This Row],[DEVELOPMENT]],Data[],MATCH(Table1[[#Headers],[NRR]],Data[#Headers],0),FALSE)</f>
        <v>Zone 2</v>
      </c>
      <c r="E296" s="1" t="str">
        <f>VLOOKUP(Table1[[#This Row],[DEVELOPMENT]],Data[],MATCH(Table1[[#Headers],[Priority Level]],Data[#Headers],0),FALSE)</f>
        <v>$$$</v>
      </c>
      <c r="F296" s="1" t="str">
        <f>VLOOKUP(Table1[[#This Row],[DEVELOPMENT]],Data[],MATCH(Table1[[#Headers],[RAD/PACT]],Data[#Headers],0),FALSE)</f>
        <v/>
      </c>
      <c r="G296" s="9" t="s">
        <v>151</v>
      </c>
      <c r="H296" s="7"/>
      <c r="I296" s="8"/>
      <c r="J296" s="8"/>
      <c r="K296" s="3"/>
      <c r="L296" s="93"/>
      <c r="M296" s="90"/>
      <c r="N296" s="90"/>
      <c r="O296" s="2"/>
      <c r="P296" s="2"/>
      <c r="Q296" s="11"/>
      <c r="R296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296" s="9"/>
      <c r="T296" s="16"/>
    </row>
    <row r="297" spans="1:20" x14ac:dyDescent="0.25">
      <c r="A297" s="13" t="str">
        <f>VLOOKUP(C297,Data[],2,FALSE)</f>
        <v>MANHATTAN</v>
      </c>
      <c r="B297" s="1"/>
      <c r="C297" s="1" t="s">
        <v>113</v>
      </c>
      <c r="D297" s="1" t="str">
        <f>VLOOKUP(Table1[[#This Row],[DEVELOPMENT]],Data[],MATCH(Table1[[#Headers],[NRR]],Data[#Headers],0),FALSE)</f>
        <v>Zone 2</v>
      </c>
      <c r="E297" s="1" t="str">
        <f>VLOOKUP(Table1[[#This Row],[DEVELOPMENT]],Data[],MATCH(Table1[[#Headers],[Priority Level]],Data[#Headers],0),FALSE)</f>
        <v>$$$$</v>
      </c>
      <c r="F297" s="1" t="str">
        <f>VLOOKUP(Table1[[#This Row],[DEVELOPMENT]],Data[],MATCH(Table1[[#Headers],[RAD/PACT]],Data[#Headers],0),FALSE)</f>
        <v/>
      </c>
      <c r="G297" s="9" t="s">
        <v>151</v>
      </c>
      <c r="H297" s="7"/>
      <c r="I297" s="8"/>
      <c r="J297" s="8"/>
      <c r="K297" s="3"/>
      <c r="L297" s="93"/>
      <c r="M297" s="90"/>
      <c r="N297" s="90"/>
      <c r="O297" s="2"/>
      <c r="P297" s="2"/>
      <c r="Q297" s="11"/>
      <c r="R297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297" s="9"/>
      <c r="T297" s="16"/>
    </row>
    <row r="298" spans="1:20" x14ac:dyDescent="0.25">
      <c r="A298" s="13" t="str">
        <f>VLOOKUP(C298,Data[],2,FALSE)</f>
        <v>BROOKLYN</v>
      </c>
      <c r="B298" s="9" t="s">
        <v>25</v>
      </c>
      <c r="C298" s="9" t="s">
        <v>38</v>
      </c>
      <c r="D298" s="1" t="str">
        <f>VLOOKUP(Table1[[#This Row],[DEVELOPMENT]],Data[],MATCH(Table1[[#Headers],[NRR]],Data[#Headers],0),FALSE)</f>
        <v>Zone 1</v>
      </c>
      <c r="E298" s="1" t="str">
        <f>VLOOKUP(Table1[[#This Row],[DEVELOPMENT]],Data[],MATCH(Table1[[#Headers],[Priority Level]],Data[#Headers],0),FALSE)</f>
        <v>$$</v>
      </c>
      <c r="F298" s="1">
        <f>VLOOKUP(Table1[[#This Row],[DEVELOPMENT]],Data[],MATCH(Table1[[#Headers],[RAD/PACT]],Data[#Headers],0),FALSE)</f>
        <v>2027</v>
      </c>
      <c r="G298" s="9" t="s">
        <v>151</v>
      </c>
      <c r="H298" s="12" t="s">
        <v>85</v>
      </c>
      <c r="I298" s="10"/>
      <c r="J298" s="10">
        <f>K298</f>
        <v>800958.9</v>
      </c>
      <c r="K298" s="11">
        <v>800958.9</v>
      </c>
      <c r="L298" s="90">
        <v>2019</v>
      </c>
      <c r="M298" s="92"/>
      <c r="N298" s="92"/>
      <c r="O298" s="1"/>
      <c r="P298" s="1"/>
      <c r="Q298" s="3"/>
      <c r="R298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298" s="1"/>
      <c r="T298" s="16"/>
    </row>
    <row r="299" spans="1:20" x14ac:dyDescent="0.25">
      <c r="A299" s="13" t="str">
        <f>VLOOKUP(C299,Data[],2,FALSE)</f>
        <v>MANHATTAN</v>
      </c>
      <c r="B299" s="1"/>
      <c r="C299" s="1" t="s">
        <v>115</v>
      </c>
      <c r="D299" s="1" t="str">
        <f>VLOOKUP(Table1[[#This Row],[DEVELOPMENT]],Data[],MATCH(Table1[[#Headers],[NRR]],Data[#Headers],0),FALSE)</f>
        <v>Zone 2</v>
      </c>
      <c r="E299" s="1" t="str">
        <f>VLOOKUP(Table1[[#This Row],[DEVELOPMENT]],Data[],MATCH(Table1[[#Headers],[Priority Level]],Data[#Headers],0),FALSE)</f>
        <v>$</v>
      </c>
      <c r="F299" s="1" t="str">
        <f>VLOOKUP(Table1[[#This Row],[DEVELOPMENT]],Data[],MATCH(Table1[[#Headers],[RAD/PACT]],Data[#Headers],0),FALSE)</f>
        <v/>
      </c>
      <c r="G299" s="9" t="s">
        <v>151</v>
      </c>
      <c r="H299" s="7"/>
      <c r="I299" s="8"/>
      <c r="J299" s="8"/>
      <c r="K299" s="3"/>
      <c r="L299" s="93"/>
      <c r="M299" s="90"/>
      <c r="N299" s="90"/>
      <c r="O299" s="2"/>
      <c r="P299" s="2"/>
      <c r="Q299" s="11"/>
      <c r="R299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299" s="9"/>
      <c r="T299" s="16"/>
    </row>
    <row r="300" spans="1:20" x14ac:dyDescent="0.25">
      <c r="A300" s="13" t="str">
        <f>VLOOKUP(C300,Data[],2,FALSE)</f>
        <v>MANHATTAN</v>
      </c>
      <c r="B300" s="1"/>
      <c r="C300" s="1" t="s">
        <v>136</v>
      </c>
      <c r="D300" s="1" t="str">
        <f>VLOOKUP(Table1[[#This Row],[DEVELOPMENT]],Data[],MATCH(Table1[[#Headers],[NRR]],Data[#Headers],0),FALSE)</f>
        <v>Zone 2</v>
      </c>
      <c r="E300" s="1" t="str">
        <f>VLOOKUP(Table1[[#This Row],[DEVELOPMENT]],Data[],MATCH(Table1[[#Headers],[Priority Level]],Data[#Headers],0),FALSE)</f>
        <v>$</v>
      </c>
      <c r="F300" s="1" t="str">
        <f>VLOOKUP(Table1[[#This Row],[DEVELOPMENT]],Data[],MATCH(Table1[[#Headers],[RAD/PACT]],Data[#Headers],0),FALSE)</f>
        <v/>
      </c>
      <c r="G300" s="9" t="s">
        <v>151</v>
      </c>
      <c r="H300" s="7"/>
      <c r="I300" s="8"/>
      <c r="J300" s="8"/>
      <c r="K300" s="3"/>
      <c r="L300" s="93"/>
      <c r="M300" s="90"/>
      <c r="N300" s="90"/>
      <c r="O300" s="2"/>
      <c r="P300" s="2"/>
      <c r="Q300" s="11"/>
      <c r="R300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300" s="9"/>
      <c r="T300" s="16"/>
    </row>
    <row r="301" spans="1:20" x14ac:dyDescent="0.25">
      <c r="A301" s="13" t="str">
        <f>VLOOKUP(C301,Data[],2,FALSE)</f>
        <v>MANHATTAN</v>
      </c>
      <c r="B301" s="1"/>
      <c r="C301" s="1" t="s">
        <v>128</v>
      </c>
      <c r="D301" s="1" t="str">
        <f>VLOOKUP(Table1[[#This Row],[DEVELOPMENT]],Data[],MATCH(Table1[[#Headers],[NRR]],Data[#Headers],0),FALSE)</f>
        <v>Zone 2</v>
      </c>
      <c r="E301" s="1" t="str">
        <f>VLOOKUP(Table1[[#This Row],[DEVELOPMENT]],Data[],MATCH(Table1[[#Headers],[Priority Level]],Data[#Headers],0),FALSE)</f>
        <v>$$$</v>
      </c>
      <c r="F301" s="1" t="str">
        <f>VLOOKUP(Table1[[#This Row],[DEVELOPMENT]],Data[],MATCH(Table1[[#Headers],[RAD/PACT]],Data[#Headers],0),FALSE)</f>
        <v/>
      </c>
      <c r="G301" s="9" t="s">
        <v>151</v>
      </c>
      <c r="H301" s="7"/>
      <c r="I301" s="8"/>
      <c r="J301" s="8"/>
      <c r="K301" s="3"/>
      <c r="L301" s="93"/>
      <c r="M301" s="90"/>
      <c r="N301" s="90"/>
      <c r="O301" s="2"/>
      <c r="P301" s="2"/>
      <c r="Q301" s="11"/>
      <c r="R301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301" s="9"/>
      <c r="T301" s="16"/>
    </row>
    <row r="302" spans="1:20" x14ac:dyDescent="0.25">
      <c r="A302" s="13" t="str">
        <f>VLOOKUP(C302,Data[],2,FALSE)</f>
        <v>MANHATTAN</v>
      </c>
      <c r="B302" s="1"/>
      <c r="C302" s="1" t="s">
        <v>127</v>
      </c>
      <c r="D302" s="1" t="str">
        <f>VLOOKUP(Table1[[#This Row],[DEVELOPMENT]],Data[],MATCH(Table1[[#Headers],[NRR]],Data[#Headers],0),FALSE)</f>
        <v>Zone 2</v>
      </c>
      <c r="E302" s="1" t="str">
        <f>VLOOKUP(Table1[[#This Row],[DEVELOPMENT]],Data[],MATCH(Table1[[#Headers],[Priority Level]],Data[#Headers],0),FALSE)</f>
        <v>$</v>
      </c>
      <c r="F302" s="1" t="str">
        <f>VLOOKUP(Table1[[#This Row],[DEVELOPMENT]],Data[],MATCH(Table1[[#Headers],[RAD/PACT]],Data[#Headers],0),FALSE)</f>
        <v/>
      </c>
      <c r="G302" s="9" t="s">
        <v>151</v>
      </c>
      <c r="H302" s="7"/>
      <c r="I302" s="8"/>
      <c r="J302" s="8"/>
      <c r="K302" s="3"/>
      <c r="L302" s="93"/>
      <c r="M302" s="90"/>
      <c r="N302" s="90"/>
      <c r="O302" s="2"/>
      <c r="P302" s="2"/>
      <c r="Q302" s="11"/>
      <c r="R302" s="3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133611.6</v>
      </c>
      <c r="S302" s="9"/>
      <c r="T302" s="16"/>
    </row>
    <row r="303" spans="1:20" x14ac:dyDescent="0.25">
      <c r="A303" s="64" t="str">
        <f>VLOOKUP(C303,Data[],2,FALSE)</f>
        <v>MANHATTAN</v>
      </c>
      <c r="B303" s="51"/>
      <c r="C303" s="51" t="s">
        <v>137</v>
      </c>
      <c r="D303" s="51" t="str">
        <f>VLOOKUP(Table1[[#This Row],[DEVELOPMENT]],Data[],MATCH(Table1[[#Headers],[NRR]],Data[#Headers],0),FALSE)</f>
        <v>Zone 2</v>
      </c>
      <c r="E303" s="51" t="str">
        <f>VLOOKUP(Table1[[#This Row],[DEVELOPMENT]],Data[],MATCH(Table1[[#Headers],[Priority Level]],Data[#Headers],0),FALSE)</f>
        <v>$$$</v>
      </c>
      <c r="F303" s="51">
        <f>VLOOKUP(Table1[[#This Row],[DEVELOPMENT]],Data[],MATCH(Table1[[#Headers],[RAD/PACT]],Data[#Headers],0),FALSE)</f>
        <v>2023</v>
      </c>
      <c r="G303" s="39" t="s">
        <v>151</v>
      </c>
      <c r="H303" s="56"/>
      <c r="I303" s="57"/>
      <c r="J303" s="57"/>
      <c r="K303" s="58"/>
      <c r="L303" s="95"/>
      <c r="M303" s="94"/>
      <c r="N303" s="94"/>
      <c r="O303" s="59"/>
      <c r="P303" s="59"/>
      <c r="Q303" s="40"/>
      <c r="R303" s="58">
        <f ca="1">IF(Table1[[#This Row],[RAD/PACT]]="",IF(Table1[[#This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TYPE]],Data[#Headers],0),FALSE))),IF(Table1[[#This Row],[RAD/PACT]]-YEAR(TODAY())&lt;=5,0,IF(Table1[[#This Row],[WORK TYPE]]="Exterior Compactors",VLOOKUP(Table1[[#This Row],[DEVELOPMENT]],ExtComp[],10,FALSE),IF(Table1[[#This Row],[WORK TYPE]]="Interior Compactors",VLOOKUP(Table1[[#This Row],[DEVELOPMENT]],IntComp[],10,FALSE),INDEX(UnitCosts[],MATCH(Table1[[#This Row],[WORK TYPE]],UnitCosts[Work Type],0),2)*VLOOKUP(Table1[[#This Row],[DEVELOPMENT]],Data[],MATCH(Table1[[#This Row],[WORK TYPE]],Data[#Headers],0),FALSE)))))</f>
        <v>0</v>
      </c>
      <c r="S303" s="39"/>
      <c r="T303" s="96"/>
    </row>
  </sheetData>
  <conditionalFormatting sqref="A5:S303">
    <cfRule type="containsErrors" dxfId="51" priority="7">
      <formula>ISERROR(A5)</formula>
    </cfRule>
  </conditionalFormatting>
  <conditionalFormatting sqref="M238:M303">
    <cfRule type="containsErrors" dxfId="50" priority="6">
      <formula>ISERROR(M238)</formula>
    </cfRule>
  </conditionalFormatting>
  <conditionalFormatting sqref="C271:C303">
    <cfRule type="containsErrors" dxfId="49" priority="4">
      <formula>ISERROR(C271)</formula>
    </cfRule>
  </conditionalFormatting>
  <conditionalFormatting sqref="C271:C303">
    <cfRule type="containsErrors" dxfId="48" priority="3">
      <formula>ISERROR(C271)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A39E-C6FF-4F03-8883-F048F6B9D75D}">
  <dimension ref="A1:P442"/>
  <sheetViews>
    <sheetView topLeftCell="D1" workbookViewId="0">
      <selection activeCell="L8" sqref="L8"/>
    </sheetView>
  </sheetViews>
  <sheetFormatPr defaultRowHeight="15" x14ac:dyDescent="0.25"/>
  <cols>
    <col min="1" max="1" width="57" bestFit="1" customWidth="1"/>
    <col min="2" max="2" width="14.7109375" bestFit="1" customWidth="1"/>
    <col min="3" max="3" width="18.140625" bestFit="1" customWidth="1"/>
    <col min="4" max="4" width="29.140625" bestFit="1" customWidth="1"/>
    <col min="5" max="5" width="16.85546875" bestFit="1" customWidth="1"/>
    <col min="6" max="6" width="7" bestFit="1" customWidth="1"/>
    <col min="7" max="7" width="15" bestFit="1" customWidth="1"/>
    <col min="8" max="8" width="13.85546875" bestFit="1" customWidth="1"/>
    <col min="9" max="9" width="12.42578125" bestFit="1" customWidth="1"/>
    <col min="10" max="10" width="19.7109375" bestFit="1" customWidth="1"/>
    <col min="11" max="11" width="16.140625" bestFit="1" customWidth="1"/>
    <col min="12" max="12" width="18" style="5" bestFit="1" customWidth="1"/>
    <col min="13" max="13" width="8.5703125" bestFit="1" customWidth="1"/>
    <col min="14" max="14" width="11" bestFit="1" customWidth="1"/>
    <col min="15" max="15" width="19.140625" bestFit="1" customWidth="1"/>
    <col min="16" max="16" width="40" bestFit="1" customWidth="1"/>
  </cols>
  <sheetData>
    <row r="1" spans="1:16" x14ac:dyDescent="0.25">
      <c r="L1" s="5">
        <f ca="1">SUM(Yards[Estimate])</f>
        <v>306800621.87999952</v>
      </c>
    </row>
    <row r="4" spans="1:16" x14ac:dyDescent="0.25">
      <c r="A4" s="61" t="s">
        <v>7</v>
      </c>
      <c r="B4" s="62" t="s">
        <v>5</v>
      </c>
      <c r="C4" s="62" t="s">
        <v>11</v>
      </c>
      <c r="D4" s="62" t="s">
        <v>388</v>
      </c>
      <c r="E4" s="62" t="s">
        <v>372</v>
      </c>
      <c r="F4" s="62" t="s">
        <v>8</v>
      </c>
      <c r="G4" s="62" t="s">
        <v>9</v>
      </c>
      <c r="H4" s="62" t="s">
        <v>389</v>
      </c>
      <c r="I4" s="62" t="s">
        <v>10</v>
      </c>
      <c r="J4" s="62" t="s">
        <v>390</v>
      </c>
      <c r="K4" s="62" t="s">
        <v>391</v>
      </c>
      <c r="L4" s="102" t="s">
        <v>392</v>
      </c>
      <c r="M4" s="62" t="s">
        <v>3</v>
      </c>
      <c r="N4" s="62" t="s">
        <v>393</v>
      </c>
      <c r="O4" s="102" t="s">
        <v>376</v>
      </c>
      <c r="P4" s="103" t="s">
        <v>24</v>
      </c>
    </row>
    <row r="5" spans="1:16" x14ac:dyDescent="0.25">
      <c r="A5" s="13" t="s">
        <v>169</v>
      </c>
      <c r="B5" s="67" t="str">
        <f>VLOOKUP(Yards[[#This Row],[DEVELOPMENT]],Data[],2,FALSE)</f>
        <v>MANHATTAN</v>
      </c>
      <c r="C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5" s="67">
        <f>VLOOKUP(Yards[[#This Row],[DEVELOPMENT]],Data[],30,FALSE)</f>
        <v>3</v>
      </c>
      <c r="E5" s="67">
        <f>VLOOKUP(Yards[[#This Row],[DEVELOPMENT]],Data[],28,FALSE)</f>
        <v>0</v>
      </c>
      <c r="F5" s="66" t="str">
        <f>VLOOKUP(Yards[[#This Row],[DEVELOPMENT]],Data[],8,FALSE)</f>
        <v>Zone 4</v>
      </c>
      <c r="G5" s="66">
        <f>VLOOKUP(Yards[[#This Row],[DEVELOPMENT]],Data[],9,FALSE)</f>
        <v>0</v>
      </c>
      <c r="H5" s="66"/>
      <c r="I5" s="67" t="str">
        <f>IFERROR(VLOOKUP(Yards[[#This Row],[DEVELOPMENT]],Data[],4,FALSE),"")</f>
        <v/>
      </c>
      <c r="J5" s="67" t="str">
        <f>IF(Yards[[#This Row],[RAD/PACT]]="","",IF((Yards[[#This Row],[RAD/PACT]]&lt;=2025),"Yes",""))</f>
        <v/>
      </c>
      <c r="K5" s="67" t="str">
        <f ca="1">IF(VLOOKUP(Yards[[#This Row],[DEVELOPMENT]],ExtComp[],8,FALSE)&lt;=5,"new","old")</f>
        <v>old</v>
      </c>
      <c r="L5" s="104">
        <f ca="1">IF(Yards[[#This Row],[RAD/PACT by 2025]]="Yes",0,INDEX(UnitCosts[],MATCH(Yards[[#This Row],[WORK TYPE]],UnitCosts[Work Type],0),2))</f>
        <v>2022307.2600000005</v>
      </c>
      <c r="M5" s="1"/>
      <c r="N5" s="1"/>
      <c r="O5" s="1"/>
      <c r="P5" s="16"/>
    </row>
    <row r="6" spans="1:16" x14ac:dyDescent="0.25">
      <c r="A6" s="13" t="s">
        <v>206</v>
      </c>
      <c r="B6" s="67" t="str">
        <f>VLOOKUP(Yards[[#This Row],[DEVELOPMENT]],Data[],2,FALSE)</f>
        <v>BROOKLYN</v>
      </c>
      <c r="C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6" s="67">
        <f>VLOOKUP(Yards[[#This Row],[DEVELOPMENT]],Data[],30,FALSE)</f>
        <v>0</v>
      </c>
      <c r="E6" s="67">
        <f>VLOOKUP(Yards[[#This Row],[DEVELOPMENT]],Data[],28,FALSE)</f>
        <v>0</v>
      </c>
      <c r="F6" s="66" t="str">
        <f>VLOOKUP(Yards[[#This Row],[DEVELOPMENT]],Data[],8,FALSE)</f>
        <v>Zone 4</v>
      </c>
      <c r="G6" s="66">
        <f>VLOOKUP(Yards[[#This Row],[DEVELOPMENT]],Data[],9,FALSE)</f>
        <v>0</v>
      </c>
      <c r="H6" s="66"/>
      <c r="I6" s="67">
        <f>IFERROR(VLOOKUP(Yards[[#This Row],[DEVELOPMENT]],Data[],4,FALSE),"")</f>
        <v>2025</v>
      </c>
      <c r="J6" s="67" t="str">
        <f>IF(Yards[[#This Row],[RAD/PACT]]="","",IF((Yards[[#This Row],[RAD/PACT]]&lt;=2025),"Yes",""))</f>
        <v>Yes</v>
      </c>
      <c r="K6" s="67" t="str">
        <f ca="1">IF(VLOOKUP(Yards[[#This Row],[DEVELOPMENT]],ExtComp[],8,FALSE)&lt;=5,"new","old")</f>
        <v>old</v>
      </c>
      <c r="L6" s="104">
        <f>IF(Yards[[#This Row],[RAD/PACT by 2025]]="Yes",0,INDEX(UnitCosts[],MATCH(Yards[[#This Row],[WORK TYPE]],UnitCosts[Work Type],0),2))</f>
        <v>0</v>
      </c>
      <c r="M6" s="1"/>
      <c r="N6" s="1"/>
      <c r="O6" s="1"/>
      <c r="P6" s="16"/>
    </row>
    <row r="7" spans="1:16" x14ac:dyDescent="0.25">
      <c r="A7" s="13" t="s">
        <v>212</v>
      </c>
      <c r="B7" s="67" t="str">
        <f>VLOOKUP(Yards[[#This Row],[DEVELOPMENT]],Data[],2,FALSE)</f>
        <v>BRONX</v>
      </c>
      <c r="C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7" s="67">
        <f>VLOOKUP(Yards[[#This Row],[DEVELOPMENT]],Data[],30,FALSE)</f>
        <v>0</v>
      </c>
      <c r="E7" s="67">
        <f>VLOOKUP(Yards[[#This Row],[DEVELOPMENT]],Data[],28,FALSE)</f>
        <v>0</v>
      </c>
      <c r="F7" s="66" t="str">
        <f>VLOOKUP(Yards[[#This Row],[DEVELOPMENT]],Data[],8,FALSE)</f>
        <v>Zone 4</v>
      </c>
      <c r="G7" s="66">
        <f>VLOOKUP(Yards[[#This Row],[DEVELOPMENT]],Data[],9,FALSE)</f>
        <v>0</v>
      </c>
      <c r="H7" s="66"/>
      <c r="I7" s="67" t="str">
        <f>IFERROR(VLOOKUP(Yards[[#This Row],[DEVELOPMENT]],Data[],4,FALSE),"")</f>
        <v/>
      </c>
      <c r="J7" s="67" t="str">
        <f>IF(Yards[[#This Row],[RAD/PACT]]="","",IF((Yards[[#This Row],[RAD/PACT]]&lt;=2025),"Yes",""))</f>
        <v/>
      </c>
      <c r="K7" s="67" t="str">
        <f ca="1">IF(VLOOKUP(Yards[[#This Row],[DEVELOPMENT]],ExtComp[],8,FALSE)&lt;=5,"new","old")</f>
        <v>old</v>
      </c>
      <c r="L7" s="104">
        <f>IF(Yards[[#This Row],[RAD/PACT by 2025]]="Yes",0,INDEX(UnitCosts[],MATCH(Yards[[#This Row],[WORK TYPE]],UnitCosts[Work Type],0),2))</f>
        <v>1159792.78</v>
      </c>
      <c r="M7" s="1"/>
      <c r="N7" s="1"/>
      <c r="O7" s="1"/>
      <c r="P7" s="16"/>
    </row>
    <row r="8" spans="1:16" x14ac:dyDescent="0.25">
      <c r="A8" s="13" t="s">
        <v>213</v>
      </c>
      <c r="B8" s="67" t="str">
        <f>VLOOKUP(Yards[[#This Row],[DEVELOPMENT]],Data[],2,FALSE)</f>
        <v>BRONX</v>
      </c>
      <c r="C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8" s="67">
        <f>VLOOKUP(Yards[[#This Row],[DEVELOPMENT]],Data[],30,FALSE)</f>
        <v>0</v>
      </c>
      <c r="E8" s="67">
        <f>VLOOKUP(Yards[[#This Row],[DEVELOPMENT]],Data[],28,FALSE)</f>
        <v>0</v>
      </c>
      <c r="F8" s="66" t="str">
        <f>VLOOKUP(Yards[[#This Row],[DEVELOPMENT]],Data[],8,FALSE)</f>
        <v>Zone 4</v>
      </c>
      <c r="G8" s="66">
        <f>VLOOKUP(Yards[[#This Row],[DEVELOPMENT]],Data[],9,FALSE)</f>
        <v>0</v>
      </c>
      <c r="H8" s="66"/>
      <c r="I8" s="67" t="str">
        <f>IFERROR(VLOOKUP(Yards[[#This Row],[DEVELOPMENT]],Data[],4,FALSE),"")</f>
        <v/>
      </c>
      <c r="J8" s="67" t="str">
        <f>IF(Yards[[#This Row],[RAD/PACT]]="","",IF((Yards[[#This Row],[RAD/PACT]]&lt;=2025),"Yes",""))</f>
        <v/>
      </c>
      <c r="K8" s="67" t="str">
        <f ca="1">IF(VLOOKUP(Yards[[#This Row],[DEVELOPMENT]],ExtComp[],8,FALSE)&lt;=5,"new","old")</f>
        <v>old</v>
      </c>
      <c r="L8" s="104"/>
      <c r="M8" s="1"/>
      <c r="N8" s="1"/>
      <c r="O8" s="1"/>
      <c r="P8" s="16"/>
    </row>
    <row r="9" spans="1:16" x14ac:dyDescent="0.25">
      <c r="A9" s="13" t="s">
        <v>224</v>
      </c>
      <c r="B9" s="67">
        <f>VLOOKUP(Yards[[#This Row],[DEVELOPMENT]],Data[],2,FALSE)</f>
        <v>0</v>
      </c>
      <c r="C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" s="67">
        <f>VLOOKUP(Yards[[#This Row],[DEVELOPMENT]],Data[],30,FALSE)</f>
        <v>0</v>
      </c>
      <c r="E9" s="67">
        <f>VLOOKUP(Yards[[#This Row],[DEVELOPMENT]],Data[],28,FALSE)</f>
        <v>0</v>
      </c>
      <c r="F9" s="66" t="str">
        <f>VLOOKUP(Yards[[#This Row],[DEVELOPMENT]],Data[],8,FALSE)</f>
        <v>Zone 4</v>
      </c>
      <c r="G9" s="66">
        <f>VLOOKUP(Yards[[#This Row],[DEVELOPMENT]],Data[],9,FALSE)</f>
        <v>0</v>
      </c>
      <c r="H9" s="66"/>
      <c r="I9" s="67" t="str">
        <f>IFERROR(VLOOKUP(Yards[[#This Row],[DEVELOPMENT]],Data[],4,FALSE),"")</f>
        <v/>
      </c>
      <c r="J9" s="67" t="str">
        <f>IF(Yards[[#This Row],[RAD/PACT]]="","",IF((Yards[[#This Row],[RAD/PACT]]&lt;=2025),"Yes",""))</f>
        <v/>
      </c>
      <c r="K9" s="67" t="str">
        <f ca="1">IF(VLOOKUP(Yards[[#This Row],[DEVELOPMENT]],ExtComp[],8,FALSE)&lt;=5,"new","old")</f>
        <v>old</v>
      </c>
      <c r="L9" s="104"/>
      <c r="M9" s="1"/>
      <c r="N9" s="1"/>
      <c r="O9" s="1"/>
      <c r="P9" s="16" t="s">
        <v>395</v>
      </c>
    </row>
    <row r="10" spans="1:16" x14ac:dyDescent="0.25">
      <c r="A10" s="13" t="s">
        <v>232</v>
      </c>
      <c r="B10" s="67" t="str">
        <f>VLOOKUP(Yards[[#This Row],[DEVELOPMENT]],Data[],2,FALSE)</f>
        <v>BRONX</v>
      </c>
      <c r="C10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10" s="67">
        <f>VLOOKUP(Yards[[#This Row],[DEVELOPMENT]],Data[],30,FALSE)</f>
        <v>3</v>
      </c>
      <c r="E10" s="67">
        <f>VLOOKUP(Yards[[#This Row],[DEVELOPMENT]],Data[],28,FALSE)</f>
        <v>0</v>
      </c>
      <c r="F10" s="66" t="str">
        <f>VLOOKUP(Yards[[#This Row],[DEVELOPMENT]],Data[],8,FALSE)</f>
        <v>Zone 4</v>
      </c>
      <c r="G10" s="66">
        <f>VLOOKUP(Yards[[#This Row],[DEVELOPMENT]],Data[],9,FALSE)</f>
        <v>0</v>
      </c>
      <c r="H10" s="66"/>
      <c r="I10" s="67" t="str">
        <f>IFERROR(VLOOKUP(Yards[[#This Row],[DEVELOPMENT]],Data[],4,FALSE),"")</f>
        <v/>
      </c>
      <c r="J10" s="67" t="str">
        <f>IF(Yards[[#This Row],[RAD/PACT]]="","",IF((Yards[[#This Row],[RAD/PACT]]&lt;=2025),"Yes",""))</f>
        <v/>
      </c>
      <c r="K10" s="67" t="str">
        <f ca="1">IF(VLOOKUP(Yards[[#This Row],[DEVELOPMENT]],ExtComp[],8,FALSE)&lt;=5,"new","old")</f>
        <v>old</v>
      </c>
      <c r="L10" s="104">
        <f ca="1">IF(Yards[[#This Row],[RAD/PACT by 2025]]="Yes",0,INDEX(UnitCosts[],MATCH(Yards[[#This Row],[WORK TYPE]],UnitCosts[Work Type],0),2))</f>
        <v>2022307.2600000005</v>
      </c>
      <c r="M10" s="1"/>
      <c r="N10" s="1"/>
      <c r="O10" s="1"/>
      <c r="P10" s="16"/>
    </row>
    <row r="11" spans="1:16" x14ac:dyDescent="0.25">
      <c r="A11" s="13" t="s">
        <v>252</v>
      </c>
      <c r="B11" s="67" t="str">
        <f>VLOOKUP(Yards[[#This Row],[DEVELOPMENT]],Data[],2,FALSE)</f>
        <v>BROOKLYN</v>
      </c>
      <c r="C1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1" s="67">
        <f>VLOOKUP(Yards[[#This Row],[DEVELOPMENT]],Data[],30,FALSE)</f>
        <v>0</v>
      </c>
      <c r="E11" s="67">
        <f>VLOOKUP(Yards[[#This Row],[DEVELOPMENT]],Data[],28,FALSE)</f>
        <v>0</v>
      </c>
      <c r="F11" s="66" t="str">
        <f>VLOOKUP(Yards[[#This Row],[DEVELOPMENT]],Data[],8,FALSE)</f>
        <v>Zone 4</v>
      </c>
      <c r="G11" s="66">
        <f>VLOOKUP(Yards[[#This Row],[DEVELOPMENT]],Data[],9,FALSE)</f>
        <v>0</v>
      </c>
      <c r="H11" s="66"/>
      <c r="I11" s="67">
        <f>IFERROR(VLOOKUP(Yards[[#This Row],[DEVELOPMENT]],Data[],4,FALSE),"")</f>
        <v>2025</v>
      </c>
      <c r="J11" s="67" t="str">
        <f>IF(Yards[[#This Row],[RAD/PACT]]="","",IF((Yards[[#This Row],[RAD/PACT]]&lt;=2025),"Yes",""))</f>
        <v>Yes</v>
      </c>
      <c r="K11" s="67" t="str">
        <f ca="1">IF(VLOOKUP(Yards[[#This Row],[DEVELOPMENT]],ExtComp[],8,FALSE)&lt;=5,"new","old")</f>
        <v>old</v>
      </c>
      <c r="L11" s="104">
        <f>IF(Yards[[#This Row],[RAD/PACT by 2025]]="Yes",0,INDEX(UnitCosts[],MATCH(Yards[[#This Row],[WORK TYPE]],UnitCosts[Work Type],0),2))</f>
        <v>0</v>
      </c>
      <c r="M11" s="1"/>
      <c r="N11" s="1"/>
      <c r="O11" s="1"/>
      <c r="P11" s="16"/>
    </row>
    <row r="12" spans="1:16" x14ac:dyDescent="0.25">
      <c r="A12" s="13" t="s">
        <v>259</v>
      </c>
      <c r="B12" s="67" t="str">
        <f>VLOOKUP(Yards[[#This Row],[DEVELOPMENT]],Data[],2,FALSE)</f>
        <v>BROOKLYN</v>
      </c>
      <c r="C12" s="67" t="s">
        <v>447</v>
      </c>
      <c r="D12" s="67">
        <f>VLOOKUP(Yards[[#This Row],[DEVELOPMENT]],Data[],30,FALSE)</f>
        <v>0</v>
      </c>
      <c r="E12" s="67">
        <f>VLOOKUP(Yards[[#This Row],[DEVELOPMENT]],Data[],28,FALSE)</f>
        <v>0</v>
      </c>
      <c r="F12" s="66" t="str">
        <f>VLOOKUP(Yards[[#This Row],[DEVELOPMENT]],Data[],8,FALSE)</f>
        <v>Zone 4</v>
      </c>
      <c r="G12" s="66">
        <f>VLOOKUP(Yards[[#This Row],[DEVELOPMENT]],Data[],9,FALSE)</f>
        <v>0</v>
      </c>
      <c r="H12" s="66"/>
      <c r="I12" s="67" t="str">
        <f>IFERROR(VLOOKUP(Yards[[#This Row],[DEVELOPMENT]],Data[],4,FALSE),"")</f>
        <v/>
      </c>
      <c r="J12" s="67" t="str">
        <f>IF(Yards[[#This Row],[RAD/PACT]]="","",IF((Yards[[#This Row],[RAD/PACT]]&lt;=2025),"Yes",""))</f>
        <v/>
      </c>
      <c r="K12" s="67" t="str">
        <f ca="1">IF(VLOOKUP(Yards[[#This Row],[DEVELOPMENT]],ExtComp[],8,FALSE)&lt;=5,"new","old")</f>
        <v>old</v>
      </c>
      <c r="L12" s="104">
        <f>IF(Yards[[#This Row],[RAD/PACT by 2025]]="Yes",0,INDEX(UnitCosts[],MATCH(Yards[[#This Row],[WORK TYPE]],UnitCosts[Work Type],0),2))</f>
        <v>2022307.2600000005</v>
      </c>
      <c r="M12" s="1"/>
      <c r="N12" s="1"/>
      <c r="O12" s="1"/>
      <c r="P12" s="16"/>
    </row>
    <row r="13" spans="1:16" x14ac:dyDescent="0.25">
      <c r="A13" s="13" t="s">
        <v>273</v>
      </c>
      <c r="B13" s="67" t="str">
        <f>VLOOKUP(Yards[[#This Row],[DEVELOPMENT]],Data[],2,FALSE)</f>
        <v>BRONX</v>
      </c>
      <c r="C1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3" s="67">
        <f>VLOOKUP(Yards[[#This Row],[DEVELOPMENT]],Data[],30,FALSE)</f>
        <v>2</v>
      </c>
      <c r="E13" s="67">
        <f>VLOOKUP(Yards[[#This Row],[DEVELOPMENT]],Data[],28,FALSE)</f>
        <v>0</v>
      </c>
      <c r="F13" s="66" t="str">
        <f>VLOOKUP(Yards[[#This Row],[DEVELOPMENT]],Data[],8,FALSE)</f>
        <v>Zone 4</v>
      </c>
      <c r="G13" s="66">
        <f>VLOOKUP(Yards[[#This Row],[DEVELOPMENT]],Data[],9,FALSE)</f>
        <v>0</v>
      </c>
      <c r="H13" s="66"/>
      <c r="I13" s="67" t="str">
        <f>IFERROR(VLOOKUP(Yards[[#This Row],[DEVELOPMENT]],Data[],4,FALSE),"")</f>
        <v/>
      </c>
      <c r="J13" s="67" t="str">
        <f>IF(Yards[[#This Row],[RAD/PACT]]="","",IF((Yards[[#This Row],[RAD/PACT]]&lt;=2025),"Yes",""))</f>
        <v/>
      </c>
      <c r="K13" s="67" t="str">
        <f ca="1">IF(VLOOKUP(Yards[[#This Row],[DEVELOPMENT]],ExtComp[],8,FALSE)&lt;=5,"new","old")</f>
        <v>old</v>
      </c>
      <c r="L13" s="104">
        <f ca="1">IF(Yards[[#This Row],[RAD/PACT by 2025]]="Yes",0,INDEX(UnitCosts[],MATCH(Yards[[#This Row],[WORK TYPE]],UnitCosts[Work Type],0),2))</f>
        <v>1591050.0199999998</v>
      </c>
      <c r="M13" s="1"/>
      <c r="N13" s="1"/>
      <c r="O13" s="1"/>
      <c r="P13" s="16"/>
    </row>
    <row r="14" spans="1:16" x14ac:dyDescent="0.25">
      <c r="A14" s="13" t="s">
        <v>300</v>
      </c>
      <c r="B14" s="67" t="str">
        <f>VLOOKUP(Yards[[#This Row],[DEVELOPMENT]],Data[],2,FALSE)</f>
        <v>MANHATTAN</v>
      </c>
      <c r="C1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4" s="67">
        <f>VLOOKUP(Yards[[#This Row],[DEVELOPMENT]],Data[],30,FALSE)</f>
        <v>0</v>
      </c>
      <c r="E14" s="67">
        <f>VLOOKUP(Yards[[#This Row],[DEVELOPMENT]],Data[],28,FALSE)</f>
        <v>0</v>
      </c>
      <c r="F14" s="66" t="str">
        <f>VLOOKUP(Yards[[#This Row],[DEVELOPMENT]],Data[],8,FALSE)</f>
        <v>Zone 4</v>
      </c>
      <c r="G14" s="66">
        <f>VLOOKUP(Yards[[#This Row],[DEVELOPMENT]],Data[],9,FALSE)</f>
        <v>0</v>
      </c>
      <c r="H14" s="66"/>
      <c r="I14" s="67" t="str">
        <f>IFERROR(VLOOKUP(Yards[[#This Row],[DEVELOPMENT]],Data[],4,FALSE),"")</f>
        <v/>
      </c>
      <c r="J14" s="67" t="str">
        <f>IF(Yards[[#This Row],[RAD/PACT]]="","",IF((Yards[[#This Row],[RAD/PACT]]&lt;=2025),"Yes",""))</f>
        <v/>
      </c>
      <c r="K14" s="67" t="str">
        <f ca="1">IF(VLOOKUP(Yards[[#This Row],[DEVELOPMENT]],ExtComp[],8,FALSE)&lt;=5,"new","old")</f>
        <v>old</v>
      </c>
      <c r="L14" s="104"/>
      <c r="M14" s="1"/>
      <c r="N14" s="1"/>
      <c r="O14" s="1"/>
      <c r="P14" s="16"/>
    </row>
    <row r="15" spans="1:16" x14ac:dyDescent="0.25">
      <c r="A15" s="13" t="s">
        <v>329</v>
      </c>
      <c r="B15" s="67" t="str">
        <f>VLOOKUP(Yards[[#This Row],[DEVELOPMENT]],Data[],2,FALSE)</f>
        <v>MANHATTAN</v>
      </c>
      <c r="C1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5" s="67">
        <f>VLOOKUP(Yards[[#This Row],[DEVELOPMENT]],Data[],30,FALSE)</f>
        <v>0</v>
      </c>
      <c r="E15" s="67">
        <f>VLOOKUP(Yards[[#This Row],[DEVELOPMENT]],Data[],28,FALSE)</f>
        <v>0</v>
      </c>
      <c r="F15" s="66" t="str">
        <f>VLOOKUP(Yards[[#This Row],[DEVELOPMENT]],Data[],8,FALSE)</f>
        <v>Zone 4</v>
      </c>
      <c r="G15" s="66">
        <f>VLOOKUP(Yards[[#This Row],[DEVELOPMENT]],Data[],9,FALSE)</f>
        <v>0</v>
      </c>
      <c r="H15" s="66"/>
      <c r="I15" s="67" t="str">
        <f>IFERROR(VLOOKUP(Yards[[#This Row],[DEVELOPMENT]],Data[],4,FALSE),"")</f>
        <v/>
      </c>
      <c r="J15" s="67" t="str">
        <f>IF(Yards[[#This Row],[RAD/PACT]]="","",IF((Yards[[#This Row],[RAD/PACT]]&lt;=2025),"Yes",""))</f>
        <v/>
      </c>
      <c r="K15" s="67" t="str">
        <f ca="1">IF(VLOOKUP(Yards[[#This Row],[DEVELOPMENT]],ExtComp[],8,FALSE)&lt;=5,"new","old")</f>
        <v>old</v>
      </c>
      <c r="L15" s="104"/>
      <c r="M15" s="1"/>
      <c r="N15" s="1"/>
      <c r="O15" s="1"/>
      <c r="P15" s="16"/>
    </row>
    <row r="16" spans="1:16" x14ac:dyDescent="0.25">
      <c r="A16" s="13" t="s">
        <v>350</v>
      </c>
      <c r="B16" s="67" t="str">
        <f>VLOOKUP(Yards[[#This Row],[DEVELOPMENT]],Data[],2,FALSE)</f>
        <v>BRONX</v>
      </c>
      <c r="C1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6" s="67">
        <f>VLOOKUP(Yards[[#This Row],[DEVELOPMENT]],Data[],30,FALSE)</f>
        <v>0</v>
      </c>
      <c r="E16" s="67">
        <f>VLOOKUP(Yards[[#This Row],[DEVELOPMENT]],Data[],28,FALSE)</f>
        <v>0</v>
      </c>
      <c r="F16" s="66" t="str">
        <f>VLOOKUP(Yards[[#This Row],[DEVELOPMENT]],Data[],8,FALSE)</f>
        <v>Zone 4</v>
      </c>
      <c r="G16" s="66">
        <f>VLOOKUP(Yards[[#This Row],[DEVELOPMENT]],Data[],9,FALSE)</f>
        <v>0</v>
      </c>
      <c r="H16" s="66"/>
      <c r="I16" s="67" t="str">
        <f>IFERROR(VLOOKUP(Yards[[#This Row],[DEVELOPMENT]],Data[],4,FALSE),"")</f>
        <v/>
      </c>
      <c r="J16" s="67" t="str">
        <f>IF(Yards[[#This Row],[RAD/PACT]]="","",IF((Yards[[#This Row],[RAD/PACT]]&lt;=2025),"Yes",""))</f>
        <v/>
      </c>
      <c r="K16" s="67" t="str">
        <f ca="1">IF(VLOOKUP(Yards[[#This Row],[DEVELOPMENT]],ExtComp[],8,FALSE)&lt;=5,"new","old")</f>
        <v>old</v>
      </c>
      <c r="L16" s="104"/>
      <c r="M16" s="1"/>
      <c r="N16" s="1"/>
      <c r="O16" s="1"/>
      <c r="P16" s="16"/>
    </row>
    <row r="17" spans="1:16" x14ac:dyDescent="0.25">
      <c r="A17" s="13" t="s">
        <v>354</v>
      </c>
      <c r="B17" s="67" t="str">
        <f>VLOOKUP(Yards[[#This Row],[DEVELOPMENT]],Data[],2,FALSE)</f>
        <v>MANHATTAN</v>
      </c>
      <c r="C1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7" s="67">
        <f>VLOOKUP(Yards[[#This Row],[DEVELOPMENT]],Data[],30,FALSE)</f>
        <v>0</v>
      </c>
      <c r="E17" s="67">
        <f>VLOOKUP(Yards[[#This Row],[DEVELOPMENT]],Data[],28,FALSE)</f>
        <v>0</v>
      </c>
      <c r="F17" s="66" t="str">
        <f>VLOOKUP(Yards[[#This Row],[DEVELOPMENT]],Data[],8,FALSE)</f>
        <v>Zone 4</v>
      </c>
      <c r="G17" s="66">
        <f>VLOOKUP(Yards[[#This Row],[DEVELOPMENT]],Data[],9,FALSE)</f>
        <v>0</v>
      </c>
      <c r="H17" s="66"/>
      <c r="I17" s="67">
        <f>IFERROR(VLOOKUP(Yards[[#This Row],[DEVELOPMENT]],Data[],4,FALSE),"")</f>
        <v>2019</v>
      </c>
      <c r="J17" s="67" t="str">
        <f>IF(Yards[[#This Row],[RAD/PACT]]="","",IF((Yards[[#This Row],[RAD/PACT]]&lt;=2025),"Yes",""))</f>
        <v>Yes</v>
      </c>
      <c r="K17" s="67" t="str">
        <f ca="1">IF(VLOOKUP(Yards[[#This Row],[DEVELOPMENT]],ExtComp[],8,FALSE)&lt;=5,"new","old")</f>
        <v>old</v>
      </c>
      <c r="L17" s="104">
        <f>IF(Yards[[#This Row],[RAD/PACT by 2025]]="Yes",0,INDEX(UnitCosts[],MATCH(Yards[[#This Row],[WORK TYPE]],UnitCosts[Work Type],0),2))</f>
        <v>0</v>
      </c>
      <c r="M17" s="1"/>
      <c r="N17" s="1"/>
      <c r="O17" s="1"/>
      <c r="P17" s="16"/>
    </row>
    <row r="18" spans="1:16" x14ac:dyDescent="0.25">
      <c r="A18" s="13" t="s">
        <v>357</v>
      </c>
      <c r="B18" s="67" t="str">
        <f>VLOOKUP(Yards[[#This Row],[DEVELOPMENT]],Data[],2,FALSE)</f>
        <v>MANHATTAN</v>
      </c>
      <c r="C1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8" s="67">
        <f>VLOOKUP(Yards[[#This Row],[DEVELOPMENT]],Data[],30,FALSE)</f>
        <v>0</v>
      </c>
      <c r="E18" s="67">
        <f>VLOOKUP(Yards[[#This Row],[DEVELOPMENT]],Data[],28,FALSE)</f>
        <v>0</v>
      </c>
      <c r="F18" s="66" t="str">
        <f>VLOOKUP(Yards[[#This Row],[DEVELOPMENT]],Data[],8,FALSE)</f>
        <v>Zone 4</v>
      </c>
      <c r="G18" s="66">
        <f>VLOOKUP(Yards[[#This Row],[DEVELOPMENT]],Data[],9,FALSE)</f>
        <v>0</v>
      </c>
      <c r="H18" s="66"/>
      <c r="I18" s="67" t="str">
        <f>IFERROR(VLOOKUP(Yards[[#This Row],[DEVELOPMENT]],Data[],4,FALSE),"")</f>
        <v/>
      </c>
      <c r="J18" s="67" t="str">
        <f>IF(Yards[[#This Row],[RAD/PACT]]="","",IF((Yards[[#This Row],[RAD/PACT]]&lt;=2025),"Yes",""))</f>
        <v/>
      </c>
      <c r="K18" s="67" t="str">
        <f ca="1">IF(VLOOKUP(Yards[[#This Row],[DEVELOPMENT]],ExtComp[],8,FALSE)&lt;=5,"new","old")</f>
        <v>old</v>
      </c>
      <c r="L18" s="104"/>
      <c r="M18" s="1"/>
      <c r="N18" s="1"/>
      <c r="O18" s="1"/>
      <c r="P18" s="16"/>
    </row>
    <row r="19" spans="1:16" x14ac:dyDescent="0.25">
      <c r="A19" s="13" t="s">
        <v>358</v>
      </c>
      <c r="B19" s="67" t="str">
        <f>VLOOKUP(Yards[[#This Row],[DEVELOPMENT]],Data[],2,FALSE)</f>
        <v>MANHATTAN</v>
      </c>
      <c r="C1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" s="67">
        <f>VLOOKUP(Yards[[#This Row],[DEVELOPMENT]],Data[],30,FALSE)</f>
        <v>0</v>
      </c>
      <c r="E19" s="67">
        <f>VLOOKUP(Yards[[#This Row],[DEVELOPMENT]],Data[],28,FALSE)</f>
        <v>0</v>
      </c>
      <c r="F19" s="66" t="str">
        <f>VLOOKUP(Yards[[#This Row],[DEVELOPMENT]],Data[],8,FALSE)</f>
        <v>Zone 4</v>
      </c>
      <c r="G19" s="66">
        <f>VLOOKUP(Yards[[#This Row],[DEVELOPMENT]],Data[],9,FALSE)</f>
        <v>0</v>
      </c>
      <c r="H19" s="66"/>
      <c r="I19" s="67" t="str">
        <f>IFERROR(VLOOKUP(Yards[[#This Row],[DEVELOPMENT]],Data[],4,FALSE),"")</f>
        <v/>
      </c>
      <c r="J19" s="67" t="str">
        <f>IF(Yards[[#This Row],[RAD/PACT]]="","",IF((Yards[[#This Row],[RAD/PACT]]&lt;=2025),"Yes",""))</f>
        <v/>
      </c>
      <c r="K19" s="67" t="str">
        <f ca="1">IF(VLOOKUP(Yards[[#This Row],[DEVELOPMENT]],ExtComp[],8,FALSE)&lt;=5,"new","old")</f>
        <v>old</v>
      </c>
      <c r="L19" s="104"/>
      <c r="M19" s="1"/>
      <c r="N19" s="1"/>
      <c r="O19" s="1"/>
      <c r="P19" s="16"/>
    </row>
    <row r="20" spans="1:16" x14ac:dyDescent="0.25">
      <c r="A20" s="13" t="s">
        <v>359</v>
      </c>
      <c r="B20" s="67" t="str">
        <f>VLOOKUP(Yards[[#This Row],[DEVELOPMENT]],Data[],2,FALSE)</f>
        <v>MANHATTAN</v>
      </c>
      <c r="C2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" s="67">
        <f>VLOOKUP(Yards[[#This Row],[DEVELOPMENT]],Data[],30,FALSE)</f>
        <v>0</v>
      </c>
      <c r="E20" s="67">
        <f>VLOOKUP(Yards[[#This Row],[DEVELOPMENT]],Data[],28,FALSE)</f>
        <v>0</v>
      </c>
      <c r="F20" s="66" t="str">
        <f>VLOOKUP(Yards[[#This Row],[DEVELOPMENT]],Data[],8,FALSE)</f>
        <v>Zone 4</v>
      </c>
      <c r="G20" s="66">
        <f>VLOOKUP(Yards[[#This Row],[DEVELOPMENT]],Data[],9,FALSE)</f>
        <v>0</v>
      </c>
      <c r="H20" s="66"/>
      <c r="I20" s="67" t="str">
        <f>IFERROR(VLOOKUP(Yards[[#This Row],[DEVELOPMENT]],Data[],4,FALSE),"")</f>
        <v/>
      </c>
      <c r="J20" s="67" t="str">
        <f>IF(Yards[[#This Row],[RAD/PACT]]="","",IF((Yards[[#This Row],[RAD/PACT]]&lt;=2025),"Yes",""))</f>
        <v/>
      </c>
      <c r="K20" s="67" t="str">
        <f ca="1">IF(VLOOKUP(Yards[[#This Row],[DEVELOPMENT]],ExtComp[],8,FALSE)&lt;=5,"new","old")</f>
        <v>old</v>
      </c>
      <c r="L20" s="104">
        <f>IF(Yards[[#This Row],[RAD/PACT by 2025]]="Yes",0,INDEX(UnitCosts[],MATCH(Yards[[#This Row],[WORK TYPE]],UnitCosts[Work Type],0),2))</f>
        <v>1159792.78</v>
      </c>
      <c r="M20" s="1"/>
      <c r="N20" s="1"/>
      <c r="O20" s="1"/>
      <c r="P20" s="16"/>
    </row>
    <row r="21" spans="1:16" x14ac:dyDescent="0.25">
      <c r="A21" s="13" t="s">
        <v>69</v>
      </c>
      <c r="B21" s="67" t="str">
        <f>VLOOKUP(Yards[[#This Row],[DEVELOPMENT]],Data[],2,FALSE)</f>
        <v>MANHATTAN</v>
      </c>
      <c r="C2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1" s="67">
        <f>VLOOKUP(Yards[[#This Row],[DEVELOPMENT]],Data[],30,FALSE)</f>
        <v>0</v>
      </c>
      <c r="E21" s="67">
        <f>VLOOKUP(Yards[[#This Row],[DEVELOPMENT]],Data[],28,FALSE)</f>
        <v>0</v>
      </c>
      <c r="F21" s="66" t="str">
        <f>VLOOKUP(Yards[[#This Row],[DEVELOPMENT]],Data[],8,FALSE)</f>
        <v>Zone 3</v>
      </c>
      <c r="G21" s="66" t="str">
        <f>VLOOKUP(Yards[[#This Row],[DEVELOPMENT]],Data[],9,FALSE)</f>
        <v>$</v>
      </c>
      <c r="H21" s="66"/>
      <c r="I21" s="67" t="str">
        <f>IFERROR(VLOOKUP(Yards[[#This Row],[DEVELOPMENT]],Data[],4,FALSE),"")</f>
        <v/>
      </c>
      <c r="J21" s="67" t="str">
        <f>IF(Yards[[#This Row],[RAD/PACT]]="","",IF((Yards[[#This Row],[RAD/PACT]]&lt;=2025),"Yes",""))</f>
        <v/>
      </c>
      <c r="K21" s="67" t="str">
        <f ca="1">IF(VLOOKUP(Yards[[#This Row],[DEVELOPMENT]],ExtComp[],8,FALSE)&lt;=5,"new","old")</f>
        <v>old</v>
      </c>
      <c r="L21" s="104">
        <f>IF(Yards[[#This Row],[RAD/PACT by 2025]]="Yes",0,INDEX(UnitCosts[],MATCH(Yards[[#This Row],[WORK TYPE]],UnitCosts[Work Type],0),2))</f>
        <v>1159792.78</v>
      </c>
      <c r="M21" s="1"/>
      <c r="N21" s="1"/>
      <c r="O21" s="1"/>
      <c r="P21" s="16"/>
    </row>
    <row r="22" spans="1:16" x14ac:dyDescent="0.25">
      <c r="A22" s="13" t="s">
        <v>70</v>
      </c>
      <c r="B22" s="67" t="str">
        <f>VLOOKUP(Yards[[#This Row],[DEVELOPMENT]],Data[],2,FALSE)</f>
        <v>MANHATTAN</v>
      </c>
      <c r="C2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2" s="67">
        <f>VLOOKUP(Yards[[#This Row],[DEVELOPMENT]],Data[],30,FALSE)</f>
        <v>0</v>
      </c>
      <c r="E22" s="67">
        <f>VLOOKUP(Yards[[#This Row],[DEVELOPMENT]],Data[],28,FALSE)</f>
        <v>0</v>
      </c>
      <c r="F22" s="66" t="str">
        <f>VLOOKUP(Yards[[#This Row],[DEVELOPMENT]],Data[],8,FALSE)</f>
        <v>Zone 3</v>
      </c>
      <c r="G22" s="66" t="str">
        <f>VLOOKUP(Yards[[#This Row],[DEVELOPMENT]],Data[],9,FALSE)</f>
        <v>$$$$</v>
      </c>
      <c r="H22" s="66"/>
      <c r="I22" s="67">
        <f>IFERROR(VLOOKUP(Yards[[#This Row],[DEVELOPMENT]],Data[],4,FALSE),"")</f>
        <v>2020</v>
      </c>
      <c r="J22" s="67" t="str">
        <f>IF(Yards[[#This Row],[RAD/PACT]]="","",IF((Yards[[#This Row],[RAD/PACT]]&lt;=2025),"Yes",""))</f>
        <v>Yes</v>
      </c>
      <c r="K22" s="67" t="str">
        <f ca="1">IF(VLOOKUP(Yards[[#This Row],[DEVELOPMENT]],ExtComp[],8,FALSE)&lt;=5,"new","old")</f>
        <v>old</v>
      </c>
      <c r="L22" s="104">
        <f>IF(Yards[[#This Row],[RAD/PACT by 2025]]="Yes",0,INDEX(UnitCosts[],MATCH(Yards[[#This Row],[WORK TYPE]],UnitCosts[Work Type],0),2))</f>
        <v>0</v>
      </c>
      <c r="M22" s="1"/>
      <c r="N22" s="1"/>
      <c r="O22" s="1"/>
      <c r="P22" s="16"/>
    </row>
    <row r="23" spans="1:16" x14ac:dyDescent="0.25">
      <c r="A23" s="13" t="s">
        <v>71</v>
      </c>
      <c r="B23" s="67" t="str">
        <f>VLOOKUP(Yards[[#This Row],[DEVELOPMENT]],Data[],2,FALSE)</f>
        <v>MANHATTAN</v>
      </c>
      <c r="C2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3" s="67">
        <f>VLOOKUP(Yards[[#This Row],[DEVELOPMENT]],Data[],30,FALSE)</f>
        <v>1</v>
      </c>
      <c r="E23" s="67">
        <f>VLOOKUP(Yards[[#This Row],[DEVELOPMENT]],Data[],28,FALSE)</f>
        <v>0</v>
      </c>
      <c r="F23" s="66" t="str">
        <f>VLOOKUP(Yards[[#This Row],[DEVELOPMENT]],Data[],8,FALSE)</f>
        <v>Zone 3</v>
      </c>
      <c r="G23" s="66" t="str">
        <f>VLOOKUP(Yards[[#This Row],[DEVELOPMENT]],Data[],9,FALSE)</f>
        <v>$$</v>
      </c>
      <c r="H23" s="66"/>
      <c r="I23" s="67">
        <f>IFERROR(VLOOKUP(Yards[[#This Row],[DEVELOPMENT]],Data[],4,FALSE),"")</f>
        <v>2020</v>
      </c>
      <c r="J23" s="67" t="str">
        <f>IF(Yards[[#This Row],[RAD/PACT]]="","",IF((Yards[[#This Row],[RAD/PACT]]&lt;=2025),"Yes",""))</f>
        <v>Yes</v>
      </c>
      <c r="K23" s="67" t="str">
        <f ca="1">IF(VLOOKUP(Yards[[#This Row],[DEVELOPMENT]],ExtComp[],8,FALSE)&lt;=5,"new","old")</f>
        <v>old</v>
      </c>
      <c r="L23" s="104">
        <f>IF(Yards[[#This Row],[RAD/PACT by 2025]]="Yes",0,INDEX(UnitCosts[],MATCH(Yards[[#This Row],[WORK TYPE]],UnitCosts[Work Type],0),2))</f>
        <v>0</v>
      </c>
      <c r="M23" s="1"/>
      <c r="N23" s="1"/>
      <c r="O23" s="1"/>
      <c r="P23" s="16"/>
    </row>
    <row r="24" spans="1:16" x14ac:dyDescent="0.25">
      <c r="A24" s="13" t="s">
        <v>119</v>
      </c>
      <c r="B24" s="67" t="str">
        <f>VLOOKUP(Yards[[#This Row],[DEVELOPMENT]],Data[],2,FALSE)</f>
        <v>BROOKLYN</v>
      </c>
      <c r="C24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4" s="67">
        <f>VLOOKUP(Yards[[#This Row],[DEVELOPMENT]],Data[],30,FALSE)</f>
        <v>2</v>
      </c>
      <c r="E24" s="67">
        <f>VLOOKUP(Yards[[#This Row],[DEVELOPMENT]],Data[],28,FALSE)</f>
        <v>0</v>
      </c>
      <c r="F24" s="66" t="str">
        <f>VLOOKUP(Yards[[#This Row],[DEVELOPMENT]],Data[],8,FALSE)</f>
        <v>Zone 3</v>
      </c>
      <c r="G24" s="66" t="str">
        <f>VLOOKUP(Yards[[#This Row],[DEVELOPMENT]],Data[],9,FALSE)</f>
        <v>$$$$</v>
      </c>
      <c r="H24" s="66"/>
      <c r="I24" s="67" t="str">
        <f>IFERROR(VLOOKUP(Yards[[#This Row],[DEVELOPMENT]],Data[],4,FALSE),"")</f>
        <v/>
      </c>
      <c r="J24" s="67" t="str">
        <f>IF(Yards[[#This Row],[RAD/PACT]]="","",IF((Yards[[#This Row],[RAD/PACT]]&lt;=2025),"Yes",""))</f>
        <v/>
      </c>
      <c r="K24" s="67" t="str">
        <f ca="1">IF(VLOOKUP(Yards[[#This Row],[DEVELOPMENT]],ExtComp[],8,FALSE)&lt;=5,"new","old")</f>
        <v>old</v>
      </c>
      <c r="L24" s="104">
        <f ca="1">IF(Yards[[#This Row],[RAD/PACT by 2025]]="Yes",0,INDEX(UnitCosts[],MATCH(Yards[[#This Row],[WORK TYPE]],UnitCosts[Work Type],0),2))</f>
        <v>1591050.0199999998</v>
      </c>
      <c r="M24" s="1"/>
      <c r="N24" s="1"/>
      <c r="O24" s="1"/>
      <c r="P24" s="16"/>
    </row>
    <row r="25" spans="1:16" x14ac:dyDescent="0.25">
      <c r="A25" s="13" t="s">
        <v>72</v>
      </c>
      <c r="B25" s="67" t="str">
        <f>VLOOKUP(Yards[[#This Row],[DEVELOPMENT]],Data[],2,FALSE)</f>
        <v>BROOKLYN</v>
      </c>
      <c r="C2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5" s="67">
        <f>VLOOKUP(Yards[[#This Row],[DEVELOPMENT]],Data[],30,FALSE)</f>
        <v>0</v>
      </c>
      <c r="E25" s="67">
        <f>VLOOKUP(Yards[[#This Row],[DEVELOPMENT]],Data[],28,FALSE)</f>
        <v>0</v>
      </c>
      <c r="F25" s="66" t="str">
        <f>VLOOKUP(Yards[[#This Row],[DEVELOPMENT]],Data[],8,FALSE)</f>
        <v>Zone 3</v>
      </c>
      <c r="G25" s="66" t="str">
        <f>VLOOKUP(Yards[[#This Row],[DEVELOPMENT]],Data[],9,FALSE)</f>
        <v>$$$</v>
      </c>
      <c r="H25" s="66"/>
      <c r="I25" s="67" t="str">
        <f>IFERROR(VLOOKUP(Yards[[#This Row],[DEVELOPMENT]],Data[],4,FALSE),"")</f>
        <v/>
      </c>
      <c r="J25" s="67" t="str">
        <f>IF(Yards[[#This Row],[RAD/PACT]]="","",IF((Yards[[#This Row],[RAD/PACT]]&lt;=2025),"Yes",""))</f>
        <v/>
      </c>
      <c r="K25" s="67" t="str">
        <f ca="1">IF(VLOOKUP(Yards[[#This Row],[DEVELOPMENT]],ExtComp[],8,FALSE)&lt;=5,"new","old")</f>
        <v>old</v>
      </c>
      <c r="L25" s="104">
        <f>IF(Yards[[#This Row],[RAD/PACT by 2025]]="Yes",0,INDEX(UnitCosts[],MATCH(Yards[[#This Row],[WORK TYPE]],UnitCosts[Work Type],0),2))</f>
        <v>1159792.78</v>
      </c>
      <c r="M25" s="1"/>
      <c r="N25" s="1"/>
      <c r="O25" s="1"/>
      <c r="P25" s="16"/>
    </row>
    <row r="26" spans="1:16" x14ac:dyDescent="0.25">
      <c r="A26" s="13" t="s">
        <v>73</v>
      </c>
      <c r="B26" s="67" t="str">
        <f>VLOOKUP(Yards[[#This Row],[DEVELOPMENT]],Data[],2,FALSE)</f>
        <v>BRONX</v>
      </c>
      <c r="C2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26" s="67">
        <f>VLOOKUP(Yards[[#This Row],[DEVELOPMENT]],Data[],30,FALSE)</f>
        <v>3</v>
      </c>
      <c r="E26" s="67">
        <f>VLOOKUP(Yards[[#This Row],[DEVELOPMENT]],Data[],28,FALSE)</f>
        <v>0</v>
      </c>
      <c r="F26" s="66" t="str">
        <f>VLOOKUP(Yards[[#This Row],[DEVELOPMENT]],Data[],8,FALSE)</f>
        <v>Zone 3</v>
      </c>
      <c r="G26" s="66" t="str">
        <f>VLOOKUP(Yards[[#This Row],[DEVELOPMENT]],Data[],9,FALSE)</f>
        <v>$</v>
      </c>
      <c r="H26" s="66"/>
      <c r="I26" s="67" t="str">
        <f>IFERROR(VLOOKUP(Yards[[#This Row],[DEVELOPMENT]],Data[],4,FALSE),"")</f>
        <v/>
      </c>
      <c r="J26" s="67" t="str">
        <f>IF(Yards[[#This Row],[RAD/PACT]]="","",IF((Yards[[#This Row],[RAD/PACT]]&lt;=2025),"Yes",""))</f>
        <v/>
      </c>
      <c r="K26" s="67" t="str">
        <f ca="1">IF(VLOOKUP(Yards[[#This Row],[DEVELOPMENT]],ExtComp[],8,FALSE)&lt;=5,"new","old")</f>
        <v>old</v>
      </c>
      <c r="L26" s="104">
        <f ca="1">IF(Yards[[#This Row],[RAD/PACT by 2025]]="Yes",0,INDEX(UnitCosts[],MATCH(Yards[[#This Row],[WORK TYPE]],UnitCosts[Work Type],0),2))</f>
        <v>2022307.2600000005</v>
      </c>
      <c r="M26" s="1"/>
      <c r="N26" s="1"/>
      <c r="O26" s="1"/>
      <c r="P26" s="16"/>
    </row>
    <row r="27" spans="1:16" x14ac:dyDescent="0.25">
      <c r="A27" s="13" t="s">
        <v>124</v>
      </c>
      <c r="B27" s="67" t="str">
        <f>VLOOKUP(Yards[[#This Row],[DEVELOPMENT]],Data[],2,FALSE)</f>
        <v>BRONX</v>
      </c>
      <c r="C27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" s="67">
        <f>VLOOKUP(Yards[[#This Row],[DEVELOPMENT]],Data[],30,FALSE)</f>
        <v>1</v>
      </c>
      <c r="E27" s="67">
        <f>VLOOKUP(Yards[[#This Row],[DEVELOPMENT]],Data[],28,FALSE)</f>
        <v>0</v>
      </c>
      <c r="F27" s="66" t="str">
        <f>VLOOKUP(Yards[[#This Row],[DEVELOPMENT]],Data[],8,FALSE)</f>
        <v>Zone 3</v>
      </c>
      <c r="G27" s="66" t="str">
        <f>VLOOKUP(Yards[[#This Row],[DEVELOPMENT]],Data[],9,FALSE)</f>
        <v>$</v>
      </c>
      <c r="H27" s="66"/>
      <c r="I27" s="67">
        <f>IFERROR(VLOOKUP(Yards[[#This Row],[DEVELOPMENT]],Data[],4,FALSE),"")</f>
        <v>2026</v>
      </c>
      <c r="J27" s="67" t="str">
        <f>IF(Yards[[#This Row],[RAD/PACT]]="","",IF((Yards[[#This Row],[RAD/PACT]]&lt;=2025),"Yes",""))</f>
        <v/>
      </c>
      <c r="K27" s="67" t="str">
        <f ca="1">IF(VLOOKUP(Yards[[#This Row],[DEVELOPMENT]],ExtComp[],8,FALSE)&lt;=5,"new","old")</f>
        <v>old</v>
      </c>
      <c r="L27" s="104">
        <f ca="1">IF(Yards[[#This Row],[RAD/PACT by 2025]]="Yes",0,INDEX(UnitCosts[],MATCH(Yards[[#This Row],[WORK TYPE]],UnitCosts[Work Type],0),2))</f>
        <v>1159792.78</v>
      </c>
      <c r="M27" s="1"/>
      <c r="N27" s="1"/>
      <c r="O27" s="1"/>
      <c r="P27" s="16"/>
    </row>
    <row r="28" spans="1:16" x14ac:dyDescent="0.25">
      <c r="A28" s="13" t="s">
        <v>105</v>
      </c>
      <c r="B28" s="67" t="str">
        <f>VLOOKUP(Yards[[#This Row],[DEVELOPMENT]],Data[],2,FALSE)</f>
        <v>BRONX</v>
      </c>
      <c r="C2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8" s="67">
        <f>VLOOKUP(Yards[[#This Row],[DEVELOPMENT]],Data[],30,FALSE)</f>
        <v>0</v>
      </c>
      <c r="E28" s="67">
        <f>VLOOKUP(Yards[[#This Row],[DEVELOPMENT]],Data[],28,FALSE)</f>
        <v>0</v>
      </c>
      <c r="F28" s="66" t="str">
        <f>VLOOKUP(Yards[[#This Row],[DEVELOPMENT]],Data[],8,FALSE)</f>
        <v>Zone 3</v>
      </c>
      <c r="G28" s="66" t="str">
        <f>VLOOKUP(Yards[[#This Row],[DEVELOPMENT]],Data[],9,FALSE)</f>
        <v>$</v>
      </c>
      <c r="H28" s="66"/>
      <c r="I28" s="67">
        <f>IFERROR(VLOOKUP(Yards[[#This Row],[DEVELOPMENT]],Data[],4,FALSE),"")</f>
        <v>2026</v>
      </c>
      <c r="J28" s="67" t="str">
        <f>IF(Yards[[#This Row],[RAD/PACT]]="","",IF((Yards[[#This Row],[RAD/PACT]]&lt;=2025),"Yes",""))</f>
        <v/>
      </c>
      <c r="K28" s="67" t="str">
        <f ca="1">IF(VLOOKUP(Yards[[#This Row],[DEVELOPMENT]],ExtComp[],8,FALSE)&lt;=5,"new","old")</f>
        <v>old</v>
      </c>
      <c r="L28" s="104">
        <f>IF(Yards[[#This Row],[RAD/PACT by 2025]]="Yes",0,INDEX(UnitCosts[],MATCH(Yards[[#This Row],[WORK TYPE]],UnitCosts[Work Type],0),2))</f>
        <v>1159792.78</v>
      </c>
      <c r="M28" s="1"/>
      <c r="N28" s="1"/>
      <c r="O28" s="1"/>
      <c r="P28" s="16"/>
    </row>
    <row r="29" spans="1:16" x14ac:dyDescent="0.25">
      <c r="A29" s="13" t="s">
        <v>75</v>
      </c>
      <c r="B29" s="67" t="str">
        <f>VLOOKUP(Yards[[#This Row],[DEVELOPMENT]],Data[],2,FALSE)</f>
        <v>MANHATTAN</v>
      </c>
      <c r="C2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" s="67">
        <f>VLOOKUP(Yards[[#This Row],[DEVELOPMENT]],Data[],30,FALSE)</f>
        <v>0</v>
      </c>
      <c r="E29" s="67">
        <f>VLOOKUP(Yards[[#This Row],[DEVELOPMENT]],Data[],28,FALSE)</f>
        <v>0</v>
      </c>
      <c r="F29" s="66" t="str">
        <f>VLOOKUP(Yards[[#This Row],[DEVELOPMENT]],Data[],8,FALSE)</f>
        <v>Zone 3</v>
      </c>
      <c r="G29" s="66" t="str">
        <f>VLOOKUP(Yards[[#This Row],[DEVELOPMENT]],Data[],9,FALSE)</f>
        <v>$</v>
      </c>
      <c r="H29" s="66">
        <v>1</v>
      </c>
      <c r="I29" s="67" t="str">
        <f>IFERROR(VLOOKUP(Yards[[#This Row],[DEVELOPMENT]],Data[],4,FALSE),"")</f>
        <v/>
      </c>
      <c r="J29" s="67" t="str">
        <f>IF(Yards[[#This Row],[RAD/PACT]]="","",IF((Yards[[#This Row],[RAD/PACT]]&lt;=2025),"Yes",""))</f>
        <v/>
      </c>
      <c r="K29" s="67" t="str">
        <f ca="1">IF(VLOOKUP(Yards[[#This Row],[DEVELOPMENT]],ExtComp[],8,FALSE)&lt;=5,"new","old")</f>
        <v>old</v>
      </c>
      <c r="L29" s="104">
        <f>IF(Yards[[#This Row],[RAD/PACT by 2025]]="Yes",0,INDEX(UnitCosts[],MATCH(Yards[[#This Row],[WORK TYPE]],UnitCosts[Work Type],0),2))</f>
        <v>1159792.78</v>
      </c>
      <c r="M29" s="1"/>
      <c r="N29" s="1"/>
      <c r="O29" s="1"/>
      <c r="P29" s="16"/>
    </row>
    <row r="30" spans="1:16" x14ac:dyDescent="0.25">
      <c r="A30" s="13" t="s">
        <v>130</v>
      </c>
      <c r="B30" s="67" t="str">
        <f>VLOOKUP(Yards[[#This Row],[DEVELOPMENT]],Data[],2,FALSE)</f>
        <v>MANHATTAN</v>
      </c>
      <c r="C3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" s="67">
        <f>VLOOKUP(Yards[[#This Row],[DEVELOPMENT]],Data[],30,FALSE)</f>
        <v>0</v>
      </c>
      <c r="E30" s="67">
        <f>VLOOKUP(Yards[[#This Row],[DEVELOPMENT]],Data[],28,FALSE)</f>
        <v>0</v>
      </c>
      <c r="F30" s="66" t="str">
        <f>VLOOKUP(Yards[[#This Row],[DEVELOPMENT]],Data[],8,FALSE)</f>
        <v>Zone 3</v>
      </c>
      <c r="G30" s="66" t="str">
        <f>VLOOKUP(Yards[[#This Row],[DEVELOPMENT]],Data[],9,FALSE)</f>
        <v>$$$</v>
      </c>
      <c r="H30" s="66"/>
      <c r="I30" s="67" t="str">
        <f>IFERROR(VLOOKUP(Yards[[#This Row],[DEVELOPMENT]],Data[],4,FALSE),"")</f>
        <v/>
      </c>
      <c r="J30" s="67" t="str">
        <f>IF(Yards[[#This Row],[RAD/PACT]]="","",IF((Yards[[#This Row],[RAD/PACT]]&lt;=2025),"Yes",""))</f>
        <v/>
      </c>
      <c r="K30" s="67" t="str">
        <f ca="1">IF(VLOOKUP(Yards[[#This Row],[DEVELOPMENT]],ExtComp[],8,FALSE)&lt;=5,"new","old")</f>
        <v>old</v>
      </c>
      <c r="L30" s="104">
        <f>IF(Yards[[#This Row],[RAD/PACT by 2025]]="Yes",0,INDEX(UnitCosts[],MATCH(Yards[[#This Row],[WORK TYPE]],UnitCosts[Work Type],0),2))</f>
        <v>1159792.78</v>
      </c>
      <c r="M30" s="1"/>
      <c r="N30" s="1"/>
      <c r="O30" s="1"/>
      <c r="P30" s="16"/>
    </row>
    <row r="31" spans="1:16" x14ac:dyDescent="0.25">
      <c r="A31" s="13" t="s">
        <v>76</v>
      </c>
      <c r="B31" s="67" t="str">
        <f>VLOOKUP(Yards[[#This Row],[DEVELOPMENT]],Data[],2,FALSE)</f>
        <v>MANHATTAN</v>
      </c>
      <c r="C3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1" s="67">
        <f>VLOOKUP(Yards[[#This Row],[DEVELOPMENT]],Data[],30,FALSE)</f>
        <v>0</v>
      </c>
      <c r="E31" s="67">
        <f>VLOOKUP(Yards[[#This Row],[DEVELOPMENT]],Data[],28,FALSE)</f>
        <v>0</v>
      </c>
      <c r="F31" s="66" t="str">
        <f>VLOOKUP(Yards[[#This Row],[DEVELOPMENT]],Data[],8,FALSE)</f>
        <v>Zone 3</v>
      </c>
      <c r="G31" s="66" t="str">
        <f>VLOOKUP(Yards[[#This Row],[DEVELOPMENT]],Data[],9,FALSE)</f>
        <v>$$$</v>
      </c>
      <c r="H31" s="66"/>
      <c r="I31" s="67" t="str">
        <f>IFERROR(VLOOKUP(Yards[[#This Row],[DEVELOPMENT]],Data[],4,FALSE),"")</f>
        <v/>
      </c>
      <c r="J31" s="67" t="str">
        <f>IF(Yards[[#This Row],[RAD/PACT]]="","",IF((Yards[[#This Row],[RAD/PACT]]&lt;=2025),"Yes",""))</f>
        <v/>
      </c>
      <c r="K31" s="67" t="str">
        <f ca="1">IF(VLOOKUP(Yards[[#This Row],[DEVELOPMENT]],ExtComp[],8,FALSE)&lt;=5,"new","old")</f>
        <v>old</v>
      </c>
      <c r="L31" s="104">
        <f>IF(Yards[[#This Row],[RAD/PACT by 2025]]="Yes",0,INDEX(UnitCosts[],MATCH(Yards[[#This Row],[WORK TYPE]],UnitCosts[Work Type],0),2))</f>
        <v>1159792.78</v>
      </c>
      <c r="M31" s="1"/>
      <c r="N31" s="1"/>
      <c r="O31" s="1"/>
      <c r="P31" s="16"/>
    </row>
    <row r="32" spans="1:16" x14ac:dyDescent="0.25">
      <c r="A32" s="13" t="s">
        <v>79</v>
      </c>
      <c r="B32" s="67" t="str">
        <f>VLOOKUP(Yards[[#This Row],[DEVELOPMENT]],Data[],2,FALSE)</f>
        <v>MANHATTAN</v>
      </c>
      <c r="C3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2" s="67">
        <f>VLOOKUP(Yards[[#This Row],[DEVELOPMENT]],Data[],30,FALSE)</f>
        <v>0</v>
      </c>
      <c r="E32" s="67">
        <f>VLOOKUP(Yards[[#This Row],[DEVELOPMENT]],Data[],28,FALSE)</f>
        <v>0</v>
      </c>
      <c r="F32" s="66" t="str">
        <f>VLOOKUP(Yards[[#This Row],[DEVELOPMENT]],Data[],8,FALSE)</f>
        <v>Zone 3</v>
      </c>
      <c r="G32" s="66" t="str">
        <f>VLOOKUP(Yards[[#This Row],[DEVELOPMENT]],Data[],9,FALSE)</f>
        <v>$</v>
      </c>
      <c r="H32" s="66"/>
      <c r="I32" s="67">
        <f>IFERROR(VLOOKUP(Yards[[#This Row],[DEVELOPMENT]],Data[],4,FALSE),"")</f>
        <v>2019</v>
      </c>
      <c r="J32" s="67" t="str">
        <f>IF(Yards[[#This Row],[RAD/PACT]]="","",IF((Yards[[#This Row],[RAD/PACT]]&lt;=2025),"Yes",""))</f>
        <v>Yes</v>
      </c>
      <c r="K32" s="67" t="str">
        <f ca="1">IF(VLOOKUP(Yards[[#This Row],[DEVELOPMENT]],ExtComp[],8,FALSE)&lt;=5,"new","old")</f>
        <v>old</v>
      </c>
      <c r="L32" s="104">
        <f>IF(Yards[[#This Row],[RAD/PACT by 2025]]="Yes",0,INDEX(UnitCosts[],MATCH(Yards[[#This Row],[WORK TYPE]],UnitCosts[Work Type],0),2))</f>
        <v>0</v>
      </c>
      <c r="M32" s="1"/>
      <c r="N32" s="1"/>
      <c r="O32" s="1"/>
      <c r="P32" s="16"/>
    </row>
    <row r="33" spans="1:16" x14ac:dyDescent="0.25">
      <c r="A33" s="13" t="s">
        <v>111</v>
      </c>
      <c r="B33" s="67" t="str">
        <f>VLOOKUP(Yards[[#This Row],[DEVELOPMENT]],Data[],2,FALSE)</f>
        <v>MANHATTAN</v>
      </c>
      <c r="C3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33" s="67">
        <f>VLOOKUP(Yards[[#This Row],[DEVELOPMENT]],Data[],30,FALSE)</f>
        <v>2</v>
      </c>
      <c r="E33" s="67">
        <f>VLOOKUP(Yards[[#This Row],[DEVELOPMENT]],Data[],28,FALSE)</f>
        <v>0</v>
      </c>
      <c r="F33" s="66" t="str">
        <f>VLOOKUP(Yards[[#This Row],[DEVELOPMENT]],Data[],8,FALSE)</f>
        <v>Zone 3</v>
      </c>
      <c r="G33" s="66" t="str">
        <f>VLOOKUP(Yards[[#This Row],[DEVELOPMENT]],Data[],9,FALSE)</f>
        <v>$</v>
      </c>
      <c r="H33" s="66"/>
      <c r="I33" s="67" t="str">
        <f>IFERROR(VLOOKUP(Yards[[#This Row],[DEVELOPMENT]],Data[],4,FALSE),"")</f>
        <v/>
      </c>
      <c r="J33" s="67" t="str">
        <f>IF(Yards[[#This Row],[RAD/PACT]]="","",IF((Yards[[#This Row],[RAD/PACT]]&lt;=2025),"Yes",""))</f>
        <v/>
      </c>
      <c r="K33" s="67" t="str">
        <f ca="1">IF(VLOOKUP(Yards[[#This Row],[DEVELOPMENT]],ExtComp[],8,FALSE)&lt;=5,"new","old")</f>
        <v>old</v>
      </c>
      <c r="L33" s="104">
        <f ca="1">IF(Yards[[#This Row],[RAD/PACT by 2025]]="Yes",0,INDEX(UnitCosts[],MATCH(Yards[[#This Row],[WORK TYPE]],UnitCosts[Work Type],0),2))</f>
        <v>1591050.0199999998</v>
      </c>
      <c r="M33" s="1"/>
      <c r="N33" s="1"/>
      <c r="O33" s="1"/>
      <c r="P33" s="16"/>
    </row>
    <row r="34" spans="1:16" x14ac:dyDescent="0.25">
      <c r="A34" s="13" t="s">
        <v>80</v>
      </c>
      <c r="B34" s="67" t="str">
        <f>VLOOKUP(Yards[[#This Row],[DEVELOPMENT]],Data[],2,FALSE)</f>
        <v>MANHATTAN</v>
      </c>
      <c r="C3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4" s="67">
        <f>VLOOKUP(Yards[[#This Row],[DEVELOPMENT]],Data[],30,FALSE)</f>
        <v>0</v>
      </c>
      <c r="E34" s="67">
        <f>VLOOKUP(Yards[[#This Row],[DEVELOPMENT]],Data[],28,FALSE)</f>
        <v>0</v>
      </c>
      <c r="F34" s="66" t="str">
        <f>VLOOKUP(Yards[[#This Row],[DEVELOPMENT]],Data[],8,FALSE)</f>
        <v>Zone 3</v>
      </c>
      <c r="G34" s="66" t="str">
        <f>VLOOKUP(Yards[[#This Row],[DEVELOPMENT]],Data[],9,FALSE)</f>
        <v>$</v>
      </c>
      <c r="H34" s="66"/>
      <c r="I34" s="67">
        <f>IFERROR(VLOOKUP(Yards[[#This Row],[DEVELOPMENT]],Data[],4,FALSE),"")</f>
        <v>2019</v>
      </c>
      <c r="J34" s="67" t="str">
        <f>IF(Yards[[#This Row],[RAD/PACT]]="","",IF((Yards[[#This Row],[RAD/PACT]]&lt;=2025),"Yes",""))</f>
        <v>Yes</v>
      </c>
      <c r="K34" s="67" t="str">
        <f ca="1">IF(VLOOKUP(Yards[[#This Row],[DEVELOPMENT]],ExtComp[],8,FALSE)&lt;=5,"new","old")</f>
        <v>old</v>
      </c>
      <c r="L34" s="104">
        <f>IF(Yards[[#This Row],[RAD/PACT by 2025]]="Yes",0,INDEX(UnitCosts[],MATCH(Yards[[#This Row],[WORK TYPE]],UnitCosts[Work Type],0),2))</f>
        <v>0</v>
      </c>
      <c r="M34" s="1"/>
      <c r="N34" s="1"/>
      <c r="O34" s="1"/>
      <c r="P34" s="16"/>
    </row>
    <row r="35" spans="1:16" x14ac:dyDescent="0.25">
      <c r="A35" s="13" t="s">
        <v>117</v>
      </c>
      <c r="B35" s="67" t="str">
        <f>VLOOKUP(Yards[[#This Row],[DEVELOPMENT]],Data[],2,FALSE)</f>
        <v>MANHATTAN</v>
      </c>
      <c r="C3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5" s="67">
        <f>VLOOKUP(Yards[[#This Row],[DEVELOPMENT]],Data[],30,FALSE)</f>
        <v>0</v>
      </c>
      <c r="E35" s="67">
        <f>VLOOKUP(Yards[[#This Row],[DEVELOPMENT]],Data[],28,FALSE)</f>
        <v>0</v>
      </c>
      <c r="F35" s="66" t="str">
        <f>VLOOKUP(Yards[[#This Row],[DEVELOPMENT]],Data[],8,FALSE)</f>
        <v>Zone 3</v>
      </c>
      <c r="G35" s="66" t="str">
        <f>VLOOKUP(Yards[[#This Row],[DEVELOPMENT]],Data[],9,FALSE)</f>
        <v>$</v>
      </c>
      <c r="H35" s="66"/>
      <c r="I35" s="67">
        <f>IFERROR(VLOOKUP(Yards[[#This Row],[DEVELOPMENT]],Data[],4,FALSE),"")</f>
        <v>2020</v>
      </c>
      <c r="J35" s="67" t="str">
        <f>IF(Yards[[#This Row],[RAD/PACT]]="","",IF((Yards[[#This Row],[RAD/PACT]]&lt;=2025),"Yes",""))</f>
        <v>Yes</v>
      </c>
      <c r="K35" s="67" t="str">
        <f ca="1">IF(VLOOKUP(Yards[[#This Row],[DEVELOPMENT]],ExtComp[],8,FALSE)&lt;=5,"new","old")</f>
        <v>old</v>
      </c>
      <c r="L35" s="104">
        <f>IF(Yards[[#This Row],[RAD/PACT by 2025]]="Yes",0,INDEX(UnitCosts[],MATCH(Yards[[#This Row],[WORK TYPE]],UnitCosts[Work Type],0),2))</f>
        <v>0</v>
      </c>
      <c r="M35" s="1"/>
      <c r="N35" s="1"/>
      <c r="O35" s="1"/>
      <c r="P35" s="16"/>
    </row>
    <row r="36" spans="1:16" x14ac:dyDescent="0.25">
      <c r="A36" s="13" t="s">
        <v>82</v>
      </c>
      <c r="B36" s="67" t="str">
        <f>VLOOKUP(Yards[[#This Row],[DEVELOPMENT]],Data[],2,FALSE)</f>
        <v>MANHATTAN</v>
      </c>
      <c r="C3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6" s="67">
        <f>VLOOKUP(Yards[[#This Row],[DEVELOPMENT]],Data[],30,FALSE)</f>
        <v>0</v>
      </c>
      <c r="E36" s="67">
        <f>VLOOKUP(Yards[[#This Row],[DEVELOPMENT]],Data[],28,FALSE)</f>
        <v>0</v>
      </c>
      <c r="F36" s="66" t="str">
        <f>VLOOKUP(Yards[[#This Row],[DEVELOPMENT]],Data[],8,FALSE)</f>
        <v>Zone 3</v>
      </c>
      <c r="G36" s="66" t="str">
        <f>VLOOKUP(Yards[[#This Row],[DEVELOPMENT]],Data[],9,FALSE)</f>
        <v>$$</v>
      </c>
      <c r="H36" s="66"/>
      <c r="I36" s="67">
        <f>IFERROR(VLOOKUP(Yards[[#This Row],[DEVELOPMENT]],Data[],4,FALSE),"")</f>
        <v>2020</v>
      </c>
      <c r="J36" s="67" t="str">
        <f>IF(Yards[[#This Row],[RAD/PACT]]="","",IF((Yards[[#This Row],[RAD/PACT]]&lt;=2025),"Yes",""))</f>
        <v>Yes</v>
      </c>
      <c r="K36" s="67" t="str">
        <f ca="1">IF(VLOOKUP(Yards[[#This Row],[DEVELOPMENT]],ExtComp[],8,FALSE)&lt;=5,"new","old")</f>
        <v>old</v>
      </c>
      <c r="L36" s="104">
        <f>IF(Yards[[#This Row],[RAD/PACT by 2025]]="Yes",0,INDEX(UnitCosts[],MATCH(Yards[[#This Row],[WORK TYPE]],UnitCosts[Work Type],0),2))</f>
        <v>0</v>
      </c>
      <c r="M36" s="1"/>
      <c r="N36" s="1"/>
      <c r="O36" s="1"/>
      <c r="P36" s="16"/>
    </row>
    <row r="37" spans="1:16" x14ac:dyDescent="0.25">
      <c r="A37" s="13" t="s">
        <v>84</v>
      </c>
      <c r="B37" s="67" t="str">
        <f>VLOOKUP(Yards[[#This Row],[DEVELOPMENT]],Data[],2,FALSE)</f>
        <v>BROOKLYN</v>
      </c>
      <c r="C3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7" s="67">
        <f>VLOOKUP(Yards[[#This Row],[DEVELOPMENT]],Data[],30,FALSE)</f>
        <v>0</v>
      </c>
      <c r="E37" s="67">
        <f>VLOOKUP(Yards[[#This Row],[DEVELOPMENT]],Data[],28,FALSE)</f>
        <v>0</v>
      </c>
      <c r="F37" s="66" t="str">
        <f>VLOOKUP(Yards[[#This Row],[DEVELOPMENT]],Data[],8,FALSE)</f>
        <v>Zone 3</v>
      </c>
      <c r="G37" s="66" t="str">
        <f>VLOOKUP(Yards[[#This Row],[DEVELOPMENT]],Data[],9,FALSE)</f>
        <v>$</v>
      </c>
      <c r="H37" s="66"/>
      <c r="I37" s="67" t="str">
        <f>IFERROR(VLOOKUP(Yards[[#This Row],[DEVELOPMENT]],Data[],4,FALSE),"")</f>
        <v/>
      </c>
      <c r="J37" s="67" t="str">
        <f>IF(Yards[[#This Row],[RAD/PACT]]="","",IF((Yards[[#This Row],[RAD/PACT]]&lt;=2025),"Yes",""))</f>
        <v/>
      </c>
      <c r="K37" s="67" t="str">
        <f ca="1">IF(VLOOKUP(Yards[[#This Row],[DEVELOPMENT]],ExtComp[],8,FALSE)&lt;=5,"new","old")</f>
        <v>old</v>
      </c>
      <c r="L37" s="104">
        <f>IF(Yards[[#This Row],[RAD/PACT by 2025]]="Yes",0,INDEX(UnitCosts[],MATCH(Yards[[#This Row],[WORK TYPE]],UnitCosts[Work Type],0),2))</f>
        <v>1159792.78</v>
      </c>
      <c r="M37" s="1"/>
      <c r="N37" s="1"/>
      <c r="O37" s="1"/>
      <c r="P37" s="16"/>
    </row>
    <row r="38" spans="1:16" x14ac:dyDescent="0.25">
      <c r="A38" s="13" t="s">
        <v>87</v>
      </c>
      <c r="B38" s="67" t="str">
        <f>VLOOKUP(Yards[[#This Row],[DEVELOPMENT]],Data[],2,FALSE)</f>
        <v>MANHATTAN</v>
      </c>
      <c r="C3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8" s="67">
        <f>VLOOKUP(Yards[[#This Row],[DEVELOPMENT]],Data[],30,FALSE)</f>
        <v>0</v>
      </c>
      <c r="E38" s="67">
        <f>VLOOKUP(Yards[[#This Row],[DEVELOPMENT]],Data[],28,FALSE)</f>
        <v>0</v>
      </c>
      <c r="F38" s="66" t="str">
        <f>VLOOKUP(Yards[[#This Row],[DEVELOPMENT]],Data[],8,FALSE)</f>
        <v>Zone 3</v>
      </c>
      <c r="G38" s="66" t="str">
        <f>VLOOKUP(Yards[[#This Row],[DEVELOPMENT]],Data[],9,FALSE)</f>
        <v>$</v>
      </c>
      <c r="H38" s="66"/>
      <c r="I38" s="67">
        <f>IFERROR(VLOOKUP(Yards[[#This Row],[DEVELOPMENT]],Data[],4,FALSE),"")</f>
        <v>2019</v>
      </c>
      <c r="J38" s="67" t="str">
        <f>IF(Yards[[#This Row],[RAD/PACT]]="","",IF((Yards[[#This Row],[RAD/PACT]]&lt;=2025),"Yes",""))</f>
        <v>Yes</v>
      </c>
      <c r="K38" s="67" t="str">
        <f ca="1">IF(VLOOKUP(Yards[[#This Row],[DEVELOPMENT]],ExtComp[],8,FALSE)&lt;=5,"new","old")</f>
        <v>old</v>
      </c>
      <c r="L38" s="104">
        <f>IF(Yards[[#This Row],[RAD/PACT by 2025]]="Yes",0,INDEX(UnitCosts[],MATCH(Yards[[#This Row],[WORK TYPE]],UnitCosts[Work Type],0),2))</f>
        <v>0</v>
      </c>
      <c r="M38" s="1"/>
      <c r="N38" s="1"/>
      <c r="O38" s="1"/>
      <c r="P38" s="16"/>
    </row>
    <row r="39" spans="1:16" x14ac:dyDescent="0.25">
      <c r="A39" s="13" t="s">
        <v>88</v>
      </c>
      <c r="B39" s="67" t="str">
        <f>VLOOKUP(Yards[[#This Row],[DEVELOPMENT]],Data[],2,FALSE)</f>
        <v>MANHATTAN</v>
      </c>
      <c r="C3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9" s="67">
        <f>VLOOKUP(Yards[[#This Row],[DEVELOPMENT]],Data[],30,FALSE)</f>
        <v>0</v>
      </c>
      <c r="E39" s="67">
        <f>VLOOKUP(Yards[[#This Row],[DEVELOPMENT]],Data[],28,FALSE)</f>
        <v>0</v>
      </c>
      <c r="F39" s="66" t="str">
        <f>VLOOKUP(Yards[[#This Row],[DEVELOPMENT]],Data[],8,FALSE)</f>
        <v>Zone 3</v>
      </c>
      <c r="G39" s="66" t="str">
        <f>VLOOKUP(Yards[[#This Row],[DEVELOPMENT]],Data[],9,FALSE)</f>
        <v>$</v>
      </c>
      <c r="H39" s="66"/>
      <c r="I39" s="67">
        <f>IFERROR(VLOOKUP(Yards[[#This Row],[DEVELOPMENT]],Data[],4,FALSE),"")</f>
        <v>2019</v>
      </c>
      <c r="J39" s="67" t="str">
        <f>IF(Yards[[#This Row],[RAD/PACT]]="","",IF((Yards[[#This Row],[RAD/PACT]]&lt;=2025),"Yes",""))</f>
        <v>Yes</v>
      </c>
      <c r="K39" s="67" t="str">
        <f ca="1">IF(VLOOKUP(Yards[[#This Row],[DEVELOPMENT]],ExtComp[],8,FALSE)&lt;=5,"new","old")</f>
        <v>old</v>
      </c>
      <c r="L39" s="104">
        <f>IF(Yards[[#This Row],[RAD/PACT by 2025]]="Yes",0,INDEX(UnitCosts[],MATCH(Yards[[#This Row],[WORK TYPE]],UnitCosts[Work Type],0),2))</f>
        <v>0</v>
      </c>
      <c r="M39" s="1"/>
      <c r="N39" s="1"/>
      <c r="O39" s="1"/>
      <c r="P39" s="16"/>
    </row>
    <row r="40" spans="1:16" x14ac:dyDescent="0.25">
      <c r="A40" s="13" t="s">
        <v>89</v>
      </c>
      <c r="B40" s="67" t="str">
        <f>VLOOKUP(Yards[[#This Row],[DEVELOPMENT]],Data[],2,FALSE)</f>
        <v>MANHATTAN</v>
      </c>
      <c r="C4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40" s="67">
        <f>VLOOKUP(Yards[[#This Row],[DEVELOPMENT]],Data[],30,FALSE)</f>
        <v>0</v>
      </c>
      <c r="E40" s="67">
        <f>VLOOKUP(Yards[[#This Row],[DEVELOPMENT]],Data[],28,FALSE)</f>
        <v>0</v>
      </c>
      <c r="F40" s="66" t="str">
        <f>VLOOKUP(Yards[[#This Row],[DEVELOPMENT]],Data[],8,FALSE)</f>
        <v>Zone 3</v>
      </c>
      <c r="G40" s="66" t="str">
        <f>VLOOKUP(Yards[[#This Row],[DEVELOPMENT]],Data[],9,FALSE)</f>
        <v>$$</v>
      </c>
      <c r="H40" s="66"/>
      <c r="I40" s="67">
        <f>IFERROR(VLOOKUP(Yards[[#This Row],[DEVELOPMENT]],Data[],4,FALSE),"")</f>
        <v>2020</v>
      </c>
      <c r="J40" s="67" t="str">
        <f>IF(Yards[[#This Row],[RAD/PACT]]="","",IF((Yards[[#This Row],[RAD/PACT]]&lt;=2025),"Yes",""))</f>
        <v>Yes</v>
      </c>
      <c r="K40" s="67" t="str">
        <f ca="1">IF(VLOOKUP(Yards[[#This Row],[DEVELOPMENT]],ExtComp[],8,FALSE)&lt;=5,"new","old")</f>
        <v>old</v>
      </c>
      <c r="L40" s="104">
        <f>IF(Yards[[#This Row],[RAD/PACT by 2025]]="Yes",0,INDEX(UnitCosts[],MATCH(Yards[[#This Row],[WORK TYPE]],UnitCosts[Work Type],0),2))</f>
        <v>0</v>
      </c>
      <c r="M40" s="1"/>
      <c r="N40" s="1"/>
      <c r="O40" s="1"/>
      <c r="P40" s="16"/>
    </row>
    <row r="41" spans="1:16" x14ac:dyDescent="0.25">
      <c r="A41" s="13" t="s">
        <v>114</v>
      </c>
      <c r="B41" s="67" t="str">
        <f>VLOOKUP(Yards[[#This Row],[DEVELOPMENT]],Data[],2,FALSE)</f>
        <v>BRONX</v>
      </c>
      <c r="C4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41" s="67">
        <f>VLOOKUP(Yards[[#This Row],[DEVELOPMENT]],Data[],30,FALSE)</f>
        <v>2</v>
      </c>
      <c r="E41" s="67">
        <f>VLOOKUP(Yards[[#This Row],[DEVELOPMENT]],Data[],28,FALSE)</f>
        <v>0</v>
      </c>
      <c r="F41" s="66" t="str">
        <f>VLOOKUP(Yards[[#This Row],[DEVELOPMENT]],Data[],8,FALSE)</f>
        <v>Zone 3</v>
      </c>
      <c r="G41" s="66" t="str">
        <f>VLOOKUP(Yards[[#This Row],[DEVELOPMENT]],Data[],9,FALSE)</f>
        <v>$</v>
      </c>
      <c r="H41" s="66"/>
      <c r="I41" s="67" t="str">
        <f>IFERROR(VLOOKUP(Yards[[#This Row],[DEVELOPMENT]],Data[],4,FALSE),"")</f>
        <v/>
      </c>
      <c r="J41" s="67" t="str">
        <f>IF(Yards[[#This Row],[RAD/PACT]]="","",IF((Yards[[#This Row],[RAD/PACT]]&lt;=2025),"Yes",""))</f>
        <v/>
      </c>
      <c r="K41" s="67" t="str">
        <f ca="1">IF(VLOOKUP(Yards[[#This Row],[DEVELOPMENT]],ExtComp[],8,FALSE)&lt;=5,"new","old")</f>
        <v>old</v>
      </c>
      <c r="L41" s="104">
        <f ca="1">IF(Yards[[#This Row],[RAD/PACT by 2025]]="Yes",0,INDEX(UnitCosts[],MATCH(Yards[[#This Row],[WORK TYPE]],UnitCosts[Work Type],0),2))</f>
        <v>1591050.0199999998</v>
      </c>
      <c r="M41" s="1"/>
      <c r="N41" s="1"/>
      <c r="O41" s="1"/>
      <c r="P41" s="16"/>
    </row>
    <row r="42" spans="1:16" x14ac:dyDescent="0.25">
      <c r="A42" s="13" t="s">
        <v>91</v>
      </c>
      <c r="B42" s="67" t="str">
        <f>VLOOKUP(Yards[[#This Row],[DEVELOPMENT]],Data[],2,FALSE)</f>
        <v>BRONX</v>
      </c>
      <c r="C42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42" s="67">
        <f>VLOOKUP(Yards[[#This Row],[DEVELOPMENT]],Data[],30,FALSE)</f>
        <v>1</v>
      </c>
      <c r="E42" s="67">
        <f>VLOOKUP(Yards[[#This Row],[DEVELOPMENT]],Data[],28,FALSE)</f>
        <v>0</v>
      </c>
      <c r="F42" s="66" t="str">
        <f>VLOOKUP(Yards[[#This Row],[DEVELOPMENT]],Data[],8,FALSE)</f>
        <v>Zone 3</v>
      </c>
      <c r="G42" s="66" t="str">
        <f>VLOOKUP(Yards[[#This Row],[DEVELOPMENT]],Data[],9,FALSE)</f>
        <v>$$</v>
      </c>
      <c r="H42" s="66"/>
      <c r="I42" s="67" t="str">
        <f>IFERROR(VLOOKUP(Yards[[#This Row],[DEVELOPMENT]],Data[],4,FALSE),"")</f>
        <v/>
      </c>
      <c r="J42" s="67" t="str">
        <f>IF(Yards[[#This Row],[RAD/PACT]]="","",IF((Yards[[#This Row],[RAD/PACT]]&lt;=2025),"Yes",""))</f>
        <v/>
      </c>
      <c r="K42" s="67" t="str">
        <f ca="1">IF(VLOOKUP(Yards[[#This Row],[DEVELOPMENT]],ExtComp[],8,FALSE)&lt;=5,"new","old")</f>
        <v>old</v>
      </c>
      <c r="L42" s="104">
        <f ca="1">IF(Yards[[#This Row],[RAD/PACT by 2025]]="Yes",0,INDEX(UnitCosts[],MATCH(Yards[[#This Row],[WORK TYPE]],UnitCosts[Work Type],0),2))</f>
        <v>1159792.78</v>
      </c>
      <c r="M42" s="1"/>
      <c r="N42" s="1"/>
      <c r="O42" s="1"/>
      <c r="P42" s="16"/>
    </row>
    <row r="43" spans="1:16" x14ac:dyDescent="0.25">
      <c r="A43" s="13" t="s">
        <v>93</v>
      </c>
      <c r="B43" s="67" t="str">
        <f>VLOOKUP(Yards[[#This Row],[DEVELOPMENT]],Data[],2,FALSE)</f>
        <v>MANHATTAN</v>
      </c>
      <c r="C4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43" s="67">
        <f>VLOOKUP(Yards[[#This Row],[DEVELOPMENT]],Data[],30,FALSE)</f>
        <v>0</v>
      </c>
      <c r="E43" s="67">
        <f>VLOOKUP(Yards[[#This Row],[DEVELOPMENT]],Data[],28,FALSE)</f>
        <v>0</v>
      </c>
      <c r="F43" s="66" t="str">
        <f>VLOOKUP(Yards[[#This Row],[DEVELOPMENT]],Data[],8,FALSE)</f>
        <v>Zone 3</v>
      </c>
      <c r="G43" s="66" t="str">
        <f>VLOOKUP(Yards[[#This Row],[DEVELOPMENT]],Data[],9,FALSE)</f>
        <v>$$</v>
      </c>
      <c r="H43" s="66"/>
      <c r="I43" s="67">
        <f>IFERROR(VLOOKUP(Yards[[#This Row],[DEVELOPMENT]],Data[],4,FALSE),"")</f>
        <v>2019</v>
      </c>
      <c r="J43" s="67" t="str">
        <f>IF(Yards[[#This Row],[RAD/PACT]]="","",IF((Yards[[#This Row],[RAD/PACT]]&lt;=2025),"Yes",""))</f>
        <v>Yes</v>
      </c>
      <c r="K43" s="67" t="str">
        <f ca="1">IF(VLOOKUP(Yards[[#This Row],[DEVELOPMENT]],ExtComp[],8,FALSE)&lt;=5,"new","old")</f>
        <v>old</v>
      </c>
      <c r="L43" s="104">
        <f>IF(Yards[[#This Row],[RAD/PACT by 2025]]="Yes",0,INDEX(UnitCosts[],MATCH(Yards[[#This Row],[WORK TYPE]],UnitCosts[Work Type],0),2))</f>
        <v>0</v>
      </c>
      <c r="M43" s="1"/>
      <c r="N43" s="1"/>
      <c r="O43" s="1"/>
      <c r="P43" s="16"/>
    </row>
    <row r="44" spans="1:16" x14ac:dyDescent="0.25">
      <c r="A44" s="13" t="s">
        <v>132</v>
      </c>
      <c r="B44" s="67" t="str">
        <f>VLOOKUP(Yards[[#This Row],[DEVELOPMENT]],Data[],2,FALSE)</f>
        <v>BRONX</v>
      </c>
      <c r="C4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44" s="67">
        <f>VLOOKUP(Yards[[#This Row],[DEVELOPMENT]],Data[],30,FALSE)</f>
        <v>0</v>
      </c>
      <c r="E44" s="67">
        <f>VLOOKUP(Yards[[#This Row],[DEVELOPMENT]],Data[],28,FALSE)</f>
        <v>0</v>
      </c>
      <c r="F44" s="66" t="str">
        <f>VLOOKUP(Yards[[#This Row],[DEVELOPMENT]],Data[],8,FALSE)</f>
        <v>Zone 3</v>
      </c>
      <c r="G44" s="66" t="str">
        <f>VLOOKUP(Yards[[#This Row],[DEVELOPMENT]],Data[],9,FALSE)</f>
        <v>$$</v>
      </c>
      <c r="H44" s="66"/>
      <c r="I44" s="67">
        <f>IFERROR(VLOOKUP(Yards[[#This Row],[DEVELOPMENT]],Data[],4,FALSE),"")</f>
        <v>2025</v>
      </c>
      <c r="J44" s="67" t="str">
        <f>IF(Yards[[#This Row],[RAD/PACT]]="","",IF((Yards[[#This Row],[RAD/PACT]]&lt;=2025),"Yes",""))</f>
        <v>Yes</v>
      </c>
      <c r="K44" s="67" t="str">
        <f ca="1">IF(VLOOKUP(Yards[[#This Row],[DEVELOPMENT]],ExtComp[],8,FALSE)&lt;=5,"new","old")</f>
        <v>old</v>
      </c>
      <c r="L44" s="104">
        <f>IF(Yards[[#This Row],[RAD/PACT by 2025]]="Yes",0,INDEX(UnitCosts[],MATCH(Yards[[#This Row],[WORK TYPE]],UnitCosts[Work Type],0),2))</f>
        <v>0</v>
      </c>
      <c r="M44" s="1"/>
      <c r="N44" s="1"/>
      <c r="O44" s="1"/>
      <c r="P44" s="16"/>
    </row>
    <row r="45" spans="1:16" x14ac:dyDescent="0.25">
      <c r="A45" s="13" t="s">
        <v>94</v>
      </c>
      <c r="B45" s="67" t="str">
        <f>VLOOKUP(Yards[[#This Row],[DEVELOPMENT]],Data[],2,FALSE)</f>
        <v>MANHATTAN</v>
      </c>
      <c r="C4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45" s="67">
        <f>VLOOKUP(Yards[[#This Row],[DEVELOPMENT]],Data[],30,FALSE)</f>
        <v>0</v>
      </c>
      <c r="E45" s="67">
        <f>VLOOKUP(Yards[[#This Row],[DEVELOPMENT]],Data[],28,FALSE)</f>
        <v>0</v>
      </c>
      <c r="F45" s="66" t="str">
        <f>VLOOKUP(Yards[[#This Row],[DEVELOPMENT]],Data[],8,FALSE)</f>
        <v>Zone 3</v>
      </c>
      <c r="G45" s="66" t="str">
        <f>VLOOKUP(Yards[[#This Row],[DEVELOPMENT]],Data[],9,FALSE)</f>
        <v>$</v>
      </c>
      <c r="H45" s="66"/>
      <c r="I45" s="67">
        <f>IFERROR(VLOOKUP(Yards[[#This Row],[DEVELOPMENT]],Data[],4,FALSE),"")</f>
        <v>2019</v>
      </c>
      <c r="J45" s="67" t="str">
        <f>IF(Yards[[#This Row],[RAD/PACT]]="","",IF((Yards[[#This Row],[RAD/PACT]]&lt;=2025),"Yes",""))</f>
        <v>Yes</v>
      </c>
      <c r="K45" s="67" t="str">
        <f ca="1">IF(VLOOKUP(Yards[[#This Row],[DEVELOPMENT]],ExtComp[],8,FALSE)&lt;=5,"new","old")</f>
        <v>old</v>
      </c>
      <c r="L45" s="104">
        <f>IF(Yards[[#This Row],[RAD/PACT by 2025]]="Yes",0,INDEX(UnitCosts[],MATCH(Yards[[#This Row],[WORK TYPE]],UnitCosts[Work Type],0),2))</f>
        <v>0</v>
      </c>
      <c r="M45" s="1"/>
      <c r="N45" s="1"/>
      <c r="O45" s="1"/>
      <c r="P45" s="16"/>
    </row>
    <row r="46" spans="1:16" x14ac:dyDescent="0.25">
      <c r="A46" s="13" t="s">
        <v>134</v>
      </c>
      <c r="B46" s="67" t="str">
        <f>VLOOKUP(Yards[[#This Row],[DEVELOPMENT]],Data[],2,FALSE)</f>
        <v>QUEENS</v>
      </c>
      <c r="C4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46" s="67">
        <f>VLOOKUP(Yards[[#This Row],[DEVELOPMENT]],Data[],30,FALSE)</f>
        <v>0</v>
      </c>
      <c r="E46" s="67">
        <f>VLOOKUP(Yards[[#This Row],[DEVELOPMENT]],Data[],28,FALSE)</f>
        <v>0</v>
      </c>
      <c r="F46" s="66" t="str">
        <f>VLOOKUP(Yards[[#This Row],[DEVELOPMENT]],Data[],8,FALSE)</f>
        <v>Zone 3</v>
      </c>
      <c r="G46" s="66" t="str">
        <f>VLOOKUP(Yards[[#This Row],[DEVELOPMENT]],Data[],9,FALSE)</f>
        <v>$</v>
      </c>
      <c r="H46" s="66"/>
      <c r="I46" s="67" t="str">
        <f>IFERROR(VLOOKUP(Yards[[#This Row],[DEVELOPMENT]],Data[],4,FALSE),"")</f>
        <v/>
      </c>
      <c r="J46" s="67" t="str">
        <f>IF(Yards[[#This Row],[RAD/PACT]]="","",IF((Yards[[#This Row],[RAD/PACT]]&lt;=2025),"Yes",""))</f>
        <v/>
      </c>
      <c r="K46" s="67" t="str">
        <f ca="1">IF(VLOOKUP(Yards[[#This Row],[DEVELOPMENT]],ExtComp[],8,FALSE)&lt;=5,"new","old")</f>
        <v>old</v>
      </c>
      <c r="L46" s="104">
        <f>IF(Yards[[#This Row],[RAD/PACT by 2025]]="Yes",0,INDEX(UnitCosts[],MATCH(Yards[[#This Row],[WORK TYPE]],UnitCosts[Work Type],0),2))</f>
        <v>1159792.78</v>
      </c>
      <c r="M46" s="1"/>
      <c r="N46" s="1"/>
      <c r="O46" s="1"/>
      <c r="P46" s="16"/>
    </row>
    <row r="47" spans="1:16" x14ac:dyDescent="0.25">
      <c r="A47" s="13" t="s">
        <v>135</v>
      </c>
      <c r="B47" s="67" t="str">
        <f>VLOOKUP(Yards[[#This Row],[DEVELOPMENT]],Data[],2,FALSE)</f>
        <v>QUEENS</v>
      </c>
      <c r="C47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v7</v>
      </c>
      <c r="D47" s="67">
        <f>VLOOKUP(Yards[[#This Row],[DEVELOPMENT]],Data[],30,FALSE)</f>
        <v>6</v>
      </c>
      <c r="E47" s="67">
        <f>VLOOKUP(Yards[[#This Row],[DEVELOPMENT]],Data[],28,FALSE)</f>
        <v>0</v>
      </c>
      <c r="F47" s="66" t="str">
        <f>VLOOKUP(Yards[[#This Row],[DEVELOPMENT]],Data[],8,FALSE)</f>
        <v>Zone 3</v>
      </c>
      <c r="G47" s="66" t="str">
        <f>VLOOKUP(Yards[[#This Row],[DEVELOPMENT]],Data[],9,FALSE)</f>
        <v>$</v>
      </c>
      <c r="H47" s="66"/>
      <c r="I47" s="67" t="str">
        <f>IFERROR(VLOOKUP(Yards[[#This Row],[DEVELOPMENT]],Data[],4,FALSE),"")</f>
        <v/>
      </c>
      <c r="J47" s="67" t="str">
        <f>IF(Yards[[#This Row],[RAD/PACT]]="","",IF((Yards[[#This Row],[RAD/PACT]]&lt;=2025),"Yes",""))</f>
        <v/>
      </c>
      <c r="K47" s="67" t="str">
        <f ca="1">IF(VLOOKUP(Yards[[#This Row],[DEVELOPMENT]],ExtComp[],8,FALSE)&lt;=5,"new","old")</f>
        <v>old</v>
      </c>
      <c r="L47" s="104">
        <f ca="1">IF(Yards[[#This Row],[RAD/PACT by 2025]]="Yes",0,INDEX(UnitCosts[],MATCH(Yards[[#This Row],[WORK TYPE]],UnitCosts[Work Type],0),2))</f>
        <v>3316078.9799999995</v>
      </c>
      <c r="M47" s="1"/>
      <c r="N47" s="1"/>
      <c r="O47" s="1"/>
      <c r="P47" s="16"/>
    </row>
    <row r="48" spans="1:16" x14ac:dyDescent="0.25">
      <c r="A48" s="13" t="s">
        <v>123</v>
      </c>
      <c r="B48" s="67" t="str">
        <f>VLOOKUP(Yards[[#This Row],[DEVELOPMENT]],Data[],2,FALSE)</f>
        <v>BRONX</v>
      </c>
      <c r="C48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48" s="67">
        <f>VLOOKUP(Yards[[#This Row],[DEVELOPMENT]],Data[],30,FALSE)</f>
        <v>2</v>
      </c>
      <c r="E48" s="67">
        <f>VLOOKUP(Yards[[#This Row],[DEVELOPMENT]],Data[],28,FALSE)</f>
        <v>0</v>
      </c>
      <c r="F48" s="66" t="str">
        <f>VLOOKUP(Yards[[#This Row],[DEVELOPMENT]],Data[],8,FALSE)</f>
        <v>Zone 3</v>
      </c>
      <c r="G48" s="66" t="str">
        <f>VLOOKUP(Yards[[#This Row],[DEVELOPMENT]],Data[],9,FALSE)</f>
        <v>$</v>
      </c>
      <c r="H48" s="66"/>
      <c r="I48" s="67" t="str">
        <f>IFERROR(VLOOKUP(Yards[[#This Row],[DEVELOPMENT]],Data[],4,FALSE),"")</f>
        <v/>
      </c>
      <c r="J48" s="67" t="str">
        <f>IF(Yards[[#This Row],[RAD/PACT]]="","",IF((Yards[[#This Row],[RAD/PACT]]&lt;=2025),"Yes",""))</f>
        <v/>
      </c>
      <c r="K48" s="67" t="str">
        <f ca="1">IF(VLOOKUP(Yards[[#This Row],[DEVELOPMENT]],ExtComp[],8,FALSE)&lt;=5,"new","old")</f>
        <v>old</v>
      </c>
      <c r="L48" s="104">
        <f ca="1">IF(Yards[[#This Row],[RAD/PACT by 2025]]="Yes",0,INDEX(UnitCosts[],MATCH(Yards[[#This Row],[WORK TYPE]],UnitCosts[Work Type],0),2))</f>
        <v>1591050.0199999998</v>
      </c>
      <c r="M48" s="1"/>
      <c r="N48" s="1"/>
      <c r="O48" s="1"/>
      <c r="P48" s="16"/>
    </row>
    <row r="49" spans="1:16" x14ac:dyDescent="0.25">
      <c r="A49" s="13" t="s">
        <v>96</v>
      </c>
      <c r="B49" s="67" t="str">
        <f>VLOOKUP(Yards[[#This Row],[DEVELOPMENT]],Data[],2,FALSE)</f>
        <v>BRONX</v>
      </c>
      <c r="C4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49" s="67">
        <f>VLOOKUP(Yards[[#This Row],[DEVELOPMENT]],Data[],30,FALSE)</f>
        <v>0</v>
      </c>
      <c r="E49" s="67">
        <f>VLOOKUP(Yards[[#This Row],[DEVELOPMENT]],Data[],28,FALSE)</f>
        <v>0</v>
      </c>
      <c r="F49" s="66" t="str">
        <f>VLOOKUP(Yards[[#This Row],[DEVELOPMENT]],Data[],8,FALSE)</f>
        <v>Zone 3</v>
      </c>
      <c r="G49" s="66" t="str">
        <f>VLOOKUP(Yards[[#This Row],[DEVELOPMENT]],Data[],9,FALSE)</f>
        <v>$$</v>
      </c>
      <c r="H49" s="66"/>
      <c r="I49" s="67">
        <f>IFERROR(VLOOKUP(Yards[[#This Row],[DEVELOPMENT]],Data[],4,FALSE),"")</f>
        <v>2026</v>
      </c>
      <c r="J49" s="67" t="str">
        <f>IF(Yards[[#This Row],[RAD/PACT]]="","",IF((Yards[[#This Row],[RAD/PACT]]&lt;=2025),"Yes",""))</f>
        <v/>
      </c>
      <c r="K49" s="67" t="str">
        <f ca="1">IF(VLOOKUP(Yards[[#This Row],[DEVELOPMENT]],ExtComp[],8,FALSE)&lt;=5,"new","old")</f>
        <v>old</v>
      </c>
      <c r="L49" s="104">
        <f>IF(Yards[[#This Row],[RAD/PACT by 2025]]="Yes",0,INDEX(UnitCosts[],MATCH(Yards[[#This Row],[WORK TYPE]],UnitCosts[Work Type],0),2))</f>
        <v>1159792.78</v>
      </c>
      <c r="M49" s="1"/>
      <c r="N49" s="1"/>
      <c r="O49" s="1"/>
      <c r="P49" s="16"/>
    </row>
    <row r="50" spans="1:16" x14ac:dyDescent="0.25">
      <c r="A50" s="13" t="s">
        <v>97</v>
      </c>
      <c r="B50" s="67" t="str">
        <f>VLOOKUP(Yards[[#This Row],[DEVELOPMENT]],Data[],2,FALSE)</f>
        <v>BRONX</v>
      </c>
      <c r="C5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50" s="67">
        <f>VLOOKUP(Yards[[#This Row],[DEVELOPMENT]],Data[],30,FALSE)</f>
        <v>0</v>
      </c>
      <c r="E50" s="67">
        <f>VLOOKUP(Yards[[#This Row],[DEVELOPMENT]],Data[],28,FALSE)</f>
        <v>0</v>
      </c>
      <c r="F50" s="66" t="str">
        <f>VLOOKUP(Yards[[#This Row],[DEVELOPMENT]],Data[],8,FALSE)</f>
        <v>Zone 3</v>
      </c>
      <c r="G50" s="66" t="str">
        <f>VLOOKUP(Yards[[#This Row],[DEVELOPMENT]],Data[],9,FALSE)</f>
        <v>$$$</v>
      </c>
      <c r="H50" s="66"/>
      <c r="I50" s="67">
        <f>IFERROR(VLOOKUP(Yards[[#This Row],[DEVELOPMENT]],Data[],4,FALSE),"")</f>
        <v>2026</v>
      </c>
      <c r="J50" s="67" t="str">
        <f>IF(Yards[[#This Row],[RAD/PACT]]="","",IF((Yards[[#This Row],[RAD/PACT]]&lt;=2025),"Yes",""))</f>
        <v/>
      </c>
      <c r="K50" s="67" t="str">
        <f ca="1">IF(VLOOKUP(Yards[[#This Row],[DEVELOPMENT]],ExtComp[],8,FALSE)&lt;=5,"new","old")</f>
        <v>old</v>
      </c>
      <c r="L50" s="104">
        <f>IF(Yards[[#This Row],[RAD/PACT by 2025]]="Yes",0,INDEX(UnitCosts[],MATCH(Yards[[#This Row],[WORK TYPE]],UnitCosts[Work Type],0),2))</f>
        <v>1159792.78</v>
      </c>
      <c r="M50" s="1"/>
      <c r="N50" s="1"/>
      <c r="O50" s="1"/>
      <c r="P50" s="16"/>
    </row>
    <row r="51" spans="1:16" x14ac:dyDescent="0.25">
      <c r="A51" s="13" t="s">
        <v>98</v>
      </c>
      <c r="B51" s="67" t="str">
        <f>VLOOKUP(Yards[[#This Row],[DEVELOPMENT]],Data[],2,FALSE)</f>
        <v>BRONX</v>
      </c>
      <c r="C5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51" s="67">
        <f>VLOOKUP(Yards[[#This Row],[DEVELOPMENT]],Data[],30,FALSE)</f>
        <v>0</v>
      </c>
      <c r="E51" s="67">
        <f>VLOOKUP(Yards[[#This Row],[DEVELOPMENT]],Data[],28,FALSE)</f>
        <v>0</v>
      </c>
      <c r="F51" s="66" t="str">
        <f>VLOOKUP(Yards[[#This Row],[DEVELOPMENT]],Data[],8,FALSE)</f>
        <v>Zone 3</v>
      </c>
      <c r="G51" s="66" t="str">
        <f>VLOOKUP(Yards[[#This Row],[DEVELOPMENT]],Data[],9,FALSE)</f>
        <v>$</v>
      </c>
      <c r="H51" s="66"/>
      <c r="I51" s="67">
        <f>IFERROR(VLOOKUP(Yards[[#This Row],[DEVELOPMENT]],Data[],4,FALSE),"")</f>
        <v>2026</v>
      </c>
      <c r="J51" s="67" t="str">
        <f>IF(Yards[[#This Row],[RAD/PACT]]="","",IF((Yards[[#This Row],[RAD/PACT]]&lt;=2025),"Yes",""))</f>
        <v/>
      </c>
      <c r="K51" s="67" t="str">
        <f ca="1">IF(VLOOKUP(Yards[[#This Row],[DEVELOPMENT]],ExtComp[],8,FALSE)&lt;=5,"new","old")</f>
        <v>old</v>
      </c>
      <c r="L51" s="104">
        <f>IF(Yards[[#This Row],[RAD/PACT by 2025]]="Yes",0,INDEX(UnitCosts[],MATCH(Yards[[#This Row],[WORK TYPE]],UnitCosts[Work Type],0),2))</f>
        <v>1159792.78</v>
      </c>
      <c r="M51" s="1"/>
      <c r="N51" s="1"/>
      <c r="O51" s="1"/>
      <c r="P51" s="16"/>
    </row>
    <row r="52" spans="1:16" x14ac:dyDescent="0.25">
      <c r="A52" s="13" t="s">
        <v>99</v>
      </c>
      <c r="B52" s="67" t="str">
        <f>VLOOKUP(Yards[[#This Row],[DEVELOPMENT]],Data[],2,FALSE)</f>
        <v>BRONX</v>
      </c>
      <c r="C52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52" s="67">
        <f>VLOOKUP(Yards[[#This Row],[DEVELOPMENT]],Data[],30,FALSE)</f>
        <v>1</v>
      </c>
      <c r="E52" s="67">
        <f>VLOOKUP(Yards[[#This Row],[DEVELOPMENT]],Data[],28,FALSE)</f>
        <v>0</v>
      </c>
      <c r="F52" s="66" t="str">
        <f>VLOOKUP(Yards[[#This Row],[DEVELOPMENT]],Data[],8,FALSE)</f>
        <v>Zone 3</v>
      </c>
      <c r="G52" s="66" t="str">
        <f>VLOOKUP(Yards[[#This Row],[DEVELOPMENT]],Data[],9,FALSE)</f>
        <v>$</v>
      </c>
      <c r="H52" s="66"/>
      <c r="I52" s="67">
        <f>IFERROR(VLOOKUP(Yards[[#This Row],[DEVELOPMENT]],Data[],4,FALSE),"")</f>
        <v>2026</v>
      </c>
      <c r="J52" s="67" t="str">
        <f>IF(Yards[[#This Row],[RAD/PACT]]="","",IF((Yards[[#This Row],[RAD/PACT]]&lt;=2025),"Yes",""))</f>
        <v/>
      </c>
      <c r="K52" s="67" t="str">
        <f ca="1">IF(VLOOKUP(Yards[[#This Row],[DEVELOPMENT]],ExtComp[],8,FALSE)&lt;=5,"new","old")</f>
        <v>old</v>
      </c>
      <c r="L52" s="104">
        <f ca="1">IF(Yards[[#This Row],[RAD/PACT by 2025]]="Yes",0,INDEX(UnitCosts[],MATCH(Yards[[#This Row],[WORK TYPE]],UnitCosts[Work Type],0),2))</f>
        <v>1159792.78</v>
      </c>
      <c r="M52" s="1"/>
      <c r="N52" s="1"/>
      <c r="O52" s="1"/>
      <c r="P52" s="16"/>
    </row>
    <row r="53" spans="1:16" x14ac:dyDescent="0.25">
      <c r="A53" s="13" t="s">
        <v>101</v>
      </c>
      <c r="B53" s="67" t="str">
        <f>VLOOKUP(Yards[[#This Row],[DEVELOPMENT]],Data[],2,FALSE)</f>
        <v>MANHATTAN</v>
      </c>
      <c r="C5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53" s="67">
        <f>VLOOKUP(Yards[[#This Row],[DEVELOPMENT]],Data[],30,FALSE)</f>
        <v>0</v>
      </c>
      <c r="E53" s="67">
        <f>VLOOKUP(Yards[[#This Row],[DEVELOPMENT]],Data[],28,FALSE)</f>
        <v>0</v>
      </c>
      <c r="F53" s="66" t="str">
        <f>VLOOKUP(Yards[[#This Row],[DEVELOPMENT]],Data[],8,FALSE)</f>
        <v>Zone 3</v>
      </c>
      <c r="G53" s="66" t="str">
        <f>VLOOKUP(Yards[[#This Row],[DEVELOPMENT]],Data[],9,FALSE)</f>
        <v>$</v>
      </c>
      <c r="H53" s="66"/>
      <c r="I53" s="67">
        <f>IFERROR(VLOOKUP(Yards[[#This Row],[DEVELOPMENT]],Data[],4,FALSE),"")</f>
        <v>2019</v>
      </c>
      <c r="J53" s="67" t="str">
        <f>IF(Yards[[#This Row],[RAD/PACT]]="","",IF((Yards[[#This Row],[RAD/PACT]]&lt;=2025),"Yes",""))</f>
        <v>Yes</v>
      </c>
      <c r="K53" s="67" t="str">
        <f ca="1">IF(VLOOKUP(Yards[[#This Row],[DEVELOPMENT]],ExtComp[],8,FALSE)&lt;=5,"new","old")</f>
        <v>old</v>
      </c>
      <c r="L53" s="104">
        <f>IF(Yards[[#This Row],[RAD/PACT by 2025]]="Yes",0,INDEX(UnitCosts[],MATCH(Yards[[#This Row],[WORK TYPE]],UnitCosts[Work Type],0),2))</f>
        <v>0</v>
      </c>
      <c r="M53" s="1"/>
      <c r="N53" s="1"/>
      <c r="O53" s="1"/>
      <c r="P53" s="16"/>
    </row>
    <row r="54" spans="1:16" x14ac:dyDescent="0.25">
      <c r="A54" s="13" t="s">
        <v>67</v>
      </c>
      <c r="B54" s="67" t="str">
        <f>VLOOKUP(Yards[[#This Row],[DEVELOPMENT]],Data[],2,FALSE)</f>
        <v>MANHATTAN</v>
      </c>
      <c r="C5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54" s="67">
        <f>VLOOKUP(Yards[[#This Row],[DEVELOPMENT]],Data[],30,FALSE)</f>
        <v>0</v>
      </c>
      <c r="E54" s="67">
        <f>VLOOKUP(Yards[[#This Row],[DEVELOPMENT]],Data[],28,FALSE)</f>
        <v>0</v>
      </c>
      <c r="F54" s="66" t="str">
        <f>VLOOKUP(Yards[[#This Row],[DEVELOPMENT]],Data[],8,FALSE)</f>
        <v>Zone 2</v>
      </c>
      <c r="G54" s="66" t="str">
        <f>VLOOKUP(Yards[[#This Row],[DEVELOPMENT]],Data[],9,FALSE)</f>
        <v>$</v>
      </c>
      <c r="H54" s="66"/>
      <c r="I54" s="67" t="str">
        <f>IFERROR(VLOOKUP(Yards[[#This Row],[DEVELOPMENT]],Data[],4,FALSE),"")</f>
        <v/>
      </c>
      <c r="J54" s="67" t="str">
        <f>IF(Yards[[#This Row],[RAD/PACT]]="","",IF((Yards[[#This Row],[RAD/PACT]]&lt;=2025),"Yes",""))</f>
        <v/>
      </c>
      <c r="K54" s="67" t="str">
        <f ca="1">IF(VLOOKUP(Yards[[#This Row],[DEVELOPMENT]],ExtComp[],8,FALSE)&lt;=5,"new","old")</f>
        <v>old</v>
      </c>
      <c r="L54" s="104">
        <f>IF(Yards[[#This Row],[RAD/PACT by 2025]]="Yes",0,INDEX(UnitCosts[],MATCH(Yards[[#This Row],[WORK TYPE]],UnitCosts[Work Type],0),2))</f>
        <v>1159792.78</v>
      </c>
      <c r="M54" s="1"/>
      <c r="N54" s="1"/>
      <c r="O54" s="1"/>
      <c r="P54" s="16"/>
    </row>
    <row r="55" spans="1:16" x14ac:dyDescent="0.25">
      <c r="A55" s="13" t="s">
        <v>120</v>
      </c>
      <c r="B55" s="1" t="str">
        <f>VLOOKUP(Yards[[#This Row],[DEVELOPMENT]],Data[],2,FALSE)</f>
        <v>MANHATTAN</v>
      </c>
      <c r="C5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55" s="67">
        <f>VLOOKUP(Yards[[#This Row],[DEVELOPMENT]],Data[],30,FALSE)</f>
        <v>3</v>
      </c>
      <c r="E55" s="67">
        <f>VLOOKUP(Yards[[#This Row],[DEVELOPMENT]],Data[],28,FALSE)</f>
        <v>0</v>
      </c>
      <c r="F55" s="9" t="str">
        <f>VLOOKUP(Yards[[#This Row],[DEVELOPMENT]],Data[],8,FALSE)</f>
        <v>Zone 2</v>
      </c>
      <c r="G55" s="9" t="str">
        <f>VLOOKUP(Yards[[#This Row],[DEVELOPMENT]],Data[],9,FALSE)</f>
        <v>$$</v>
      </c>
      <c r="H55" s="9"/>
      <c r="I55" s="1" t="str">
        <f>IFERROR(VLOOKUP(Yards[[#This Row],[DEVELOPMENT]],Data[],4,FALSE),"")</f>
        <v/>
      </c>
      <c r="J55" s="1" t="str">
        <f>IF(Yards[[#This Row],[RAD/PACT]]="","",IF((Yards[[#This Row],[RAD/PACT]]&lt;=2025),"Yes",""))</f>
        <v/>
      </c>
      <c r="K55" s="1" t="str">
        <f ca="1">IF(VLOOKUP(Yards[[#This Row],[DEVELOPMENT]],ExtComp[],8,FALSE)&lt;=5,"new","old")</f>
        <v>old</v>
      </c>
      <c r="L55" s="3">
        <f ca="1">IF(Yards[[#This Row],[RAD/PACT by 2025]]="Yes",0,INDEX(UnitCosts[],MATCH(Yards[[#This Row],[WORK TYPE]],UnitCosts[Work Type],0),2))</f>
        <v>2022307.2600000005</v>
      </c>
      <c r="M55" s="1"/>
      <c r="N55" s="1"/>
      <c r="O55" s="1"/>
      <c r="P55" s="16"/>
    </row>
    <row r="56" spans="1:16" x14ac:dyDescent="0.25">
      <c r="A56" s="13" t="s">
        <v>129</v>
      </c>
      <c r="B56" s="1" t="str">
        <f>VLOOKUP(Yards[[#This Row],[DEVELOPMENT]],Data[],2,FALSE)</f>
        <v>MANHATTAN</v>
      </c>
      <c r="C5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56" s="67">
        <f>VLOOKUP(Yards[[#This Row],[DEVELOPMENT]],Data[],30,FALSE)</f>
        <v>1</v>
      </c>
      <c r="E56" s="67">
        <f>VLOOKUP(Yards[[#This Row],[DEVELOPMENT]],Data[],28,FALSE)</f>
        <v>0</v>
      </c>
      <c r="F56" s="9" t="str">
        <f>VLOOKUP(Yards[[#This Row],[DEVELOPMENT]],Data[],8,FALSE)</f>
        <v>Zone 2</v>
      </c>
      <c r="G56" s="9" t="str">
        <f>VLOOKUP(Yards[[#This Row],[DEVELOPMENT]],Data[],9,FALSE)</f>
        <v>$$$$</v>
      </c>
      <c r="H56" s="9"/>
      <c r="I56" s="1" t="str">
        <f>IFERROR(VLOOKUP(Yards[[#This Row],[DEVELOPMENT]],Data[],4,FALSE),"")</f>
        <v/>
      </c>
      <c r="J56" s="1" t="str">
        <f>IF(Yards[[#This Row],[RAD/PACT]]="","",IF((Yards[[#This Row],[RAD/PACT]]&lt;=2025),"Yes",""))</f>
        <v/>
      </c>
      <c r="K56" s="1" t="str">
        <f ca="1">IF(VLOOKUP(Yards[[#This Row],[DEVELOPMENT]],ExtComp[],8,FALSE)&lt;=5,"new","old")</f>
        <v>old</v>
      </c>
      <c r="L56" s="3">
        <f ca="1">IF(Yards[[#This Row],[RAD/PACT by 2025]]="Yes",0,INDEX(UnitCosts[],MATCH(Yards[[#This Row],[WORK TYPE]],UnitCosts[Work Type],0),2))</f>
        <v>1159792.78</v>
      </c>
      <c r="M56" s="1"/>
      <c r="N56" s="1"/>
      <c r="O56" s="1"/>
      <c r="P56" s="16"/>
    </row>
    <row r="57" spans="1:16" x14ac:dyDescent="0.25">
      <c r="A57" s="13" t="s">
        <v>74</v>
      </c>
      <c r="B57" s="67" t="str">
        <f>VLOOKUP(Yards[[#This Row],[DEVELOPMENT]],Data[],2,FALSE)</f>
        <v>MANHATTAN</v>
      </c>
      <c r="C5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57" s="67">
        <f>VLOOKUP(Yards[[#This Row],[DEVELOPMENT]],Data[],30,FALSE)</f>
        <v>0</v>
      </c>
      <c r="E57" s="67">
        <f>VLOOKUP(Yards[[#This Row],[DEVELOPMENT]],Data[],28,FALSE)</f>
        <v>0</v>
      </c>
      <c r="F57" s="66" t="str">
        <f>VLOOKUP(Yards[[#This Row],[DEVELOPMENT]],Data[],8,FALSE)</f>
        <v>Zone 2</v>
      </c>
      <c r="G57" s="66" t="str">
        <f>VLOOKUP(Yards[[#This Row],[DEVELOPMENT]],Data[],9,FALSE)</f>
        <v>$</v>
      </c>
      <c r="H57" s="66"/>
      <c r="I57" s="67">
        <f>IFERROR(VLOOKUP(Yards[[#This Row],[DEVELOPMENT]],Data[],4,FALSE),"")</f>
        <v>2026</v>
      </c>
      <c r="J57" s="67" t="str">
        <f>IF(Yards[[#This Row],[RAD/PACT]]="","",IF((Yards[[#This Row],[RAD/PACT]]&lt;=2025),"Yes",""))</f>
        <v/>
      </c>
      <c r="K57" s="67" t="str">
        <f ca="1">IF(VLOOKUP(Yards[[#This Row],[DEVELOPMENT]],ExtComp[],8,FALSE)&lt;=5,"new","old")</f>
        <v>old</v>
      </c>
      <c r="L57" s="104">
        <f>IF(Yards[[#This Row],[RAD/PACT by 2025]]="Yes",0,INDEX(UnitCosts[],MATCH(Yards[[#This Row],[WORK TYPE]],UnitCosts[Work Type],0),2))</f>
        <v>1159792.78</v>
      </c>
      <c r="M57" s="1"/>
      <c r="N57" s="1"/>
      <c r="O57" s="1"/>
      <c r="P57" s="16"/>
    </row>
    <row r="58" spans="1:16" x14ac:dyDescent="0.25">
      <c r="A58" s="13" t="s">
        <v>77</v>
      </c>
      <c r="B58" s="1" t="str">
        <f>VLOOKUP(Yards[[#This Row],[DEVELOPMENT]],Data[],2,FALSE)</f>
        <v>MANHATTAN</v>
      </c>
      <c r="C58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58" s="67">
        <f>VLOOKUP(Yards[[#This Row],[DEVELOPMENT]],Data[],30,FALSE)</f>
        <v>2</v>
      </c>
      <c r="E58" s="67">
        <f>VLOOKUP(Yards[[#This Row],[DEVELOPMENT]],Data[],28,FALSE)</f>
        <v>0</v>
      </c>
      <c r="F58" s="9" t="str">
        <f>VLOOKUP(Yards[[#This Row],[DEVELOPMENT]],Data[],8,FALSE)</f>
        <v>Zone 2</v>
      </c>
      <c r="G58" s="9" t="str">
        <f>VLOOKUP(Yards[[#This Row],[DEVELOPMENT]],Data[],9,FALSE)</f>
        <v>$</v>
      </c>
      <c r="H58" s="9">
        <v>1</v>
      </c>
      <c r="I58" s="1" t="str">
        <f>IFERROR(VLOOKUP(Yards[[#This Row],[DEVELOPMENT]],Data[],4,FALSE),"")</f>
        <v/>
      </c>
      <c r="J58" s="1" t="str">
        <f>IF(Yards[[#This Row],[RAD/PACT]]="","",IF((Yards[[#This Row],[RAD/PACT]]&lt;=2025),"Yes",""))</f>
        <v/>
      </c>
      <c r="K58" s="1" t="str">
        <f ca="1">IF(VLOOKUP(Yards[[#This Row],[DEVELOPMENT]],ExtComp[],8,FALSE)&lt;=5,"new","old")</f>
        <v>old</v>
      </c>
      <c r="L58" s="3">
        <f ca="1">IF(Yards[[#This Row],[RAD/PACT by 2025]]="Yes",0,INDEX(UnitCosts[],MATCH(Yards[[#This Row],[WORK TYPE]],UnitCosts[Work Type],0),2))</f>
        <v>1591050.0199999998</v>
      </c>
      <c r="M58" s="1"/>
      <c r="N58" s="1"/>
      <c r="O58" s="1"/>
      <c r="P58" s="16" t="s">
        <v>394</v>
      </c>
    </row>
    <row r="59" spans="1:16" x14ac:dyDescent="0.25">
      <c r="A59" s="13" t="s">
        <v>78</v>
      </c>
      <c r="B59" s="67" t="str">
        <f>VLOOKUP(Yards[[#This Row],[DEVELOPMENT]],Data[],2,FALSE)</f>
        <v>MANHATTAN</v>
      </c>
      <c r="C5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59" s="67">
        <f>VLOOKUP(Yards[[#This Row],[DEVELOPMENT]],Data[],30,FALSE)</f>
        <v>2</v>
      </c>
      <c r="E59" s="67">
        <f>VLOOKUP(Yards[[#This Row],[DEVELOPMENT]],Data[],28,FALSE)</f>
        <v>0</v>
      </c>
      <c r="F59" s="66" t="str">
        <f>VLOOKUP(Yards[[#This Row],[DEVELOPMENT]],Data[],8,FALSE)</f>
        <v>Zone 2</v>
      </c>
      <c r="G59" s="66" t="str">
        <f>VLOOKUP(Yards[[#This Row],[DEVELOPMENT]],Data[],9,FALSE)</f>
        <v>$</v>
      </c>
      <c r="H59" s="66"/>
      <c r="I59" s="67">
        <f>IFERROR(VLOOKUP(Yards[[#This Row],[DEVELOPMENT]],Data[],4,FALSE),"")</f>
        <v>2024</v>
      </c>
      <c r="J59" s="67" t="str">
        <f>IF(Yards[[#This Row],[RAD/PACT]]="","",IF((Yards[[#This Row],[RAD/PACT]]&lt;=2025),"Yes",""))</f>
        <v>Yes</v>
      </c>
      <c r="K59" s="1" t="str">
        <f ca="1">IF(VLOOKUP(Yards[[#This Row],[DEVELOPMENT]],ExtComp[],8,FALSE)&lt;=5,"new","old")</f>
        <v>old</v>
      </c>
      <c r="L59" s="3">
        <f>IF(Yards[[#This Row],[RAD/PACT by 2025]]="Yes",0,INDEX(UnitCosts[],MATCH(Yards[[#This Row],[WORK TYPE]],UnitCosts[Work Type],0),2))</f>
        <v>0</v>
      </c>
      <c r="M59" s="1"/>
      <c r="N59" s="1"/>
      <c r="O59" s="1"/>
      <c r="P59" s="16"/>
    </row>
    <row r="60" spans="1:16" x14ac:dyDescent="0.25">
      <c r="A60" s="13" t="s">
        <v>81</v>
      </c>
      <c r="B60" s="67" t="str">
        <f>VLOOKUP(Yards[[#This Row],[DEVELOPMENT]],Data[],2,FALSE)</f>
        <v>MANHATTAN</v>
      </c>
      <c r="C60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60" s="67">
        <f>VLOOKUP(Yards[[#This Row],[DEVELOPMENT]],Data[],30,FALSE)</f>
        <v>2</v>
      </c>
      <c r="E60" s="67">
        <f>VLOOKUP(Yards[[#This Row],[DEVELOPMENT]],Data[],28,FALSE)</f>
        <v>0</v>
      </c>
      <c r="F60" s="66" t="str">
        <f>VLOOKUP(Yards[[#This Row],[DEVELOPMENT]],Data[],8,FALSE)</f>
        <v>Zone 2</v>
      </c>
      <c r="G60" s="66" t="str">
        <f>VLOOKUP(Yards[[#This Row],[DEVELOPMENT]],Data[],9,FALSE)</f>
        <v>$$$$</v>
      </c>
      <c r="H60" s="66"/>
      <c r="I60" s="67" t="str">
        <f>IFERROR(VLOOKUP(Yards[[#This Row],[DEVELOPMENT]],Data[],4,FALSE),"")</f>
        <v/>
      </c>
      <c r="J60" s="67" t="str">
        <f>IF(Yards[[#This Row],[RAD/PACT]]="","",IF((Yards[[#This Row],[RAD/PACT]]&lt;=2025),"Yes",""))</f>
        <v/>
      </c>
      <c r="K60" s="1" t="str">
        <f ca="1">IF(VLOOKUP(Yards[[#This Row],[DEVELOPMENT]],ExtComp[],8,FALSE)&lt;=5,"new","old")</f>
        <v>old</v>
      </c>
      <c r="L60" s="104">
        <f ca="1">IF(Yards[[#This Row],[RAD/PACT by 2025]]="Yes",0,INDEX(UnitCosts[],MATCH(Yards[[#This Row],[WORK TYPE]],UnitCosts[Work Type],0),2))</f>
        <v>1591050.0199999998</v>
      </c>
      <c r="M60" s="1"/>
      <c r="N60" s="1"/>
      <c r="O60" s="1"/>
      <c r="P60" s="16"/>
    </row>
    <row r="61" spans="1:16" x14ac:dyDescent="0.25">
      <c r="A61" s="13" t="s">
        <v>112</v>
      </c>
      <c r="B61" s="67" t="str">
        <f>VLOOKUP(Yards[[#This Row],[DEVELOPMENT]],Data[],2,FALSE)</f>
        <v>MANHATTAN</v>
      </c>
      <c r="C6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61" s="67">
        <f>VLOOKUP(Yards[[#This Row],[DEVELOPMENT]],Data[],30,FALSE)</f>
        <v>4</v>
      </c>
      <c r="E61" s="67">
        <f>VLOOKUP(Yards[[#This Row],[DEVELOPMENT]],Data[],28,FALSE)</f>
        <v>0</v>
      </c>
      <c r="F61" s="66" t="str">
        <f>VLOOKUP(Yards[[#This Row],[DEVELOPMENT]],Data[],8,FALSE)</f>
        <v>Zone 2</v>
      </c>
      <c r="G61" s="66" t="str">
        <f>VLOOKUP(Yards[[#This Row],[DEVELOPMENT]],Data[],9,FALSE)</f>
        <v>$$</v>
      </c>
      <c r="H61" s="66"/>
      <c r="I61" s="67">
        <f>IFERROR(VLOOKUP(Yards[[#This Row],[DEVELOPMENT]],Data[],4,FALSE),"")</f>
        <v>2026</v>
      </c>
      <c r="J61" s="67" t="str">
        <f>IF(Yards[[#This Row],[RAD/PACT]]="","",IF((Yards[[#This Row],[RAD/PACT]]&lt;=2025),"Yes",""))</f>
        <v/>
      </c>
      <c r="K61" s="1" t="str">
        <f ca="1">IF(VLOOKUP(Yards[[#This Row],[DEVELOPMENT]],ExtComp[],8,FALSE)&lt;=5,"new","old")</f>
        <v>old</v>
      </c>
      <c r="L61" s="104">
        <f ca="1">IF(Yards[[#This Row],[RAD/PACT by 2025]]="Yes",0,INDEX(UnitCosts[],MATCH(Yards[[#This Row],[WORK TYPE]],UnitCosts[Work Type],0),2))</f>
        <v>2453564.4999999995</v>
      </c>
      <c r="M61" s="1"/>
      <c r="N61" s="1"/>
      <c r="O61" s="1"/>
      <c r="P61" s="16"/>
    </row>
    <row r="62" spans="1:16" x14ac:dyDescent="0.25">
      <c r="A62" s="13" t="s">
        <v>83</v>
      </c>
      <c r="B62" s="67" t="str">
        <f>VLOOKUP(Yards[[#This Row],[DEVELOPMENT]],Data[],2,FALSE)</f>
        <v>MANHATTAN</v>
      </c>
      <c r="C6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62" s="67">
        <f>VLOOKUP(Yards[[#This Row],[DEVELOPMENT]],Data[],30,FALSE)</f>
        <v>0</v>
      </c>
      <c r="E62" s="67">
        <f>VLOOKUP(Yards[[#This Row],[DEVELOPMENT]],Data[],28,FALSE)</f>
        <v>0</v>
      </c>
      <c r="F62" s="66" t="str">
        <f>VLOOKUP(Yards[[#This Row],[DEVELOPMENT]],Data[],8,FALSE)</f>
        <v>Zone 2</v>
      </c>
      <c r="G62" s="66" t="str">
        <f>VLOOKUP(Yards[[#This Row],[DEVELOPMENT]],Data[],9,FALSE)</f>
        <v>$$$</v>
      </c>
      <c r="H62" s="66"/>
      <c r="I62" s="67">
        <f>IFERROR(VLOOKUP(Yards[[#This Row],[DEVELOPMENT]],Data[],4,FALSE),"")</f>
        <v>2028</v>
      </c>
      <c r="J62" s="67" t="str">
        <f>IF(Yards[[#This Row],[RAD/PACT]]="","",IF((Yards[[#This Row],[RAD/PACT]]&lt;=2025),"Yes",""))</f>
        <v/>
      </c>
      <c r="K62" s="1" t="str">
        <f ca="1">IF(VLOOKUP(Yards[[#This Row],[DEVELOPMENT]],ExtComp[],8,FALSE)&lt;=5,"new","old")</f>
        <v>old</v>
      </c>
      <c r="L62" s="104">
        <f>IF(Yards[[#This Row],[RAD/PACT by 2025]]="Yes",0,INDEX(UnitCosts[],MATCH(Yards[[#This Row],[WORK TYPE]],UnitCosts[Work Type],0),2))</f>
        <v>1159792.78</v>
      </c>
      <c r="M62" s="1"/>
      <c r="N62" s="1"/>
      <c r="O62" s="1"/>
      <c r="P62" s="16"/>
    </row>
    <row r="63" spans="1:16" x14ac:dyDescent="0.25">
      <c r="A63" s="13" t="s">
        <v>131</v>
      </c>
      <c r="B63" s="67" t="str">
        <f>VLOOKUP(Yards[[#This Row],[DEVELOPMENT]],Data[],2,FALSE)</f>
        <v>MANHATTAN</v>
      </c>
      <c r="C6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63" s="67">
        <f>VLOOKUP(Yards[[#This Row],[DEVELOPMENT]],Data[],30,FALSE)</f>
        <v>0</v>
      </c>
      <c r="E63" s="67">
        <f>VLOOKUP(Yards[[#This Row],[DEVELOPMENT]],Data[],28,FALSE)</f>
        <v>0</v>
      </c>
      <c r="F63" s="66" t="str">
        <f>VLOOKUP(Yards[[#This Row],[DEVELOPMENT]],Data[],8,FALSE)</f>
        <v>Zone 2</v>
      </c>
      <c r="G63" s="66" t="str">
        <f>VLOOKUP(Yards[[#This Row],[DEVELOPMENT]],Data[],9,FALSE)</f>
        <v>$$$</v>
      </c>
      <c r="H63" s="66"/>
      <c r="I63" s="67" t="str">
        <f>IFERROR(VLOOKUP(Yards[[#This Row],[DEVELOPMENT]],Data[],4,FALSE),"")</f>
        <v/>
      </c>
      <c r="J63" s="67" t="str">
        <f>IF(Yards[[#This Row],[RAD/PACT]]="","",IF((Yards[[#This Row],[RAD/PACT]]&lt;=2025),"Yes",""))</f>
        <v/>
      </c>
      <c r="K63" s="1" t="str">
        <f ca="1">IF(VLOOKUP(Yards[[#This Row],[DEVELOPMENT]],ExtComp[],8,FALSE)&lt;=5,"new","old")</f>
        <v>old</v>
      </c>
      <c r="L63" s="104">
        <f>IF(Yards[[#This Row],[RAD/PACT by 2025]]="Yes",0,INDEX(UnitCosts[],MATCH(Yards[[#This Row],[WORK TYPE]],UnitCosts[Work Type],0),2))</f>
        <v>1159792.78</v>
      </c>
      <c r="M63" s="1"/>
      <c r="N63" s="1"/>
      <c r="O63" s="1"/>
      <c r="P63" s="16"/>
    </row>
    <row r="64" spans="1:16" x14ac:dyDescent="0.25">
      <c r="A64" s="13" t="s">
        <v>125</v>
      </c>
      <c r="B64" s="67" t="str">
        <f>VLOOKUP(Yards[[#This Row],[DEVELOPMENT]],Data[],2,FALSE)</f>
        <v>MANHATTAN</v>
      </c>
      <c r="C64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64" s="67">
        <f>VLOOKUP(Yards[[#This Row],[DEVELOPMENT]],Data[],30,FALSE)</f>
        <v>1</v>
      </c>
      <c r="E64" s="67">
        <f>VLOOKUP(Yards[[#This Row],[DEVELOPMENT]],Data[],28,FALSE)</f>
        <v>0</v>
      </c>
      <c r="F64" s="66" t="str">
        <f>VLOOKUP(Yards[[#This Row],[DEVELOPMENT]],Data[],8,FALSE)</f>
        <v>Zone 2</v>
      </c>
      <c r="G64" s="66" t="str">
        <f>VLOOKUP(Yards[[#This Row],[DEVELOPMENT]],Data[],9,FALSE)</f>
        <v>$</v>
      </c>
      <c r="H64" s="66"/>
      <c r="I64" s="67">
        <f>IFERROR(VLOOKUP(Yards[[#This Row],[DEVELOPMENT]],Data[],4,FALSE),"")</f>
        <v>2023</v>
      </c>
      <c r="J64" s="67" t="str">
        <f>IF(Yards[[#This Row],[RAD/PACT]]="","",IF((Yards[[#This Row],[RAD/PACT]]&lt;=2025),"Yes",""))</f>
        <v>Yes</v>
      </c>
      <c r="K64" s="67" t="str">
        <f ca="1">IF(VLOOKUP(Yards[[#This Row],[DEVELOPMENT]],ExtComp[],8,FALSE)&lt;=5,"new","old")</f>
        <v>old</v>
      </c>
      <c r="L64" s="104">
        <f>IF(Yards[[#This Row],[RAD/PACT by 2025]]="Yes",0,INDEX(UnitCosts[],MATCH(Yards[[#This Row],[WORK TYPE]],UnitCosts[Work Type],0),2))</f>
        <v>0</v>
      </c>
      <c r="M64" s="1"/>
      <c r="N64" s="1"/>
      <c r="O64" s="1"/>
      <c r="P64" s="16"/>
    </row>
    <row r="65" spans="1:16" x14ac:dyDescent="0.25">
      <c r="A65" s="13" t="s">
        <v>113</v>
      </c>
      <c r="B65" s="67" t="str">
        <f>VLOOKUP(Yards[[#This Row],[DEVELOPMENT]],Data[],2,FALSE)</f>
        <v>MANHATTAN</v>
      </c>
      <c r="C6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65" s="67">
        <f>VLOOKUP(Yards[[#This Row],[DEVELOPMENT]],Data[],30,FALSE)</f>
        <v>2</v>
      </c>
      <c r="E65" s="67">
        <f>VLOOKUP(Yards[[#This Row],[DEVELOPMENT]],Data[],28,FALSE)</f>
        <v>0</v>
      </c>
      <c r="F65" s="66" t="str">
        <f>VLOOKUP(Yards[[#This Row],[DEVELOPMENT]],Data[],8,FALSE)</f>
        <v>Zone 2</v>
      </c>
      <c r="G65" s="66" t="str">
        <f>VLOOKUP(Yards[[#This Row],[DEVELOPMENT]],Data[],9,FALSE)</f>
        <v>$$$$</v>
      </c>
      <c r="H65" s="66"/>
      <c r="I65" s="67" t="str">
        <f>IFERROR(VLOOKUP(Yards[[#This Row],[DEVELOPMENT]],Data[],4,FALSE),"")</f>
        <v/>
      </c>
      <c r="J65" s="67" t="str">
        <f>IF(Yards[[#This Row],[RAD/PACT]]="","",IF((Yards[[#This Row],[RAD/PACT]]&lt;=2025),"Yes",""))</f>
        <v/>
      </c>
      <c r="K65" s="1" t="str">
        <f ca="1">IF(VLOOKUP(Yards[[#This Row],[DEVELOPMENT]],ExtComp[],8,FALSE)&lt;=5,"new","old")</f>
        <v>old</v>
      </c>
      <c r="L65" s="104">
        <f ca="1">IF(Yards[[#This Row],[RAD/PACT by 2025]]="Yes",0,INDEX(UnitCosts[],MATCH(Yards[[#This Row],[WORK TYPE]],UnitCosts[Work Type],0),2))</f>
        <v>1591050.0199999998</v>
      </c>
      <c r="M65" s="1"/>
      <c r="N65" s="1"/>
      <c r="O65" s="1"/>
      <c r="P65" s="16"/>
    </row>
    <row r="66" spans="1:16" x14ac:dyDescent="0.25">
      <c r="A66" s="13" t="s">
        <v>122</v>
      </c>
      <c r="B66" s="67" t="str">
        <f>VLOOKUP(Yards[[#This Row],[DEVELOPMENT]],Data[],2,FALSE)</f>
        <v>MANHATTAN</v>
      </c>
      <c r="C6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66" s="67">
        <f>VLOOKUP(Yards[[#This Row],[DEVELOPMENT]],Data[],30,FALSE)</f>
        <v>3</v>
      </c>
      <c r="E66" s="67">
        <f>VLOOKUP(Yards[[#This Row],[DEVELOPMENT]],Data[],28,FALSE)</f>
        <v>0</v>
      </c>
      <c r="F66" s="66" t="str">
        <f>VLOOKUP(Yards[[#This Row],[DEVELOPMENT]],Data[],8,FALSE)</f>
        <v>Zone 2</v>
      </c>
      <c r="G66" s="66" t="str">
        <f>VLOOKUP(Yards[[#This Row],[DEVELOPMENT]],Data[],9,FALSE)</f>
        <v>$</v>
      </c>
      <c r="H66" s="66"/>
      <c r="I66" s="67">
        <f>IFERROR(VLOOKUP(Yards[[#This Row],[DEVELOPMENT]],Data[],4,FALSE),"")</f>
        <v>2028</v>
      </c>
      <c r="J66" s="67" t="str">
        <f>IF(Yards[[#This Row],[RAD/PACT]]="","",IF((Yards[[#This Row],[RAD/PACT]]&lt;=2025),"Yes",""))</f>
        <v/>
      </c>
      <c r="K66" s="1" t="str">
        <f ca="1">IF(VLOOKUP(Yards[[#This Row],[DEVELOPMENT]],ExtComp[],8,FALSE)&lt;=5,"new","old")</f>
        <v>old</v>
      </c>
      <c r="L66" s="104">
        <f ca="1">IF(Yards[[#This Row],[RAD/PACT by 2025]]="Yes",0,INDEX(UnitCosts[],MATCH(Yards[[#This Row],[WORK TYPE]],UnitCosts[Work Type],0),2))</f>
        <v>2022307.2600000005</v>
      </c>
      <c r="M66" s="1"/>
      <c r="N66" s="1"/>
      <c r="O66" s="1"/>
      <c r="P66" s="16"/>
    </row>
    <row r="67" spans="1:16" x14ac:dyDescent="0.25">
      <c r="A67" s="13" t="s">
        <v>90</v>
      </c>
      <c r="B67" s="67" t="str">
        <f>VLOOKUP(Yards[[#This Row],[DEVELOPMENT]],Data[],2,FALSE)</f>
        <v>MANHATTAN</v>
      </c>
      <c r="C6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67" s="67">
        <f>VLOOKUP(Yards[[#This Row],[DEVELOPMENT]],Data[],30,FALSE)</f>
        <v>0</v>
      </c>
      <c r="E67" s="67">
        <f>VLOOKUP(Yards[[#This Row],[DEVELOPMENT]],Data[],28,FALSE)</f>
        <v>0</v>
      </c>
      <c r="F67" s="66" t="str">
        <f>VLOOKUP(Yards[[#This Row],[DEVELOPMENT]],Data[],8,FALSE)</f>
        <v>Zone 2</v>
      </c>
      <c r="G67" s="66" t="str">
        <f>VLOOKUP(Yards[[#This Row],[DEVELOPMENT]],Data[],9,FALSE)</f>
        <v>$</v>
      </c>
      <c r="H67" s="66"/>
      <c r="I67" s="67" t="str">
        <f>IFERROR(VLOOKUP(Yards[[#This Row],[DEVELOPMENT]],Data[],4,FALSE),"")</f>
        <v/>
      </c>
      <c r="J67" s="67" t="str">
        <f>IF(Yards[[#This Row],[RAD/PACT]]="","",IF((Yards[[#This Row],[RAD/PACT]]&lt;=2025),"Yes",""))</f>
        <v/>
      </c>
      <c r="K67" s="1" t="str">
        <f ca="1">IF(VLOOKUP(Yards[[#This Row],[DEVELOPMENT]],ExtComp[],8,FALSE)&lt;=5,"new","old")</f>
        <v>old</v>
      </c>
      <c r="L67" s="104">
        <f>IF(Yards[[#This Row],[RAD/PACT by 2025]]="Yes",0,INDEX(UnitCosts[],MATCH(Yards[[#This Row],[WORK TYPE]],UnitCosts[Work Type],0),2))</f>
        <v>1159792.78</v>
      </c>
      <c r="M67" s="1"/>
      <c r="N67" s="1"/>
      <c r="O67" s="1"/>
      <c r="P67" s="16"/>
    </row>
    <row r="68" spans="1:16" x14ac:dyDescent="0.25">
      <c r="A68" s="13" t="s">
        <v>92</v>
      </c>
      <c r="B68" s="67" t="str">
        <f>VLOOKUP(Yards[[#This Row],[DEVELOPMENT]],Data[],2,FALSE)</f>
        <v>MANHATTAN</v>
      </c>
      <c r="C6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68" s="67">
        <f>VLOOKUP(Yards[[#This Row],[DEVELOPMENT]],Data[],30,FALSE)</f>
        <v>0</v>
      </c>
      <c r="E68" s="67">
        <f>VLOOKUP(Yards[[#This Row],[DEVELOPMENT]],Data[],28,FALSE)</f>
        <v>0</v>
      </c>
      <c r="F68" s="66" t="str">
        <f>VLOOKUP(Yards[[#This Row],[DEVELOPMENT]],Data[],8,FALSE)</f>
        <v>Zone 2</v>
      </c>
      <c r="G68" s="66" t="str">
        <f>VLOOKUP(Yards[[#This Row],[DEVELOPMENT]],Data[],9,FALSE)</f>
        <v>$$$$</v>
      </c>
      <c r="H68" s="66"/>
      <c r="I68" s="67" t="str">
        <f>IFERROR(VLOOKUP(Yards[[#This Row],[DEVELOPMENT]],Data[],4,FALSE),"")</f>
        <v/>
      </c>
      <c r="J68" s="67" t="str">
        <f>IF(Yards[[#This Row],[RAD/PACT]]="","",IF((Yards[[#This Row],[RAD/PACT]]&lt;=2025),"Yes",""))</f>
        <v/>
      </c>
      <c r="K68" s="67" t="str">
        <f ca="1">IF(VLOOKUP(Yards[[#This Row],[DEVELOPMENT]],ExtComp[],8,FALSE)&lt;=5,"new","old")</f>
        <v>old</v>
      </c>
      <c r="L68" s="104">
        <f>IF(Yards[[#This Row],[RAD/PACT by 2025]]="Yes",0,INDEX(UnitCosts[],MATCH(Yards[[#This Row],[WORK TYPE]],UnitCosts[Work Type],0),2))</f>
        <v>1159792.78</v>
      </c>
      <c r="M68" s="1"/>
      <c r="N68" s="1"/>
      <c r="O68" s="1"/>
      <c r="P68" s="16"/>
    </row>
    <row r="69" spans="1:16" x14ac:dyDescent="0.25">
      <c r="A69" s="13" t="s">
        <v>133</v>
      </c>
      <c r="B69" s="67" t="str">
        <f>VLOOKUP(Yards[[#This Row],[DEVELOPMENT]],Data[],2,FALSE)</f>
        <v>MANHATTAN</v>
      </c>
      <c r="C6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69" s="67">
        <f>VLOOKUP(Yards[[#This Row],[DEVELOPMENT]],Data[],30,FALSE)</f>
        <v>3</v>
      </c>
      <c r="E69" s="67">
        <f>VLOOKUP(Yards[[#This Row],[DEVELOPMENT]],Data[],28,FALSE)</f>
        <v>0</v>
      </c>
      <c r="F69" s="66" t="str">
        <f>VLOOKUP(Yards[[#This Row],[DEVELOPMENT]],Data[],8,FALSE)</f>
        <v>Zone 2</v>
      </c>
      <c r="G69" s="66" t="str">
        <f>VLOOKUP(Yards[[#This Row],[DEVELOPMENT]],Data[],9,FALSE)</f>
        <v>$</v>
      </c>
      <c r="H69" s="66"/>
      <c r="I69" s="67" t="str">
        <f>IFERROR(VLOOKUP(Yards[[#This Row],[DEVELOPMENT]],Data[],4,FALSE),"")</f>
        <v/>
      </c>
      <c r="J69" s="67" t="str">
        <f>IF(Yards[[#This Row],[RAD/PACT]]="","",IF((Yards[[#This Row],[RAD/PACT]]&lt;=2025),"Yes",""))</f>
        <v/>
      </c>
      <c r="K69" s="1" t="str">
        <f ca="1">IF(VLOOKUP(Yards[[#This Row],[DEVELOPMENT]],ExtComp[],8,FALSE)&lt;=5,"new","old")</f>
        <v>old</v>
      </c>
      <c r="L69" s="104">
        <f ca="1">IF(Yards[[#This Row],[RAD/PACT by 2025]]="Yes",0,INDEX(UnitCosts[],MATCH(Yards[[#This Row],[WORK TYPE]],UnitCosts[Work Type],0),2))</f>
        <v>2022307.2600000005</v>
      </c>
      <c r="M69" s="1"/>
      <c r="N69" s="1"/>
      <c r="O69" s="1"/>
      <c r="P69" s="16"/>
    </row>
    <row r="70" spans="1:16" x14ac:dyDescent="0.25">
      <c r="A70" s="13" t="s">
        <v>115</v>
      </c>
      <c r="B70" s="67" t="str">
        <f>VLOOKUP(Yards[[#This Row],[DEVELOPMENT]],Data[],2,FALSE)</f>
        <v>MANHATTAN</v>
      </c>
      <c r="C70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70" s="67">
        <f>VLOOKUP(Yards[[#This Row],[DEVELOPMENT]],Data[],30,FALSE)</f>
        <v>3</v>
      </c>
      <c r="E70" s="67">
        <f>VLOOKUP(Yards[[#This Row],[DEVELOPMENT]],Data[],28,FALSE)</f>
        <v>0</v>
      </c>
      <c r="F70" s="66" t="str">
        <f>VLOOKUP(Yards[[#This Row],[DEVELOPMENT]],Data[],8,FALSE)</f>
        <v>Zone 2</v>
      </c>
      <c r="G70" s="66" t="str">
        <f>VLOOKUP(Yards[[#This Row],[DEVELOPMENT]],Data[],9,FALSE)</f>
        <v>$</v>
      </c>
      <c r="H70" s="66"/>
      <c r="I70" s="67" t="str">
        <f>IFERROR(VLOOKUP(Yards[[#This Row],[DEVELOPMENT]],Data[],4,FALSE),"")</f>
        <v/>
      </c>
      <c r="J70" s="67" t="str">
        <f>IF(Yards[[#This Row],[RAD/PACT]]="","",IF((Yards[[#This Row],[RAD/PACT]]&lt;=2025),"Yes",""))</f>
        <v/>
      </c>
      <c r="K70" s="1" t="str">
        <f ca="1">IF(VLOOKUP(Yards[[#This Row],[DEVELOPMENT]],ExtComp[],8,FALSE)&lt;=5,"new","old")</f>
        <v>old</v>
      </c>
      <c r="L70" s="104">
        <f ca="1">IF(Yards[[#This Row],[RAD/PACT by 2025]]="Yes",0,INDEX(UnitCosts[],MATCH(Yards[[#This Row],[WORK TYPE]],UnitCosts[Work Type],0),2))</f>
        <v>2022307.2600000005</v>
      </c>
      <c r="M70" s="1"/>
      <c r="N70" s="1"/>
      <c r="O70" s="1"/>
      <c r="P70" s="16"/>
    </row>
    <row r="71" spans="1:16" x14ac:dyDescent="0.25">
      <c r="A71" s="13" t="s">
        <v>107</v>
      </c>
      <c r="B71" s="67" t="str">
        <f>VLOOKUP(Yards[[#This Row],[DEVELOPMENT]],Data[],2,FALSE)</f>
        <v>MANHATTAN</v>
      </c>
      <c r="C7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71" s="67">
        <f>VLOOKUP(Yards[[#This Row],[DEVELOPMENT]],Data[],30,FALSE)</f>
        <v>0</v>
      </c>
      <c r="E71" s="67">
        <f>VLOOKUP(Yards[[#This Row],[DEVELOPMENT]],Data[],28,FALSE)</f>
        <v>0</v>
      </c>
      <c r="F71" s="66" t="str">
        <f>VLOOKUP(Yards[[#This Row],[DEVELOPMENT]],Data[],8,FALSE)</f>
        <v>Zone 2</v>
      </c>
      <c r="G71" s="66" t="str">
        <f>VLOOKUP(Yards[[#This Row],[DEVELOPMENT]],Data[],9,FALSE)</f>
        <v>$$</v>
      </c>
      <c r="H71" s="66"/>
      <c r="I71" s="67" t="str">
        <f>IFERROR(VLOOKUP(Yards[[#This Row],[DEVELOPMENT]],Data[],4,FALSE),"")</f>
        <v/>
      </c>
      <c r="J71" s="67" t="str">
        <f>IF(Yards[[#This Row],[RAD/PACT]]="","",IF((Yards[[#This Row],[RAD/PACT]]&lt;=2025),"Yes",""))</f>
        <v/>
      </c>
      <c r="K71" s="67" t="str">
        <f ca="1">IF(VLOOKUP(Yards[[#This Row],[DEVELOPMENT]],ExtComp[],8,FALSE)&lt;=5,"new","old")</f>
        <v>old</v>
      </c>
      <c r="L71" s="104">
        <f>IF(Yards[[#This Row],[RAD/PACT by 2025]]="Yes",0,INDEX(UnitCosts[],MATCH(Yards[[#This Row],[WORK TYPE]],UnitCosts[Work Type],0),2))</f>
        <v>1159792.78</v>
      </c>
      <c r="M71" s="1"/>
      <c r="N71" s="1"/>
      <c r="O71" s="1"/>
      <c r="P71" s="16"/>
    </row>
    <row r="72" spans="1:16" x14ac:dyDescent="0.25">
      <c r="A72" s="13" t="s">
        <v>136</v>
      </c>
      <c r="B72" s="67" t="str">
        <f>VLOOKUP(Yards[[#This Row],[DEVELOPMENT]],Data[],2,FALSE)</f>
        <v>MANHATTAN</v>
      </c>
      <c r="C72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72" s="67">
        <f>VLOOKUP(Yards[[#This Row],[DEVELOPMENT]],Data[],30,FALSE)</f>
        <v>3</v>
      </c>
      <c r="E72" s="67">
        <f>VLOOKUP(Yards[[#This Row],[DEVELOPMENT]],Data[],28,FALSE)</f>
        <v>0</v>
      </c>
      <c r="F72" s="66" t="str">
        <f>VLOOKUP(Yards[[#This Row],[DEVELOPMENT]],Data[],8,FALSE)</f>
        <v>Zone 2</v>
      </c>
      <c r="G72" s="66" t="str">
        <f>VLOOKUP(Yards[[#This Row],[DEVELOPMENT]],Data[],9,FALSE)</f>
        <v>$</v>
      </c>
      <c r="H72" s="66"/>
      <c r="I72" s="67" t="str">
        <f>IFERROR(VLOOKUP(Yards[[#This Row],[DEVELOPMENT]],Data[],4,FALSE),"")</f>
        <v/>
      </c>
      <c r="J72" s="67" t="str">
        <f>IF(Yards[[#This Row],[RAD/PACT]]="","",IF((Yards[[#This Row],[RAD/PACT]]&lt;=2025),"Yes",""))</f>
        <v/>
      </c>
      <c r="K72" s="1" t="str">
        <f ca="1">IF(VLOOKUP(Yards[[#This Row],[DEVELOPMENT]],ExtComp[],8,FALSE)&lt;=5,"new","old")</f>
        <v>old</v>
      </c>
      <c r="L72" s="104">
        <f ca="1">IF(Yards[[#This Row],[RAD/PACT by 2025]]="Yes",0,INDEX(UnitCosts[],MATCH(Yards[[#This Row],[WORK TYPE]],UnitCosts[Work Type],0),2))</f>
        <v>2022307.2600000005</v>
      </c>
      <c r="M72" s="1"/>
      <c r="N72" s="1"/>
      <c r="O72" s="1"/>
      <c r="P72" s="16"/>
    </row>
    <row r="73" spans="1:16" x14ac:dyDescent="0.25">
      <c r="A73" s="13" t="s">
        <v>95</v>
      </c>
      <c r="B73" s="67" t="str">
        <f>VLOOKUP(Yards[[#This Row],[DEVELOPMENT]],Data[],2,FALSE)</f>
        <v>MANHATTAN</v>
      </c>
      <c r="C7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73" s="67">
        <f>VLOOKUP(Yards[[#This Row],[DEVELOPMENT]],Data[],30,FALSE)</f>
        <v>0</v>
      </c>
      <c r="E73" s="67">
        <f>VLOOKUP(Yards[[#This Row],[DEVELOPMENT]],Data[],28,FALSE)</f>
        <v>0</v>
      </c>
      <c r="F73" s="66" t="str">
        <f>VLOOKUP(Yards[[#This Row],[DEVELOPMENT]],Data[],8,FALSE)</f>
        <v>Zone 2</v>
      </c>
      <c r="G73" s="66" t="str">
        <f>VLOOKUP(Yards[[#This Row],[DEVELOPMENT]],Data[],9,FALSE)</f>
        <v>$$</v>
      </c>
      <c r="H73" s="66"/>
      <c r="I73" s="67">
        <f>IFERROR(VLOOKUP(Yards[[#This Row],[DEVELOPMENT]],Data[],4,FALSE),"")</f>
        <v>2026</v>
      </c>
      <c r="J73" s="67" t="str">
        <f>IF(Yards[[#This Row],[RAD/PACT]]="","",IF((Yards[[#This Row],[RAD/PACT]]&lt;=2025),"Yes",""))</f>
        <v/>
      </c>
      <c r="K73" s="67" t="str">
        <f ca="1">IF(VLOOKUP(Yards[[#This Row],[DEVELOPMENT]],ExtComp[],8,FALSE)&lt;=5,"new","old")</f>
        <v>old</v>
      </c>
      <c r="L73" s="104">
        <f>IF(Yards[[#This Row],[RAD/PACT by 2025]]="Yes",0,INDEX(UnitCosts[],MATCH(Yards[[#This Row],[WORK TYPE]],UnitCosts[Work Type],0),2))</f>
        <v>1159792.78</v>
      </c>
      <c r="M73" s="1"/>
      <c r="N73" s="1"/>
      <c r="O73" s="1"/>
      <c r="P73" s="16"/>
    </row>
    <row r="74" spans="1:16" x14ac:dyDescent="0.25">
      <c r="A74" s="13" t="s">
        <v>128</v>
      </c>
      <c r="B74" s="67" t="str">
        <f>VLOOKUP(Yards[[#This Row],[DEVELOPMENT]],Data[],2,FALSE)</f>
        <v>MANHATTAN</v>
      </c>
      <c r="C74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74" s="67">
        <f>VLOOKUP(Yards[[#This Row],[DEVELOPMENT]],Data[],30,FALSE)</f>
        <v>4</v>
      </c>
      <c r="E74" s="67">
        <f>VLOOKUP(Yards[[#This Row],[DEVELOPMENT]],Data[],28,FALSE)</f>
        <v>0</v>
      </c>
      <c r="F74" s="66" t="str">
        <f>VLOOKUP(Yards[[#This Row],[DEVELOPMENT]],Data[],8,FALSE)</f>
        <v>Zone 2</v>
      </c>
      <c r="G74" s="66" t="str">
        <f>VLOOKUP(Yards[[#This Row],[DEVELOPMENT]],Data[],9,FALSE)</f>
        <v>$$$</v>
      </c>
      <c r="H74" s="66">
        <v>1</v>
      </c>
      <c r="I74" s="67" t="str">
        <f>IFERROR(VLOOKUP(Yards[[#This Row],[DEVELOPMENT]],Data[],4,FALSE),"")</f>
        <v/>
      </c>
      <c r="J74" s="67" t="str">
        <f>IF(Yards[[#This Row],[RAD/PACT]]="","",IF((Yards[[#This Row],[RAD/PACT]]&lt;=2025),"Yes",""))</f>
        <v/>
      </c>
      <c r="K74" s="1" t="str">
        <f ca="1">IF(VLOOKUP(Yards[[#This Row],[DEVELOPMENT]],ExtComp[],8,FALSE)&lt;=5,"new","old")</f>
        <v>old</v>
      </c>
      <c r="L74" s="104">
        <f ca="1">IF(Yards[[#This Row],[RAD/PACT by 2025]]="Yes",0,INDEX(UnitCosts[],MATCH(Yards[[#This Row],[WORK TYPE]],UnitCosts[Work Type],0),2))</f>
        <v>2453564.4999999995</v>
      </c>
      <c r="M74" s="1"/>
      <c r="N74" s="1"/>
      <c r="O74" s="1"/>
      <c r="P74" s="16"/>
    </row>
    <row r="75" spans="1:16" x14ac:dyDescent="0.25">
      <c r="A75" s="13" t="s">
        <v>126</v>
      </c>
      <c r="B75" s="67" t="str">
        <f>VLOOKUP(Yards[[#This Row],[DEVELOPMENT]],Data[],2,FALSE)</f>
        <v>MANHATTAN</v>
      </c>
      <c r="C7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75" s="67">
        <f>VLOOKUP(Yards[[#This Row],[DEVELOPMENT]],Data[],30,FALSE)</f>
        <v>0</v>
      </c>
      <c r="E75" s="67">
        <f>VLOOKUP(Yards[[#This Row],[DEVELOPMENT]],Data[],28,FALSE)</f>
        <v>0</v>
      </c>
      <c r="F75" s="66" t="str">
        <f>VLOOKUP(Yards[[#This Row],[DEVELOPMENT]],Data[],8,FALSE)</f>
        <v>Zone 2</v>
      </c>
      <c r="G75" s="66" t="str">
        <f>VLOOKUP(Yards[[#This Row],[DEVELOPMENT]],Data[],9,FALSE)</f>
        <v>$</v>
      </c>
      <c r="H75" s="66"/>
      <c r="I75" s="67" t="str">
        <f>IFERROR(VLOOKUP(Yards[[#This Row],[DEVELOPMENT]],Data[],4,FALSE),"")</f>
        <v/>
      </c>
      <c r="J75" s="67" t="str">
        <f>IF(Yards[[#This Row],[RAD/PACT]]="","",IF((Yards[[#This Row],[RAD/PACT]]&lt;=2025),"Yes",""))</f>
        <v/>
      </c>
      <c r="K75" s="67" t="str">
        <f ca="1">IF(VLOOKUP(Yards[[#This Row],[DEVELOPMENT]],ExtComp[],8,FALSE)&lt;=5,"new","old")</f>
        <v>old</v>
      </c>
      <c r="L75" s="104">
        <f>IF(Yards[[#This Row],[RAD/PACT by 2025]]="Yes",0,INDEX(UnitCosts[],MATCH(Yards[[#This Row],[WORK TYPE]],UnitCosts[Work Type],0),2))</f>
        <v>1159792.78</v>
      </c>
      <c r="M75" s="1"/>
      <c r="N75" s="1"/>
      <c r="O75" s="1"/>
      <c r="P75" s="16"/>
    </row>
    <row r="76" spans="1:16" x14ac:dyDescent="0.25">
      <c r="A76" s="13" t="s">
        <v>100</v>
      </c>
      <c r="B76" s="67" t="str">
        <f>VLOOKUP(Yards[[#This Row],[DEVELOPMENT]],Data[],2,FALSE)</f>
        <v>MANHATTAN</v>
      </c>
      <c r="C7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76" s="67">
        <f>VLOOKUP(Yards[[#This Row],[DEVELOPMENT]],Data[],30,FALSE)</f>
        <v>0</v>
      </c>
      <c r="E76" s="67">
        <f>VLOOKUP(Yards[[#This Row],[DEVELOPMENT]],Data[],28,FALSE)</f>
        <v>0</v>
      </c>
      <c r="F76" s="66" t="str">
        <f>VLOOKUP(Yards[[#This Row],[DEVELOPMENT]],Data[],8,FALSE)</f>
        <v>Zone 2</v>
      </c>
      <c r="G76" s="66" t="str">
        <f>VLOOKUP(Yards[[#This Row],[DEVELOPMENT]],Data[],9,FALSE)</f>
        <v>$</v>
      </c>
      <c r="H76" s="66"/>
      <c r="I76" s="67" t="str">
        <f>IFERROR(VLOOKUP(Yards[[#This Row],[DEVELOPMENT]],Data[],4,FALSE),"")</f>
        <v/>
      </c>
      <c r="J76" s="67" t="str">
        <f>IF(Yards[[#This Row],[RAD/PACT]]="","",IF((Yards[[#This Row],[RAD/PACT]]&lt;=2025),"Yes",""))</f>
        <v/>
      </c>
      <c r="K76" s="67" t="str">
        <f ca="1">IF(VLOOKUP(Yards[[#This Row],[DEVELOPMENT]],ExtComp[],8,FALSE)&lt;=5,"new","old")</f>
        <v>old</v>
      </c>
      <c r="L76" s="104">
        <f>IF(Yards[[#This Row],[RAD/PACT by 2025]]="Yes",0,INDEX(UnitCosts[],MATCH(Yards[[#This Row],[WORK TYPE]],UnitCosts[Work Type],0),2))</f>
        <v>1159792.78</v>
      </c>
      <c r="M76" s="1"/>
      <c r="N76" s="1"/>
      <c r="O76" s="1"/>
      <c r="P76" s="16"/>
    </row>
    <row r="77" spans="1:16" x14ac:dyDescent="0.25">
      <c r="A77" s="13" t="s">
        <v>127</v>
      </c>
      <c r="B77" s="67" t="str">
        <f>VLOOKUP(Yards[[#This Row],[DEVELOPMENT]],Data[],2,FALSE)</f>
        <v>MANHATTAN</v>
      </c>
      <c r="C77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77" s="67">
        <f>VLOOKUP(Yards[[#This Row],[DEVELOPMENT]],Data[],30,FALSE)</f>
        <v>4</v>
      </c>
      <c r="E77" s="67">
        <f>VLOOKUP(Yards[[#This Row],[DEVELOPMENT]],Data[],28,FALSE)</f>
        <v>0</v>
      </c>
      <c r="F77" s="66" t="str">
        <f>VLOOKUP(Yards[[#This Row],[DEVELOPMENT]],Data[],8,FALSE)</f>
        <v>Zone 2</v>
      </c>
      <c r="G77" s="66" t="str">
        <f>VLOOKUP(Yards[[#This Row],[DEVELOPMENT]],Data[],9,FALSE)</f>
        <v>$</v>
      </c>
      <c r="H77" s="66"/>
      <c r="I77" s="67" t="str">
        <f>IFERROR(VLOOKUP(Yards[[#This Row],[DEVELOPMENT]],Data[],4,FALSE),"")</f>
        <v/>
      </c>
      <c r="J77" s="67" t="str">
        <f>IF(Yards[[#This Row],[RAD/PACT]]="","",IF((Yards[[#This Row],[RAD/PACT]]&lt;=2025),"Yes",""))</f>
        <v/>
      </c>
      <c r="K77" s="1" t="str">
        <f ca="1">IF(VLOOKUP(Yards[[#This Row],[DEVELOPMENT]],ExtComp[],8,FALSE)&lt;=5,"new","old")</f>
        <v>old</v>
      </c>
      <c r="L77" s="104">
        <f ca="1">IF(Yards[[#This Row],[RAD/PACT by 2025]]="Yes",0,INDEX(UnitCosts[],MATCH(Yards[[#This Row],[WORK TYPE]],UnitCosts[Work Type],0),2))</f>
        <v>2453564.4999999995</v>
      </c>
      <c r="M77" s="1"/>
      <c r="N77" s="1"/>
      <c r="O77" s="1"/>
      <c r="P77" s="16"/>
    </row>
    <row r="78" spans="1:16" x14ac:dyDescent="0.25">
      <c r="A78" s="13" t="s">
        <v>137</v>
      </c>
      <c r="B78" s="67" t="str">
        <f>VLOOKUP(Yards[[#This Row],[DEVELOPMENT]],Data[],2,FALSE)</f>
        <v>MANHATTAN</v>
      </c>
      <c r="C78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78" s="67">
        <f>VLOOKUP(Yards[[#This Row],[DEVELOPMENT]],Data[],30,FALSE)</f>
        <v>1</v>
      </c>
      <c r="E78" s="67">
        <f>VLOOKUP(Yards[[#This Row],[DEVELOPMENT]],Data[],28,FALSE)</f>
        <v>1</v>
      </c>
      <c r="F78" s="66" t="str">
        <f>VLOOKUP(Yards[[#This Row],[DEVELOPMENT]],Data[],8,FALSE)</f>
        <v>Zone 2</v>
      </c>
      <c r="G78" s="66" t="str">
        <f>VLOOKUP(Yards[[#This Row],[DEVELOPMENT]],Data[],9,FALSE)</f>
        <v>$$$</v>
      </c>
      <c r="H78" s="66"/>
      <c r="I78" s="67">
        <f>IFERROR(VLOOKUP(Yards[[#This Row],[DEVELOPMENT]],Data[],4,FALSE),"")</f>
        <v>2023</v>
      </c>
      <c r="J78" s="67" t="str">
        <f>IF(Yards[[#This Row],[RAD/PACT]]="","",IF((Yards[[#This Row],[RAD/PACT]]&lt;=2025),"Yes",""))</f>
        <v>Yes</v>
      </c>
      <c r="K78" s="67" t="str">
        <f ca="1">IF(VLOOKUP(Yards[[#This Row],[DEVELOPMENT]],ExtComp[],8,FALSE)&lt;=5,"new","old")</f>
        <v>old</v>
      </c>
      <c r="L78" s="104">
        <f>IF(Yards[[#This Row],[RAD/PACT by 2025]]="Yes",0,INDEX(UnitCosts[],MATCH(Yards[[#This Row],[WORK TYPE]],UnitCosts[Work Type],0),2))</f>
        <v>0</v>
      </c>
      <c r="M78" s="1"/>
      <c r="N78" s="1"/>
      <c r="O78" s="1"/>
      <c r="P78" s="16"/>
    </row>
    <row r="79" spans="1:16" x14ac:dyDescent="0.25">
      <c r="A79" s="13" t="s">
        <v>102</v>
      </c>
      <c r="B79" s="67" t="str">
        <f>VLOOKUP(Yards[[#This Row],[DEVELOPMENT]],Data[],2,FALSE)</f>
        <v>MANHATTAN</v>
      </c>
      <c r="C7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79" s="67">
        <f>VLOOKUP(Yards[[#This Row],[DEVELOPMENT]],Data[],30,FALSE)</f>
        <v>0</v>
      </c>
      <c r="E79" s="67">
        <f>VLOOKUP(Yards[[#This Row],[DEVELOPMENT]],Data[],28,FALSE)</f>
        <v>0</v>
      </c>
      <c r="F79" s="66" t="str">
        <f>VLOOKUP(Yards[[#This Row],[DEVELOPMENT]],Data[],8,FALSE)</f>
        <v>Zone 2</v>
      </c>
      <c r="G79" s="66" t="str">
        <f>VLOOKUP(Yards[[#This Row],[DEVELOPMENT]],Data[],9,FALSE)</f>
        <v>$</v>
      </c>
      <c r="H79" s="66"/>
      <c r="I79" s="67" t="str">
        <f>IFERROR(VLOOKUP(Yards[[#This Row],[DEVELOPMENT]],Data[],4,FALSE),"")</f>
        <v/>
      </c>
      <c r="J79" s="67" t="str">
        <f>IF(Yards[[#This Row],[RAD/PACT]]="","",IF((Yards[[#This Row],[RAD/PACT]]&lt;=2025),"Yes",""))</f>
        <v/>
      </c>
      <c r="K79" s="67" t="str">
        <f ca="1">IF(VLOOKUP(Yards[[#This Row],[DEVELOPMENT]],ExtComp[],8,FALSE)&lt;=5,"new","old")</f>
        <v>old</v>
      </c>
      <c r="L79" s="104">
        <f>IF(Yards[[#This Row],[RAD/PACT by 2025]]="Yes",0,INDEX(UnitCosts[],MATCH(Yards[[#This Row],[WORK TYPE]],UnitCosts[Work Type],0),2))</f>
        <v>1159792.78</v>
      </c>
      <c r="M79" s="1"/>
      <c r="N79" s="1"/>
      <c r="O79" s="1"/>
      <c r="P79" s="16"/>
    </row>
    <row r="80" spans="1:16" x14ac:dyDescent="0.25">
      <c r="A80" s="13" t="s">
        <v>116</v>
      </c>
      <c r="B80" s="67" t="str">
        <f>VLOOKUP(Yards[[#This Row],[DEVELOPMENT]],Data[],2,FALSE)</f>
        <v>MANHATTAN</v>
      </c>
      <c r="C80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80" s="67">
        <f>VLOOKUP(Yards[[#This Row],[DEVELOPMENT]],Data[],30,FALSE)</f>
        <v>2</v>
      </c>
      <c r="E80" s="67">
        <f>VLOOKUP(Yards[[#This Row],[DEVELOPMENT]],Data[],28,FALSE)</f>
        <v>0</v>
      </c>
      <c r="F80" s="66" t="str">
        <f>VLOOKUP(Yards[[#This Row],[DEVELOPMENT]],Data[],8,FALSE)</f>
        <v>Zone 2</v>
      </c>
      <c r="G80" s="66" t="str">
        <f>VLOOKUP(Yards[[#This Row],[DEVELOPMENT]],Data[],9,FALSE)</f>
        <v>$</v>
      </c>
      <c r="H80" s="66"/>
      <c r="I80" s="67" t="str">
        <f>IFERROR(VLOOKUP(Yards[[#This Row],[DEVELOPMENT]],Data[],4,FALSE),"")</f>
        <v/>
      </c>
      <c r="J80" s="67" t="str">
        <f>IF(Yards[[#This Row],[RAD/PACT]]="","",IF((Yards[[#This Row],[RAD/PACT]]&lt;=2025),"Yes",""))</f>
        <v/>
      </c>
      <c r="K80" s="67" t="str">
        <f ca="1">IF(VLOOKUP(Yards[[#This Row],[DEVELOPMENT]],ExtComp[],8,FALSE)&lt;=5,"new","old")</f>
        <v>old</v>
      </c>
      <c r="L80" s="104">
        <f ca="1">IF(Yards[[#This Row],[RAD/PACT by 2025]]="Yes",0,INDEX(UnitCosts[],MATCH(Yards[[#This Row],[WORK TYPE]],UnitCosts[Work Type],0),2))</f>
        <v>1591050.0199999998</v>
      </c>
      <c r="M80" s="1"/>
      <c r="N80" s="1"/>
      <c r="O80" s="1"/>
      <c r="P80" s="16"/>
    </row>
    <row r="81" spans="1:16" x14ac:dyDescent="0.25">
      <c r="A81" s="13" t="s">
        <v>118</v>
      </c>
      <c r="B81" s="67" t="str">
        <f>VLOOKUP(Yards[[#This Row],[DEVELOPMENT]],Data[],2,FALSE)</f>
        <v>BROOKLYN</v>
      </c>
      <c r="C8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81" s="67">
        <f>VLOOKUP(Yards[[#This Row],[DEVELOPMENT]],Data[],30,FALSE)</f>
        <v>0</v>
      </c>
      <c r="E81" s="67">
        <f>VLOOKUP(Yards[[#This Row],[DEVELOPMENT]],Data[],28,FALSE)</f>
        <v>0</v>
      </c>
      <c r="F81" s="66" t="str">
        <f>VLOOKUP(Yards[[#This Row],[DEVELOPMENT]],Data[],8,FALSE)</f>
        <v>Zone 1</v>
      </c>
      <c r="G81" s="66" t="str">
        <f>VLOOKUP(Yards[[#This Row],[DEVELOPMENT]],Data[],9,FALSE)</f>
        <v>$</v>
      </c>
      <c r="H81" s="66"/>
      <c r="I81" s="67" t="str">
        <f>IFERROR(VLOOKUP(Yards[[#This Row],[DEVELOPMENT]],Data[],4,FALSE),"")</f>
        <v/>
      </c>
      <c r="J81" s="67" t="str">
        <f>IF(Yards[[#This Row],[RAD/PACT]]="","",IF((Yards[[#This Row],[RAD/PACT]]&lt;=2025),"Yes",""))</f>
        <v/>
      </c>
      <c r="K81" s="67" t="str">
        <f ca="1">IF(VLOOKUP(Yards[[#This Row],[DEVELOPMENT]],ExtComp[],8,FALSE)&lt;=5,"new","old")</f>
        <v>old</v>
      </c>
      <c r="L81" s="104">
        <f>IF(Yards[[#This Row],[RAD/PACT by 2025]]="Yes",0,INDEX(UnitCosts[],MATCH(Yards[[#This Row],[WORK TYPE]],UnitCosts[Work Type],0),2))</f>
        <v>1159792.78</v>
      </c>
      <c r="M81" s="1"/>
      <c r="N81" s="1"/>
      <c r="O81" s="1"/>
      <c r="P81" s="16"/>
    </row>
    <row r="82" spans="1:16" x14ac:dyDescent="0.25">
      <c r="A82" s="13" t="s">
        <v>57</v>
      </c>
      <c r="B82" s="67" t="str">
        <f>VLOOKUP(Yards[[#This Row],[DEVELOPMENT]],Data[],2,FALSE)</f>
        <v>MANHATTAN</v>
      </c>
      <c r="C8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82" s="67">
        <f>VLOOKUP(Yards[[#This Row],[DEVELOPMENT]],Data[],30,FALSE)</f>
        <v>0</v>
      </c>
      <c r="E82" s="67">
        <f>VLOOKUP(Yards[[#This Row],[DEVELOPMENT]],Data[],28,FALSE)</f>
        <v>0</v>
      </c>
      <c r="F82" s="66" t="str">
        <f>VLOOKUP(Yards[[#This Row],[DEVELOPMENT]],Data[],8,FALSE)</f>
        <v>Zone 1</v>
      </c>
      <c r="G82" s="66" t="str">
        <f>VLOOKUP(Yards[[#This Row],[DEVELOPMENT]],Data[],9,FALSE)</f>
        <v>$$</v>
      </c>
      <c r="H82" s="66"/>
      <c r="I82" s="67" t="str">
        <f>IFERROR(VLOOKUP(Yards[[#This Row],[DEVELOPMENT]],Data[],4,FALSE),"")</f>
        <v/>
      </c>
      <c r="J82" s="67" t="str">
        <f>IF(Yards[[#This Row],[RAD/PACT]]="","",IF((Yards[[#This Row],[RAD/PACT]]&lt;=2025),"Yes",""))</f>
        <v/>
      </c>
      <c r="K82" s="67" t="str">
        <f ca="1">IF(VLOOKUP(Yards[[#This Row],[DEVELOPMENT]],ExtComp[],8,FALSE)&lt;=5,"new","old")</f>
        <v>old</v>
      </c>
      <c r="L82" s="104">
        <f>IF(Yards[[#This Row],[RAD/PACT by 2025]]="Yes",0,INDEX(UnitCosts[],MATCH(Yards[[#This Row],[WORK TYPE]],UnitCosts[Work Type],0),2))</f>
        <v>1159792.78</v>
      </c>
      <c r="M82" s="1"/>
      <c r="N82" s="1"/>
      <c r="O82" s="1"/>
      <c r="P82" s="16"/>
    </row>
    <row r="83" spans="1:16" x14ac:dyDescent="0.25">
      <c r="A83" s="13" t="s">
        <v>171</v>
      </c>
      <c r="B83" s="67" t="str">
        <f>VLOOKUP(Yards[[#This Row],[DEVELOPMENT]],Data[],2,FALSE)</f>
        <v>BROOKLYN</v>
      </c>
      <c r="C8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83" s="67">
        <f>VLOOKUP(Yards[[#This Row],[DEVELOPMENT]],Data[],30,FALSE)</f>
        <v>0</v>
      </c>
      <c r="E83" s="67">
        <f>VLOOKUP(Yards[[#This Row],[DEVELOPMENT]],Data[],28,FALSE)</f>
        <v>0</v>
      </c>
      <c r="F83" s="66" t="str">
        <f>VLOOKUP(Yards[[#This Row],[DEVELOPMENT]],Data[],8,FALSE)</f>
        <v>Zone 1</v>
      </c>
      <c r="G83" s="66" t="str">
        <f>VLOOKUP(Yards[[#This Row],[DEVELOPMENT]],Data[],9,FALSE)</f>
        <v>$</v>
      </c>
      <c r="H83" s="66"/>
      <c r="I83" s="67" t="str">
        <f>IFERROR(VLOOKUP(Yards[[#This Row],[DEVELOPMENT]],Data[],4,FALSE),"")</f>
        <v/>
      </c>
      <c r="J83" s="67" t="str">
        <f>IF(Yards[[#This Row],[RAD/PACT]]="","",IF((Yards[[#This Row],[RAD/PACT]]&lt;=2025),"Yes",""))</f>
        <v/>
      </c>
      <c r="K83" s="67" t="str">
        <f ca="1">IF(VLOOKUP(Yards[[#This Row],[DEVELOPMENT]],ExtComp[],8,FALSE)&lt;=5,"new","old")</f>
        <v>old</v>
      </c>
      <c r="L83" s="104">
        <f>IF(Yards[[#This Row],[RAD/PACT by 2025]]="Yes",0,INDEX(UnitCosts[],MATCH(Yards[[#This Row],[WORK TYPE]],UnitCosts[Work Type],0),2))</f>
        <v>1159792.78</v>
      </c>
      <c r="M83" s="1"/>
      <c r="N83" s="1"/>
      <c r="O83" s="1"/>
      <c r="P83" s="16"/>
    </row>
    <row r="84" spans="1:16" x14ac:dyDescent="0.25">
      <c r="A84" s="13" t="s">
        <v>172</v>
      </c>
      <c r="B84" s="67" t="str">
        <f>VLOOKUP(Yards[[#This Row],[DEVELOPMENT]],Data[],2,FALSE)</f>
        <v>BROOKLYN</v>
      </c>
      <c r="C8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84" s="67">
        <f>VLOOKUP(Yards[[#This Row],[DEVELOPMENT]],Data[],30,FALSE)</f>
        <v>0</v>
      </c>
      <c r="E84" s="67">
        <f>VLOOKUP(Yards[[#This Row],[DEVELOPMENT]],Data[],28,FALSE)</f>
        <v>0</v>
      </c>
      <c r="F84" s="66" t="str">
        <f>VLOOKUP(Yards[[#This Row],[DEVELOPMENT]],Data[],8,FALSE)</f>
        <v>Zone 1</v>
      </c>
      <c r="G84" s="66" t="str">
        <f>VLOOKUP(Yards[[#This Row],[DEVELOPMENT]],Data[],9,FALSE)</f>
        <v>$</v>
      </c>
      <c r="H84" s="66"/>
      <c r="I84" s="67" t="str">
        <f>IFERROR(VLOOKUP(Yards[[#This Row],[DEVELOPMENT]],Data[],4,FALSE),"")</f>
        <v/>
      </c>
      <c r="J84" s="67" t="str">
        <f>IF(Yards[[#This Row],[RAD/PACT]]="","",IF((Yards[[#This Row],[RAD/PACT]]&lt;=2025),"Yes",""))</f>
        <v/>
      </c>
      <c r="K84" s="67" t="str">
        <f ca="1">IF(VLOOKUP(Yards[[#This Row],[DEVELOPMENT]],ExtComp[],8,FALSE)&lt;=5,"new","old")</f>
        <v>old</v>
      </c>
      <c r="L84" s="104">
        <f>IF(Yards[[#This Row],[RAD/PACT by 2025]]="Yes",0,INDEX(UnitCosts[],MATCH(Yards[[#This Row],[WORK TYPE]],UnitCosts[Work Type],0),2))</f>
        <v>1159792.78</v>
      </c>
      <c r="M84" s="1"/>
      <c r="N84" s="1"/>
      <c r="O84" s="1"/>
      <c r="P84" s="16"/>
    </row>
    <row r="85" spans="1:16" x14ac:dyDescent="0.25">
      <c r="A85" s="13" t="s">
        <v>58</v>
      </c>
      <c r="B85" s="67" t="str">
        <f>VLOOKUP(Yards[[#This Row],[DEVELOPMENT]],Data[],2,FALSE)</f>
        <v>MANHATTAN</v>
      </c>
      <c r="C8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85" s="67">
        <f>VLOOKUP(Yards[[#This Row],[DEVELOPMENT]],Data[],30,FALSE)</f>
        <v>0</v>
      </c>
      <c r="E85" s="67">
        <f>VLOOKUP(Yards[[#This Row],[DEVELOPMENT]],Data[],28,FALSE)</f>
        <v>0</v>
      </c>
      <c r="F85" s="66" t="str">
        <f>VLOOKUP(Yards[[#This Row],[DEVELOPMENT]],Data[],8,FALSE)</f>
        <v>Zone 1</v>
      </c>
      <c r="G85" s="66" t="str">
        <f>VLOOKUP(Yards[[#This Row],[DEVELOPMENT]],Data[],9,FALSE)</f>
        <v>$</v>
      </c>
      <c r="H85" s="66"/>
      <c r="I85" s="67" t="str">
        <f>IFERROR(VLOOKUP(Yards[[#This Row],[DEVELOPMENT]],Data[],4,FALSE),"")</f>
        <v/>
      </c>
      <c r="J85" s="67" t="str">
        <f>IF(Yards[[#This Row],[RAD/PACT]]="","",IF((Yards[[#This Row],[RAD/PACT]]&lt;=2025),"Yes",""))</f>
        <v/>
      </c>
      <c r="K85" s="67" t="str">
        <f ca="1">IF(VLOOKUP(Yards[[#This Row],[DEVELOPMENT]],ExtComp[],8,FALSE)&lt;=5,"new","old")</f>
        <v>old</v>
      </c>
      <c r="L85" s="104">
        <f>IF(Yards[[#This Row],[RAD/PACT by 2025]]="Yes",0,INDEX(UnitCosts[],MATCH(Yards[[#This Row],[WORK TYPE]],UnitCosts[Work Type],0),2))</f>
        <v>1159792.78</v>
      </c>
      <c r="M85" s="1"/>
      <c r="N85" s="1"/>
      <c r="O85" s="1"/>
      <c r="P85" s="16"/>
    </row>
    <row r="86" spans="1:16" x14ac:dyDescent="0.25">
      <c r="A86" s="13" t="s">
        <v>48</v>
      </c>
      <c r="B86" s="67" t="str">
        <f>VLOOKUP(Yards[[#This Row],[DEVELOPMENT]],Data[],2,FALSE)</f>
        <v>MANHATTAN</v>
      </c>
      <c r="C8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86" s="67">
        <f>VLOOKUP(Yards[[#This Row],[DEVELOPMENT]],Data[],30,FALSE)</f>
        <v>0</v>
      </c>
      <c r="E86" s="67">
        <f>VLOOKUP(Yards[[#This Row],[DEVELOPMENT]],Data[],28,FALSE)</f>
        <v>0</v>
      </c>
      <c r="F86" s="66" t="str">
        <f>VLOOKUP(Yards[[#This Row],[DEVELOPMENT]],Data[],8,FALSE)</f>
        <v>Zone 1</v>
      </c>
      <c r="G86" s="66" t="str">
        <f>VLOOKUP(Yards[[#This Row],[DEVELOPMENT]],Data[],9,FALSE)</f>
        <v>$</v>
      </c>
      <c r="H86" s="66"/>
      <c r="I86" s="67" t="str">
        <f>IFERROR(VLOOKUP(Yards[[#This Row],[DEVELOPMENT]],Data[],4,FALSE),"")</f>
        <v/>
      </c>
      <c r="J86" s="67" t="str">
        <f>IF(Yards[[#This Row],[RAD/PACT]]="","",IF((Yards[[#This Row],[RAD/PACT]]&lt;=2025),"Yes",""))</f>
        <v/>
      </c>
      <c r="K86" s="67" t="str">
        <f ca="1">IF(VLOOKUP(Yards[[#This Row],[DEVELOPMENT]],ExtComp[],8,FALSE)&lt;=5,"new","old")</f>
        <v>old</v>
      </c>
      <c r="L86" s="104">
        <f>IF(Yards[[#This Row],[RAD/PACT by 2025]]="Yes",0,INDEX(UnitCosts[],MATCH(Yards[[#This Row],[WORK TYPE]],UnitCosts[Work Type],0),2))</f>
        <v>1159792.78</v>
      </c>
      <c r="M86" s="1"/>
      <c r="N86" s="1"/>
      <c r="O86" s="1"/>
      <c r="P86" s="16"/>
    </row>
    <row r="87" spans="1:16" x14ac:dyDescent="0.25">
      <c r="A87" s="13" t="s">
        <v>142</v>
      </c>
      <c r="B87" s="67" t="str">
        <f>VLOOKUP(Yards[[#This Row],[DEVELOPMENT]],Data[],2,FALSE)</f>
        <v>BROOKLYN</v>
      </c>
      <c r="C8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87" s="67">
        <f>VLOOKUP(Yards[[#This Row],[DEVELOPMENT]],Data[],30,FALSE)</f>
        <v>0</v>
      </c>
      <c r="E87" s="67">
        <f>VLOOKUP(Yards[[#This Row],[DEVELOPMENT]],Data[],28,FALSE)</f>
        <v>0</v>
      </c>
      <c r="F87" s="66" t="str">
        <f>VLOOKUP(Yards[[#This Row],[DEVELOPMENT]],Data[],8,FALSE)</f>
        <v>Zone 1</v>
      </c>
      <c r="G87" s="66" t="str">
        <f>VLOOKUP(Yards[[#This Row],[DEVELOPMENT]],Data[],9,FALSE)</f>
        <v>$</v>
      </c>
      <c r="H87" s="66"/>
      <c r="I87" s="67" t="str">
        <f>IFERROR(VLOOKUP(Yards[[#This Row],[DEVELOPMENT]],Data[],4,FALSE),"")</f>
        <v/>
      </c>
      <c r="J87" s="67" t="str">
        <f>IF(Yards[[#This Row],[RAD/PACT]]="","",IF((Yards[[#This Row],[RAD/PACT]]&lt;=2025),"Yes",""))</f>
        <v/>
      </c>
      <c r="K87" s="67" t="str">
        <f ca="1">IF(VLOOKUP(Yards[[#This Row],[DEVELOPMENT]],ExtComp[],8,FALSE)&lt;=5,"new","old")</f>
        <v>old</v>
      </c>
      <c r="L87" s="104">
        <f>IF(Yards[[#This Row],[RAD/PACT by 2025]]="Yes",0,INDEX(UnitCosts[],MATCH(Yards[[#This Row],[WORK TYPE]],UnitCosts[Work Type],0),2))</f>
        <v>1159792.78</v>
      </c>
      <c r="M87" s="1"/>
      <c r="N87" s="1"/>
      <c r="O87" s="1"/>
      <c r="P87" s="16"/>
    </row>
    <row r="88" spans="1:16" x14ac:dyDescent="0.25">
      <c r="A88" s="13" t="s">
        <v>59</v>
      </c>
      <c r="B88" s="67" t="str">
        <f>VLOOKUP(Yards[[#This Row],[DEVELOPMENT]],Data[],2,FALSE)</f>
        <v>MANHATTAN</v>
      </c>
      <c r="C8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88" s="67">
        <f>VLOOKUP(Yards[[#This Row],[DEVELOPMENT]],Data[],30,FALSE)</f>
        <v>0</v>
      </c>
      <c r="E88" s="67">
        <f>VLOOKUP(Yards[[#This Row],[DEVELOPMENT]],Data[],28,FALSE)</f>
        <v>0</v>
      </c>
      <c r="F88" s="66" t="str">
        <f>VLOOKUP(Yards[[#This Row],[DEVELOPMENT]],Data[],8,FALSE)</f>
        <v>Zone 1</v>
      </c>
      <c r="G88" s="66" t="str">
        <f>VLOOKUP(Yards[[#This Row],[DEVELOPMENT]],Data[],9,FALSE)</f>
        <v>$</v>
      </c>
      <c r="H88" s="66"/>
      <c r="I88" s="67">
        <f>IFERROR(VLOOKUP(Yards[[#This Row],[DEVELOPMENT]],Data[],4,FALSE),"")</f>
        <v>2026</v>
      </c>
      <c r="J88" s="67" t="str">
        <f>IF(Yards[[#This Row],[RAD/PACT]]="","",IF((Yards[[#This Row],[RAD/PACT]]&lt;=2025),"Yes",""))</f>
        <v/>
      </c>
      <c r="K88" s="67" t="str">
        <f ca="1">IF(VLOOKUP(Yards[[#This Row],[DEVELOPMENT]],ExtComp[],8,FALSE)&lt;=5,"new","old")</f>
        <v>old</v>
      </c>
      <c r="L88" s="104">
        <f>IF(Yards[[#This Row],[RAD/PACT by 2025]]="Yes",0,INDEX(UnitCosts[],MATCH(Yards[[#This Row],[WORK TYPE]],UnitCosts[Work Type],0),2))</f>
        <v>1159792.78</v>
      </c>
      <c r="M88" s="1"/>
      <c r="N88" s="1"/>
      <c r="O88" s="1"/>
      <c r="P88" s="16"/>
    </row>
    <row r="89" spans="1:16" x14ac:dyDescent="0.25">
      <c r="A89" s="13" t="s">
        <v>26</v>
      </c>
      <c r="B89" s="67" t="str">
        <f>VLOOKUP(Yards[[#This Row],[DEVELOPMENT]],Data[],2,FALSE)</f>
        <v>BROOKLYN</v>
      </c>
      <c r="C8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89" s="67">
        <f>VLOOKUP(Yards[[#This Row],[DEVELOPMENT]],Data[],30,FALSE)</f>
        <v>2</v>
      </c>
      <c r="E89" s="67">
        <f>VLOOKUP(Yards[[#This Row],[DEVELOPMENT]],Data[],28,FALSE)</f>
        <v>0</v>
      </c>
      <c r="F89" s="66" t="str">
        <f>VLOOKUP(Yards[[#This Row],[DEVELOPMENT]],Data[],8,FALSE)</f>
        <v>Zone 1</v>
      </c>
      <c r="G89" s="66" t="str">
        <f>VLOOKUP(Yards[[#This Row],[DEVELOPMENT]],Data[],9,FALSE)</f>
        <v>$$</v>
      </c>
      <c r="H89" s="66"/>
      <c r="I89" s="67" t="str">
        <f>IFERROR(VLOOKUP(Yards[[#This Row],[DEVELOPMENT]],Data[],4,FALSE),"")</f>
        <v/>
      </c>
      <c r="J89" s="67" t="str">
        <f>IF(Yards[[#This Row],[RAD/PACT]]="","",IF((Yards[[#This Row],[RAD/PACT]]&lt;=2025),"Yes",""))</f>
        <v/>
      </c>
      <c r="K89" s="67" t="str">
        <f ca="1">IF(VLOOKUP(Yards[[#This Row],[DEVELOPMENT]],ExtComp[],8,FALSE)&lt;=5,"new","old")</f>
        <v>old</v>
      </c>
      <c r="L89" s="104">
        <f ca="1">IF(Yards[[#This Row],[RAD/PACT by 2025]]="Yes",0,INDEX(UnitCosts[],MATCH(Yards[[#This Row],[WORK TYPE]],UnitCosts[Work Type],0),2))</f>
        <v>1591050.0199999998</v>
      </c>
      <c r="M89" s="1"/>
      <c r="N89" s="1"/>
      <c r="O89" s="1"/>
      <c r="P89" s="16"/>
    </row>
    <row r="90" spans="1:16" x14ac:dyDescent="0.25">
      <c r="A90" s="13" t="s">
        <v>378</v>
      </c>
      <c r="B90" s="67" t="str">
        <f>VLOOKUP(Yards[[#This Row],[DEVELOPMENT]],Data[],2,FALSE)</f>
        <v>BROOKLYN</v>
      </c>
      <c r="C9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0" s="67">
        <f>VLOOKUP(Yards[[#This Row],[DEVELOPMENT]],Data[],30,FALSE)</f>
        <v>0</v>
      </c>
      <c r="E90" s="67">
        <f>VLOOKUP(Yards[[#This Row],[DEVELOPMENT]],Data[],28,FALSE)</f>
        <v>0</v>
      </c>
      <c r="F90" s="66" t="str">
        <f>VLOOKUP(Yards[[#This Row],[DEVELOPMENT]],Data[],8,FALSE)</f>
        <v>Zone 1</v>
      </c>
      <c r="G90" s="66">
        <f>VLOOKUP(Yards[[#This Row],[DEVELOPMENT]],Data[],9,FALSE)</f>
        <v>0</v>
      </c>
      <c r="H90" s="66"/>
      <c r="I90" s="67" t="str">
        <f>IFERROR(VLOOKUP(Yards[[#This Row],[DEVELOPMENT]],Data[],4,FALSE),"")</f>
        <v/>
      </c>
      <c r="J90" s="67" t="str">
        <f>IF(Yards[[#This Row],[RAD/PACT]]="","",IF((Yards[[#This Row],[RAD/PACT]]&lt;=2025),"Yes",""))</f>
        <v/>
      </c>
      <c r="K90" s="67" t="str">
        <f ca="1">IF(VLOOKUP(Yards[[#This Row],[DEVELOPMENT]],ExtComp[],8,FALSE)&lt;=5,"new","old")</f>
        <v>old</v>
      </c>
      <c r="L90" s="104">
        <f>IF(Yards[[#This Row],[RAD/PACT by 2025]]="Yes",0,INDEX(UnitCosts[],MATCH(Yards[[#This Row],[WORK TYPE]],UnitCosts[Work Type],0),2))</f>
        <v>1159792.78</v>
      </c>
      <c r="M90" s="1"/>
      <c r="N90" s="1"/>
      <c r="O90" s="1"/>
      <c r="P90" s="16"/>
    </row>
    <row r="91" spans="1:16" x14ac:dyDescent="0.25">
      <c r="A91" s="13" t="s">
        <v>380</v>
      </c>
      <c r="B91" s="67" t="str">
        <f>VLOOKUP(Yards[[#This Row],[DEVELOPMENT]],Data[],2,FALSE)</f>
        <v>BROOKLYN</v>
      </c>
      <c r="C9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1" s="67">
        <f>VLOOKUP(Yards[[#This Row],[DEVELOPMENT]],Data[],30,FALSE)</f>
        <v>0</v>
      </c>
      <c r="E91" s="67">
        <f>VLOOKUP(Yards[[#This Row],[DEVELOPMENT]],Data[],28,FALSE)</f>
        <v>0</v>
      </c>
      <c r="F91" s="66" t="str">
        <f>VLOOKUP(Yards[[#This Row],[DEVELOPMENT]],Data[],8,FALSE)</f>
        <v>Zone 1</v>
      </c>
      <c r="G91" s="66">
        <f>VLOOKUP(Yards[[#This Row],[DEVELOPMENT]],Data[],9,FALSE)</f>
        <v>0</v>
      </c>
      <c r="H91" s="66"/>
      <c r="I91" s="67">
        <f>IFERROR(VLOOKUP(Yards[[#This Row],[DEVELOPMENT]],Data[],4,FALSE),"")</f>
        <v>2019</v>
      </c>
      <c r="J91" s="67" t="str">
        <f>IF(Yards[[#This Row],[RAD/PACT]]="","",IF((Yards[[#This Row],[RAD/PACT]]&lt;=2025),"Yes",""))</f>
        <v>Yes</v>
      </c>
      <c r="K91" s="67" t="str">
        <f ca="1">IF(VLOOKUP(Yards[[#This Row],[DEVELOPMENT]],ExtComp[],8,FALSE)&lt;=5,"new","old")</f>
        <v>old</v>
      </c>
      <c r="L91" s="104">
        <f>IF(Yards[[#This Row],[RAD/PACT by 2025]]="Yes",0,INDEX(UnitCosts[],MATCH(Yards[[#This Row],[WORK TYPE]],UnitCosts[Work Type],0),2))</f>
        <v>0</v>
      </c>
      <c r="M91" s="1"/>
      <c r="N91" s="1"/>
      <c r="O91" s="1"/>
      <c r="P91" s="16"/>
    </row>
    <row r="92" spans="1:16" x14ac:dyDescent="0.25">
      <c r="A92" s="13" t="s">
        <v>31</v>
      </c>
      <c r="B92" s="67" t="str">
        <f>VLOOKUP(Yards[[#This Row],[DEVELOPMENT]],Data[],2,FALSE)</f>
        <v>BRONX</v>
      </c>
      <c r="C92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92" s="67">
        <f>VLOOKUP(Yards[[#This Row],[DEVELOPMENT]],Data[],30,FALSE)</f>
        <v>2</v>
      </c>
      <c r="E92" s="67">
        <f>VLOOKUP(Yards[[#This Row],[DEVELOPMENT]],Data[],28,FALSE)</f>
        <v>0</v>
      </c>
      <c r="F92" s="66" t="str">
        <f>VLOOKUP(Yards[[#This Row],[DEVELOPMENT]],Data[],8,FALSE)</f>
        <v>Zone 1</v>
      </c>
      <c r="G92" s="66" t="str">
        <f>VLOOKUP(Yards[[#This Row],[DEVELOPMENT]],Data[],9,FALSE)</f>
        <v>$$</v>
      </c>
      <c r="H92" s="66"/>
      <c r="I92" s="67" t="str">
        <f>IFERROR(VLOOKUP(Yards[[#This Row],[DEVELOPMENT]],Data[],4,FALSE),"")</f>
        <v/>
      </c>
      <c r="J92" s="67" t="str">
        <f>IF(Yards[[#This Row],[RAD/PACT]]="","",IF((Yards[[#This Row],[RAD/PACT]]&lt;=2025),"Yes",""))</f>
        <v/>
      </c>
      <c r="K92" s="67" t="str">
        <f ca="1">IF(VLOOKUP(Yards[[#This Row],[DEVELOPMENT]],ExtComp[],8,FALSE)&lt;=5,"new","old")</f>
        <v>old</v>
      </c>
      <c r="L92" s="104">
        <f ca="1">IF(Yards[[#This Row],[RAD/PACT by 2025]]="Yes",0,INDEX(UnitCosts[],MATCH(Yards[[#This Row],[WORK TYPE]],UnitCosts[Work Type],0),2))</f>
        <v>1591050.0199999998</v>
      </c>
      <c r="M92" s="1"/>
      <c r="N92" s="1"/>
      <c r="O92" s="1"/>
      <c r="P92" s="16"/>
    </row>
    <row r="93" spans="1:16" x14ac:dyDescent="0.25">
      <c r="A93" s="13" t="s">
        <v>60</v>
      </c>
      <c r="B93" s="67" t="str">
        <f>VLOOKUP(Yards[[#This Row],[DEVELOPMENT]],Data[],2,FALSE)</f>
        <v>MANHATTAN</v>
      </c>
      <c r="C9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3" s="67">
        <f>VLOOKUP(Yards[[#This Row],[DEVELOPMENT]],Data[],30,FALSE)</f>
        <v>0</v>
      </c>
      <c r="E93" s="67">
        <f>VLOOKUP(Yards[[#This Row],[DEVELOPMENT]],Data[],28,FALSE)</f>
        <v>0</v>
      </c>
      <c r="F93" s="66" t="str">
        <f>VLOOKUP(Yards[[#This Row],[DEVELOPMENT]],Data[],8,FALSE)</f>
        <v>Zone 1</v>
      </c>
      <c r="G93" s="66" t="str">
        <f>VLOOKUP(Yards[[#This Row],[DEVELOPMENT]],Data[],9,FALSE)</f>
        <v>$$</v>
      </c>
      <c r="H93" s="66"/>
      <c r="I93" s="67">
        <f>IFERROR(VLOOKUP(Yards[[#This Row],[DEVELOPMENT]],Data[],4,FALSE),"")</f>
        <v>2026</v>
      </c>
      <c r="J93" s="67" t="str">
        <f>IF(Yards[[#This Row],[RAD/PACT]]="","",IF((Yards[[#This Row],[RAD/PACT]]&lt;=2025),"Yes",""))</f>
        <v/>
      </c>
      <c r="K93" s="67" t="str">
        <f ca="1">IF(VLOOKUP(Yards[[#This Row],[DEVELOPMENT]],ExtComp[],8,FALSE)&lt;=5,"new","old")</f>
        <v>old</v>
      </c>
      <c r="L93" s="104">
        <f>IF(Yards[[#This Row],[RAD/PACT by 2025]]="Yes",0,INDEX(UnitCosts[],MATCH(Yards[[#This Row],[WORK TYPE]],UnitCosts[Work Type],0),2))</f>
        <v>1159792.78</v>
      </c>
      <c r="M93" s="1"/>
      <c r="N93" s="1"/>
      <c r="O93" s="1"/>
      <c r="P93" s="16"/>
    </row>
    <row r="94" spans="1:16" x14ac:dyDescent="0.25">
      <c r="A94" s="13" t="s">
        <v>143</v>
      </c>
      <c r="B94" s="67" t="str">
        <f>VLOOKUP(Yards[[#This Row],[DEVELOPMENT]],Data[],2,FALSE)</f>
        <v>BRONX</v>
      </c>
      <c r="C9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4" s="67">
        <f>VLOOKUP(Yards[[#This Row],[DEVELOPMENT]],Data[],30,FALSE)</f>
        <v>0</v>
      </c>
      <c r="E94" s="67">
        <f>VLOOKUP(Yards[[#This Row],[DEVELOPMENT]],Data[],28,FALSE)</f>
        <v>0</v>
      </c>
      <c r="F94" s="66" t="str">
        <f>VLOOKUP(Yards[[#This Row],[DEVELOPMENT]],Data[],8,FALSE)</f>
        <v>Zone 1</v>
      </c>
      <c r="G94" s="66" t="str">
        <f>VLOOKUP(Yards[[#This Row],[DEVELOPMENT]],Data[],9,FALSE)</f>
        <v>$</v>
      </c>
      <c r="H94" s="66"/>
      <c r="I94" s="67">
        <f>IFERROR(VLOOKUP(Yards[[#This Row],[DEVELOPMENT]],Data[],4,FALSE),"")</f>
        <v>2025</v>
      </c>
      <c r="J94" s="67" t="str">
        <f>IF(Yards[[#This Row],[RAD/PACT]]="","",IF((Yards[[#This Row],[RAD/PACT]]&lt;=2025),"Yes",""))</f>
        <v>Yes</v>
      </c>
      <c r="K94" s="67" t="str">
        <f ca="1">IF(VLOOKUP(Yards[[#This Row],[DEVELOPMENT]],ExtComp[],8,FALSE)&lt;=5,"new","old")</f>
        <v>old</v>
      </c>
      <c r="L94" s="104">
        <f>IF(Yards[[#This Row],[RAD/PACT by 2025]]="Yes",0,INDEX(UnitCosts[],MATCH(Yards[[#This Row],[WORK TYPE]],UnitCosts[Work Type],0),2))</f>
        <v>0</v>
      </c>
      <c r="M94" s="1"/>
      <c r="N94" s="1"/>
      <c r="O94" s="1"/>
      <c r="P94" s="16"/>
    </row>
    <row r="95" spans="1:16" x14ac:dyDescent="0.25">
      <c r="A95" s="13" t="s">
        <v>32</v>
      </c>
      <c r="B95" s="67" t="str">
        <f>VLOOKUP(Yards[[#This Row],[DEVELOPMENT]],Data[],2,FALSE)</f>
        <v>BRONX</v>
      </c>
      <c r="C9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5" s="67">
        <f>VLOOKUP(Yards[[#This Row],[DEVELOPMENT]],Data[],30,FALSE)</f>
        <v>0</v>
      </c>
      <c r="E95" s="67">
        <f>VLOOKUP(Yards[[#This Row],[DEVELOPMENT]],Data[],28,FALSE)</f>
        <v>0</v>
      </c>
      <c r="F95" s="66" t="str">
        <f>VLOOKUP(Yards[[#This Row],[DEVELOPMENT]],Data[],8,FALSE)</f>
        <v>Zone 1</v>
      </c>
      <c r="G95" s="66" t="str">
        <f>VLOOKUP(Yards[[#This Row],[DEVELOPMENT]],Data[],9,FALSE)</f>
        <v>$</v>
      </c>
      <c r="H95" s="66"/>
      <c r="I95" s="67">
        <f>IFERROR(VLOOKUP(Yards[[#This Row],[DEVELOPMENT]],Data[],4,FALSE),"")</f>
        <v>2025</v>
      </c>
      <c r="J95" s="67" t="str">
        <f>IF(Yards[[#This Row],[RAD/PACT]]="","",IF((Yards[[#This Row],[RAD/PACT]]&lt;=2025),"Yes",""))</f>
        <v>Yes</v>
      </c>
      <c r="K95" s="67" t="str">
        <f ca="1">IF(VLOOKUP(Yards[[#This Row],[DEVELOPMENT]],ExtComp[],8,FALSE)&lt;=5,"new","old")</f>
        <v>old</v>
      </c>
      <c r="L95" s="104">
        <f>IF(Yards[[#This Row],[RAD/PACT by 2025]]="Yes",0,INDEX(UnitCosts[],MATCH(Yards[[#This Row],[WORK TYPE]],UnitCosts[Work Type],0),2))</f>
        <v>0</v>
      </c>
      <c r="M95" s="1"/>
      <c r="N95" s="1"/>
      <c r="O95" s="1"/>
      <c r="P95" s="16"/>
    </row>
    <row r="96" spans="1:16" x14ac:dyDescent="0.25">
      <c r="A96" s="13" t="s">
        <v>34</v>
      </c>
      <c r="B96" s="67" t="str">
        <f>VLOOKUP(Yards[[#This Row],[DEVELOPMENT]],Data[],2,FALSE)</f>
        <v>BRONX</v>
      </c>
      <c r="C9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6" s="67">
        <f>VLOOKUP(Yards[[#This Row],[DEVELOPMENT]],Data[],30,FALSE)</f>
        <v>0</v>
      </c>
      <c r="E96" s="67">
        <f>VLOOKUP(Yards[[#This Row],[DEVELOPMENT]],Data[],28,FALSE)</f>
        <v>0</v>
      </c>
      <c r="F96" s="66" t="str">
        <f>VLOOKUP(Yards[[#This Row],[DEVELOPMENT]],Data[],8,FALSE)</f>
        <v>Zone 1</v>
      </c>
      <c r="G96" s="66" t="str">
        <f>VLOOKUP(Yards[[#This Row],[DEVELOPMENT]],Data[],9,FALSE)</f>
        <v>$</v>
      </c>
      <c r="H96" s="66"/>
      <c r="I96" s="67">
        <f>IFERROR(VLOOKUP(Yards[[#This Row],[DEVELOPMENT]],Data[],4,FALSE),"")</f>
        <v>2025</v>
      </c>
      <c r="J96" s="67" t="str">
        <f>IF(Yards[[#This Row],[RAD/PACT]]="","",IF((Yards[[#This Row],[RAD/PACT]]&lt;=2025),"Yes",""))</f>
        <v>Yes</v>
      </c>
      <c r="K96" s="67" t="str">
        <f ca="1">IF(VLOOKUP(Yards[[#This Row],[DEVELOPMENT]],ExtComp[],8,FALSE)&lt;=5,"new","old")</f>
        <v>old</v>
      </c>
      <c r="L96" s="104">
        <f>IF(Yards[[#This Row],[RAD/PACT by 2025]]="Yes",0,INDEX(UnitCosts[],MATCH(Yards[[#This Row],[WORK TYPE]],UnitCosts[Work Type],0),2))</f>
        <v>0</v>
      </c>
      <c r="M96" s="1"/>
      <c r="N96" s="1"/>
      <c r="O96" s="1"/>
      <c r="P96" s="16"/>
    </row>
    <row r="97" spans="1:16" x14ac:dyDescent="0.25">
      <c r="A97" s="13" t="s">
        <v>144</v>
      </c>
      <c r="B97" s="67" t="str">
        <f>VLOOKUP(Yards[[#This Row],[DEVELOPMENT]],Data[],2,FALSE)</f>
        <v>BRONX</v>
      </c>
      <c r="C9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7" s="67">
        <f>VLOOKUP(Yards[[#This Row],[DEVELOPMENT]],Data[],30,FALSE)</f>
        <v>0</v>
      </c>
      <c r="E97" s="67">
        <f>VLOOKUP(Yards[[#This Row],[DEVELOPMENT]],Data[],28,FALSE)</f>
        <v>0</v>
      </c>
      <c r="F97" s="66" t="str">
        <f>VLOOKUP(Yards[[#This Row],[DEVELOPMENT]],Data[],8,FALSE)</f>
        <v>Zone 1</v>
      </c>
      <c r="G97" s="66" t="str">
        <f>VLOOKUP(Yards[[#This Row],[DEVELOPMENT]],Data[],9,FALSE)</f>
        <v>$</v>
      </c>
      <c r="H97" s="66"/>
      <c r="I97" s="67">
        <f>IFERROR(VLOOKUP(Yards[[#This Row],[DEVELOPMENT]],Data[],4,FALSE),"")</f>
        <v>2025</v>
      </c>
      <c r="J97" s="67" t="str">
        <f>IF(Yards[[#This Row],[RAD/PACT]]="","",IF((Yards[[#This Row],[RAD/PACT]]&lt;=2025),"Yes",""))</f>
        <v>Yes</v>
      </c>
      <c r="K97" s="67" t="str">
        <f ca="1">IF(VLOOKUP(Yards[[#This Row],[DEVELOPMENT]],ExtComp[],8,FALSE)&lt;=5,"new","old")</f>
        <v>old</v>
      </c>
      <c r="L97" s="104">
        <f>IF(Yards[[#This Row],[RAD/PACT by 2025]]="Yes",0,INDEX(UnitCosts[],MATCH(Yards[[#This Row],[WORK TYPE]],UnitCosts[Work Type],0),2))</f>
        <v>0</v>
      </c>
      <c r="M97" s="1"/>
      <c r="N97" s="1"/>
      <c r="O97" s="1"/>
      <c r="P97" s="16"/>
    </row>
    <row r="98" spans="1:16" x14ac:dyDescent="0.25">
      <c r="A98" s="13" t="s">
        <v>145</v>
      </c>
      <c r="B98" s="67" t="str">
        <f>VLOOKUP(Yards[[#This Row],[DEVELOPMENT]],Data[],2,FALSE)</f>
        <v>BRONX</v>
      </c>
      <c r="C9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8" s="67">
        <f>VLOOKUP(Yards[[#This Row],[DEVELOPMENT]],Data[],30,FALSE)</f>
        <v>0</v>
      </c>
      <c r="E98" s="67">
        <f>VLOOKUP(Yards[[#This Row],[DEVELOPMENT]],Data[],28,FALSE)</f>
        <v>0</v>
      </c>
      <c r="F98" s="66" t="str">
        <f>VLOOKUP(Yards[[#This Row],[DEVELOPMENT]],Data[],8,FALSE)</f>
        <v>Zone 1</v>
      </c>
      <c r="G98" s="66" t="str">
        <f>VLOOKUP(Yards[[#This Row],[DEVELOPMENT]],Data[],9,FALSE)</f>
        <v>$</v>
      </c>
      <c r="H98" s="66"/>
      <c r="I98" s="67">
        <f>IFERROR(VLOOKUP(Yards[[#This Row],[DEVELOPMENT]],Data[],4,FALSE),"")</f>
        <v>2025</v>
      </c>
      <c r="J98" s="67" t="str">
        <f>IF(Yards[[#This Row],[RAD/PACT]]="","",IF((Yards[[#This Row],[RAD/PACT]]&lt;=2025),"Yes",""))</f>
        <v>Yes</v>
      </c>
      <c r="K98" s="67" t="str">
        <f ca="1">IF(VLOOKUP(Yards[[#This Row],[DEVELOPMENT]],ExtComp[],8,FALSE)&lt;=5,"new","old")</f>
        <v>old</v>
      </c>
      <c r="L98" s="104">
        <f>IF(Yards[[#This Row],[RAD/PACT by 2025]]="Yes",0,INDEX(UnitCosts[],MATCH(Yards[[#This Row],[WORK TYPE]],UnitCosts[Work Type],0),2))</f>
        <v>0</v>
      </c>
      <c r="M98" s="1"/>
      <c r="N98" s="1"/>
      <c r="O98" s="1"/>
      <c r="P98" s="16"/>
    </row>
    <row r="99" spans="1:16" x14ac:dyDescent="0.25">
      <c r="A99" s="13" t="s">
        <v>121</v>
      </c>
      <c r="B99" s="67" t="str">
        <f>VLOOKUP(Yards[[#This Row],[DEVELOPMENT]],Data[],2,FALSE)</f>
        <v>BRONX</v>
      </c>
      <c r="C9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99" s="67">
        <f>VLOOKUP(Yards[[#This Row],[DEVELOPMENT]],Data[],30,FALSE)</f>
        <v>1</v>
      </c>
      <c r="E99" s="67">
        <f>VLOOKUP(Yards[[#This Row],[DEVELOPMENT]],Data[],28,FALSE)</f>
        <v>0</v>
      </c>
      <c r="F99" s="66" t="str">
        <f>VLOOKUP(Yards[[#This Row],[DEVELOPMENT]],Data[],8,FALSE)</f>
        <v>Zone 1</v>
      </c>
      <c r="G99" s="66" t="str">
        <f>VLOOKUP(Yards[[#This Row],[DEVELOPMENT]],Data[],9,FALSE)</f>
        <v>$$</v>
      </c>
      <c r="H99" s="66"/>
      <c r="I99" s="67" t="str">
        <f>IFERROR(VLOOKUP(Yards[[#This Row],[DEVELOPMENT]],Data[],4,FALSE),"")</f>
        <v/>
      </c>
      <c r="J99" s="67" t="str">
        <f>IF(Yards[[#This Row],[RAD/PACT]]="","",IF((Yards[[#This Row],[RAD/PACT]]&lt;=2025),"Yes",""))</f>
        <v/>
      </c>
      <c r="K99" s="67" t="str">
        <f ca="1">IF(VLOOKUP(Yards[[#This Row],[DEVELOPMENT]],ExtComp[],8,FALSE)&lt;=5,"new","old")</f>
        <v>old</v>
      </c>
      <c r="L99" s="104">
        <f ca="1">IF(Yards[[#This Row],[RAD/PACT by 2025]]="Yes",0,INDEX(UnitCosts[],MATCH(Yards[[#This Row],[WORK TYPE]],UnitCosts[Work Type],0),2))</f>
        <v>1159792.78</v>
      </c>
      <c r="M99" s="1"/>
      <c r="N99" s="1"/>
      <c r="O99" s="1"/>
      <c r="P99" s="16"/>
    </row>
    <row r="100" spans="1:16" x14ac:dyDescent="0.25">
      <c r="A100" s="13" t="s">
        <v>231</v>
      </c>
      <c r="B100" s="67" t="str">
        <f>VLOOKUP(Yards[[#This Row],[DEVELOPMENT]],Data[],2,FALSE)</f>
        <v>MANHATTAN</v>
      </c>
      <c r="C10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00" s="67">
        <f>VLOOKUP(Yards[[#This Row],[DEVELOPMENT]],Data[],30,FALSE)</f>
        <v>0</v>
      </c>
      <c r="E100" s="67">
        <f>VLOOKUP(Yards[[#This Row],[DEVELOPMENT]],Data[],28,FALSE)</f>
        <v>0</v>
      </c>
      <c r="F100" s="66" t="str">
        <f>VLOOKUP(Yards[[#This Row],[DEVELOPMENT]],Data[],8,FALSE)</f>
        <v>Zone 1</v>
      </c>
      <c r="G100" s="66" t="str">
        <f>VLOOKUP(Yards[[#This Row],[DEVELOPMENT]],Data[],9,FALSE)</f>
        <v>$</v>
      </c>
      <c r="H100" s="66"/>
      <c r="I100" s="67">
        <f>IFERROR(VLOOKUP(Yards[[#This Row],[DEVELOPMENT]],Data[],4,FALSE),"")</f>
        <v>2026</v>
      </c>
      <c r="J100" s="67" t="str">
        <f>IF(Yards[[#This Row],[RAD/PACT]]="","",IF((Yards[[#This Row],[RAD/PACT]]&lt;=2025),"Yes",""))</f>
        <v/>
      </c>
      <c r="K100" s="67" t="str">
        <f ca="1">IF(VLOOKUP(Yards[[#This Row],[DEVELOPMENT]],ExtComp[],8,FALSE)&lt;=5,"new","old")</f>
        <v>old</v>
      </c>
      <c r="L100" s="104">
        <f>IF(Yards[[#This Row],[RAD/PACT by 2025]]="Yes",0,INDEX(UnitCosts[],MATCH(Yards[[#This Row],[WORK TYPE]],UnitCosts[Work Type],0),2))</f>
        <v>1159792.78</v>
      </c>
      <c r="M100" s="1"/>
      <c r="N100" s="1"/>
      <c r="O100" s="1"/>
      <c r="P100" s="16"/>
    </row>
    <row r="101" spans="1:16" x14ac:dyDescent="0.25">
      <c r="A101" s="13" t="s">
        <v>61</v>
      </c>
      <c r="B101" s="67" t="str">
        <f>VLOOKUP(Yards[[#This Row],[DEVELOPMENT]],Data[],2,FALSE)</f>
        <v>MANHATTAN</v>
      </c>
      <c r="C10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01" s="67">
        <f>VLOOKUP(Yards[[#This Row],[DEVELOPMENT]],Data[],30,FALSE)</f>
        <v>1</v>
      </c>
      <c r="E101" s="67">
        <f>VLOOKUP(Yards[[#This Row],[DEVELOPMENT]],Data[],28,FALSE)</f>
        <v>0</v>
      </c>
      <c r="F101" s="66" t="str">
        <f>VLOOKUP(Yards[[#This Row],[DEVELOPMENT]],Data[],8,FALSE)</f>
        <v>Zone 1</v>
      </c>
      <c r="G101" s="66" t="str">
        <f>VLOOKUP(Yards[[#This Row],[DEVELOPMENT]],Data[],9,FALSE)</f>
        <v>$</v>
      </c>
      <c r="H101" s="66"/>
      <c r="I101" s="67" t="str">
        <f>IFERROR(VLOOKUP(Yards[[#This Row],[DEVELOPMENT]],Data[],4,FALSE),"")</f>
        <v/>
      </c>
      <c r="J101" s="67" t="str">
        <f>IF(Yards[[#This Row],[RAD/PACT]]="","",IF((Yards[[#This Row],[RAD/PACT]]&lt;=2025),"Yes",""))</f>
        <v/>
      </c>
      <c r="K101" s="67" t="str">
        <f ca="1">IF(VLOOKUP(Yards[[#This Row],[DEVELOPMENT]],ExtComp[],8,FALSE)&lt;=5,"new","old")</f>
        <v>old</v>
      </c>
      <c r="L101" s="104">
        <f ca="1">IF(Yards[[#This Row],[RAD/PACT by 2025]]="Yes",0,INDEX(UnitCosts[],MATCH(Yards[[#This Row],[WORK TYPE]],UnitCosts[Work Type],0),2))</f>
        <v>1159792.78</v>
      </c>
      <c r="M101" s="1"/>
      <c r="N101" s="1"/>
      <c r="O101" s="1"/>
      <c r="P101" s="16"/>
    </row>
    <row r="102" spans="1:16" x14ac:dyDescent="0.25">
      <c r="A102" s="13" t="s">
        <v>246</v>
      </c>
      <c r="B102" s="67" t="str">
        <f>VLOOKUP(Yards[[#This Row],[DEVELOPMENT]],Data[],2,FALSE)</f>
        <v>MANHATTAN</v>
      </c>
      <c r="C10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02" s="67">
        <f>VLOOKUP(Yards[[#This Row],[DEVELOPMENT]],Data[],30,FALSE)</f>
        <v>0</v>
      </c>
      <c r="E102" s="67">
        <f>VLOOKUP(Yards[[#This Row],[DEVELOPMENT]],Data[],28,FALSE)</f>
        <v>0</v>
      </c>
      <c r="F102" s="66" t="str">
        <f>VLOOKUP(Yards[[#This Row],[DEVELOPMENT]],Data[],8,FALSE)</f>
        <v>Zone 1</v>
      </c>
      <c r="G102" s="66" t="str">
        <f>VLOOKUP(Yards[[#This Row],[DEVELOPMENT]],Data[],9,FALSE)</f>
        <v>$$</v>
      </c>
      <c r="H102" s="66"/>
      <c r="I102" s="67" t="str">
        <f>IFERROR(VLOOKUP(Yards[[#This Row],[DEVELOPMENT]],Data[],4,FALSE),"")</f>
        <v/>
      </c>
      <c r="J102" s="67" t="str">
        <f>IF(Yards[[#This Row],[RAD/PACT]]="","",IF((Yards[[#This Row],[RAD/PACT]]&lt;=2025),"Yes",""))</f>
        <v/>
      </c>
      <c r="K102" s="67" t="str">
        <f ca="1">IF(VLOOKUP(Yards[[#This Row],[DEVELOPMENT]],ExtComp[],8,FALSE)&lt;=5,"new","old")</f>
        <v>old</v>
      </c>
      <c r="L102" s="104">
        <f>IF(Yards[[#This Row],[RAD/PACT by 2025]]="Yes",0,INDEX(UnitCosts[],MATCH(Yards[[#This Row],[WORK TYPE]],UnitCosts[Work Type],0),2))</f>
        <v>1159792.78</v>
      </c>
      <c r="M102" s="1"/>
      <c r="N102" s="1"/>
      <c r="O102" s="1"/>
      <c r="P102" s="16"/>
    </row>
    <row r="103" spans="1:16" x14ac:dyDescent="0.25">
      <c r="A103" s="13" t="s">
        <v>247</v>
      </c>
      <c r="B103" s="67" t="str">
        <f>VLOOKUP(Yards[[#This Row],[DEVELOPMENT]],Data[],2,FALSE)</f>
        <v>BRONX</v>
      </c>
      <c r="C10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03" s="67">
        <f>VLOOKUP(Yards[[#This Row],[DEVELOPMENT]],Data[],30,FALSE)</f>
        <v>2</v>
      </c>
      <c r="E103" s="67">
        <f>VLOOKUP(Yards[[#This Row],[DEVELOPMENT]],Data[],28,FALSE)</f>
        <v>0</v>
      </c>
      <c r="F103" s="66" t="str">
        <f>VLOOKUP(Yards[[#This Row],[DEVELOPMENT]],Data[],8,FALSE)</f>
        <v>Zone 1</v>
      </c>
      <c r="G103" s="66" t="str">
        <f>VLOOKUP(Yards[[#This Row],[DEVELOPMENT]],Data[],9,FALSE)</f>
        <v>$</v>
      </c>
      <c r="H103" s="66"/>
      <c r="I103" s="67" t="str">
        <f>IFERROR(VLOOKUP(Yards[[#This Row],[DEVELOPMENT]],Data[],4,FALSE),"")</f>
        <v/>
      </c>
      <c r="J103" s="67" t="str">
        <f>IF(Yards[[#This Row],[RAD/PACT]]="","",IF((Yards[[#This Row],[RAD/PACT]]&lt;=2025),"Yes",""))</f>
        <v/>
      </c>
      <c r="K103" s="67" t="str">
        <f ca="1">IF(VLOOKUP(Yards[[#This Row],[DEVELOPMENT]],ExtComp[],8,FALSE)&lt;=5,"new","old")</f>
        <v>old</v>
      </c>
      <c r="L103" s="104">
        <f ca="1">IF(Yards[[#This Row],[RAD/PACT by 2025]]="Yes",0,INDEX(UnitCosts[],MATCH(Yards[[#This Row],[WORK TYPE]],UnitCosts[Work Type],0),2))</f>
        <v>1591050.0199999998</v>
      </c>
      <c r="M103" s="1"/>
      <c r="N103" s="1"/>
      <c r="O103" s="1"/>
      <c r="P103" s="16"/>
    </row>
    <row r="104" spans="1:16" x14ac:dyDescent="0.25">
      <c r="A104" s="13" t="s">
        <v>381</v>
      </c>
      <c r="B104" s="67" t="str">
        <f>VLOOKUP(Yards[[#This Row],[DEVELOPMENT]],Data[],2,FALSE)</f>
        <v>BROOKLYN</v>
      </c>
      <c r="C10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04" s="67">
        <f>VLOOKUP(Yards[[#This Row],[DEVELOPMENT]],Data[],30,FALSE)</f>
        <v>0</v>
      </c>
      <c r="E104" s="67">
        <f>VLOOKUP(Yards[[#This Row],[DEVELOPMENT]],Data[],28,FALSE)</f>
        <v>0</v>
      </c>
      <c r="F104" s="66" t="str">
        <f>VLOOKUP(Yards[[#This Row],[DEVELOPMENT]],Data[],8,FALSE)</f>
        <v>Zone 1</v>
      </c>
      <c r="G104" s="66">
        <f>VLOOKUP(Yards[[#This Row],[DEVELOPMENT]],Data[],9,FALSE)</f>
        <v>0</v>
      </c>
      <c r="H104" s="66"/>
      <c r="I104" s="67">
        <f>IFERROR(VLOOKUP(Yards[[#This Row],[DEVELOPMENT]],Data[],4,FALSE),"")</f>
        <v>2019</v>
      </c>
      <c r="J104" s="67" t="str">
        <f>IF(Yards[[#This Row],[RAD/PACT]]="","",IF((Yards[[#This Row],[RAD/PACT]]&lt;=2025),"Yes",""))</f>
        <v>Yes</v>
      </c>
      <c r="K104" s="67" t="str">
        <f ca="1">IF(VLOOKUP(Yards[[#This Row],[DEVELOPMENT]],ExtComp[],8,FALSE)&lt;=5,"new","old")</f>
        <v>old</v>
      </c>
      <c r="L104" s="104">
        <f>IF(Yards[[#This Row],[RAD/PACT by 2025]]="Yes",0,INDEX(UnitCosts[],MATCH(Yards[[#This Row],[WORK TYPE]],UnitCosts[Work Type],0),2))</f>
        <v>0</v>
      </c>
      <c r="M104" s="1"/>
      <c r="N104" s="1"/>
      <c r="O104" s="1"/>
      <c r="P104" s="16"/>
    </row>
    <row r="105" spans="1:16" x14ac:dyDescent="0.25">
      <c r="A105" s="13" t="s">
        <v>139</v>
      </c>
      <c r="B105" s="67" t="str">
        <f>VLOOKUP(Yards[[#This Row],[DEVELOPMENT]],Data[],2,FALSE)</f>
        <v>BROOKLYN</v>
      </c>
      <c r="C10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05" s="67">
        <f>VLOOKUP(Yards[[#This Row],[DEVELOPMENT]],Data[],30,FALSE)</f>
        <v>0</v>
      </c>
      <c r="E105" s="67">
        <f>VLOOKUP(Yards[[#This Row],[DEVELOPMENT]],Data[],28,FALSE)</f>
        <v>0</v>
      </c>
      <c r="F105" s="66" t="str">
        <f>VLOOKUP(Yards[[#This Row],[DEVELOPMENT]],Data[],8,FALSE)</f>
        <v>Zone 1</v>
      </c>
      <c r="G105" s="66" t="str">
        <f>VLOOKUP(Yards[[#This Row],[DEVELOPMENT]],Data[],9,FALSE)</f>
        <v>$</v>
      </c>
      <c r="H105" s="66"/>
      <c r="I105" s="67" t="str">
        <f>IFERROR(VLOOKUP(Yards[[#This Row],[DEVELOPMENT]],Data[],4,FALSE),"")</f>
        <v/>
      </c>
      <c r="J105" s="67" t="str">
        <f>IF(Yards[[#This Row],[RAD/PACT]]="","",IF((Yards[[#This Row],[RAD/PACT]]&lt;=2025),"Yes",""))</f>
        <v/>
      </c>
      <c r="K105" s="67" t="str">
        <f ca="1">IF(VLOOKUP(Yards[[#This Row],[DEVELOPMENT]],ExtComp[],8,FALSE)&lt;=5,"new","old")</f>
        <v>old</v>
      </c>
      <c r="L105" s="104">
        <f>IF(Yards[[#This Row],[RAD/PACT by 2025]]="Yes",0,INDEX(UnitCosts[],MATCH(Yards[[#This Row],[WORK TYPE]],UnitCosts[Work Type],0),2))</f>
        <v>1159792.78</v>
      </c>
      <c r="M105" s="1"/>
      <c r="N105" s="1"/>
      <c r="O105" s="1"/>
      <c r="P105" s="16"/>
    </row>
    <row r="106" spans="1:16" x14ac:dyDescent="0.25">
      <c r="A106" s="13" t="s">
        <v>35</v>
      </c>
      <c r="B106" s="67" t="str">
        <f>VLOOKUP(Yards[[#This Row],[DEVELOPMENT]],Data[],2,FALSE)</f>
        <v>BRONX</v>
      </c>
      <c r="C10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06" s="67">
        <f>VLOOKUP(Yards[[#This Row],[DEVELOPMENT]],Data[],30,FALSE)</f>
        <v>2</v>
      </c>
      <c r="E106" s="67">
        <f>VLOOKUP(Yards[[#This Row],[DEVELOPMENT]],Data[],28,FALSE)</f>
        <v>0</v>
      </c>
      <c r="F106" s="66" t="str">
        <f>VLOOKUP(Yards[[#This Row],[DEVELOPMENT]],Data[],8,FALSE)</f>
        <v>Zone 1</v>
      </c>
      <c r="G106" s="66" t="str">
        <f>VLOOKUP(Yards[[#This Row],[DEVELOPMENT]],Data[],9,FALSE)</f>
        <v>$</v>
      </c>
      <c r="H106" s="66"/>
      <c r="I106" s="67" t="str">
        <f>IFERROR(VLOOKUP(Yards[[#This Row],[DEVELOPMENT]],Data[],4,FALSE),"")</f>
        <v/>
      </c>
      <c r="J106" s="67" t="str">
        <f>IF(Yards[[#This Row],[RAD/PACT]]="","",IF((Yards[[#This Row],[RAD/PACT]]&lt;=2025),"Yes",""))</f>
        <v/>
      </c>
      <c r="K106" s="67" t="str">
        <f ca="1">IF(VLOOKUP(Yards[[#This Row],[DEVELOPMENT]],ExtComp[],8,FALSE)&lt;=5,"new","old")</f>
        <v>old</v>
      </c>
      <c r="L106" s="104">
        <f ca="1">IF(Yards[[#This Row],[RAD/PACT by 2025]]="Yes",0,INDEX(UnitCosts[],MATCH(Yards[[#This Row],[WORK TYPE]],UnitCosts[Work Type],0),2))</f>
        <v>1591050.0199999998</v>
      </c>
      <c r="M106" s="1"/>
      <c r="N106" s="1"/>
      <c r="O106" s="1"/>
      <c r="P106" s="16"/>
    </row>
    <row r="107" spans="1:16" x14ac:dyDescent="0.25">
      <c r="A107" s="13" t="s">
        <v>36</v>
      </c>
      <c r="B107" s="67" t="str">
        <f>VLOOKUP(Yards[[#This Row],[DEVELOPMENT]],Data[],2,FALSE)</f>
        <v>MANHATTAN</v>
      </c>
      <c r="C107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07" s="67">
        <f>VLOOKUP(Yards[[#This Row],[DEVELOPMENT]],Data[],30,FALSE)</f>
        <v>2</v>
      </c>
      <c r="E107" s="67">
        <f>VLOOKUP(Yards[[#This Row],[DEVELOPMENT]],Data[],28,FALSE)</f>
        <v>0</v>
      </c>
      <c r="F107" s="66" t="str">
        <f>VLOOKUP(Yards[[#This Row],[DEVELOPMENT]],Data[],8,FALSE)</f>
        <v>Zone 1</v>
      </c>
      <c r="G107" s="66" t="str">
        <f>VLOOKUP(Yards[[#This Row],[DEVELOPMENT]],Data[],9,FALSE)</f>
        <v>$$</v>
      </c>
      <c r="H107" s="66"/>
      <c r="I107" s="67" t="str">
        <f>IFERROR(VLOOKUP(Yards[[#This Row],[DEVELOPMENT]],Data[],4,FALSE),"")</f>
        <v/>
      </c>
      <c r="J107" s="67" t="str">
        <f>IF(Yards[[#This Row],[RAD/PACT]]="","",IF((Yards[[#This Row],[RAD/PACT]]&lt;=2025),"Yes",""))</f>
        <v/>
      </c>
      <c r="K107" s="1" t="str">
        <f ca="1">IF(VLOOKUP(Yards[[#This Row],[DEVELOPMENT]],ExtComp[],8,FALSE)&lt;=5,"new","old")</f>
        <v>old</v>
      </c>
      <c r="L107" s="3">
        <f ca="1">IF(Yards[[#This Row],[RAD/PACT by 2025]]="Yes",0,INDEX(UnitCosts[],MATCH(Yards[[#This Row],[WORK TYPE]],UnitCosts[Work Type],0),2))</f>
        <v>1591050.0199999998</v>
      </c>
      <c r="M107" s="1"/>
      <c r="N107" s="1"/>
      <c r="O107" s="1"/>
      <c r="P107" s="16" t="s">
        <v>396</v>
      </c>
    </row>
    <row r="108" spans="1:16" x14ac:dyDescent="0.25">
      <c r="A108" s="13" t="s">
        <v>103</v>
      </c>
      <c r="B108" s="67" t="str">
        <f>VLOOKUP(Yards[[#This Row],[DEVELOPMENT]],Data[],2,FALSE)</f>
        <v>MANHATTAN</v>
      </c>
      <c r="C10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08" s="67">
        <f>VLOOKUP(Yards[[#This Row],[DEVELOPMENT]],Data[],30,FALSE)</f>
        <v>0</v>
      </c>
      <c r="E108" s="67">
        <f>VLOOKUP(Yards[[#This Row],[DEVELOPMENT]],Data[],28,FALSE)</f>
        <v>0</v>
      </c>
      <c r="F108" s="66" t="str">
        <f>VLOOKUP(Yards[[#This Row],[DEVELOPMENT]],Data[],8,FALSE)</f>
        <v>Zone 1</v>
      </c>
      <c r="G108" s="66" t="str">
        <f>VLOOKUP(Yards[[#This Row],[DEVELOPMENT]],Data[],9,FALSE)</f>
        <v>$</v>
      </c>
      <c r="H108" s="66"/>
      <c r="I108" s="67" t="str">
        <f>IFERROR(VLOOKUP(Yards[[#This Row],[DEVELOPMENT]],Data[],4,FALSE),"")</f>
        <v/>
      </c>
      <c r="J108" s="67" t="str">
        <f>IF(Yards[[#This Row],[RAD/PACT]]="","",IF((Yards[[#This Row],[RAD/PACT]]&lt;=2025),"Yes",""))</f>
        <v/>
      </c>
      <c r="K108" s="67" t="str">
        <f ca="1">IF(VLOOKUP(Yards[[#This Row],[DEVELOPMENT]],ExtComp[],8,FALSE)&lt;=5,"new","old")</f>
        <v>old</v>
      </c>
      <c r="L108" s="104">
        <f>IF(Yards[[#This Row],[RAD/PACT by 2025]]="Yes",0,INDEX(UnitCosts[],MATCH(Yards[[#This Row],[WORK TYPE]],UnitCosts[Work Type],0),2))</f>
        <v>1159792.78</v>
      </c>
      <c r="M108" s="1"/>
      <c r="N108" s="1"/>
      <c r="O108" s="1"/>
      <c r="P108" s="16"/>
    </row>
    <row r="109" spans="1:16" x14ac:dyDescent="0.25">
      <c r="A109" s="13" t="s">
        <v>37</v>
      </c>
      <c r="B109" s="67" t="str">
        <f>VLOOKUP(Yards[[#This Row],[DEVELOPMENT]],Data[],2,FALSE)</f>
        <v>BROOKLYN</v>
      </c>
      <c r="C10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09" s="67">
        <f>VLOOKUP(Yards[[#This Row],[DEVELOPMENT]],Data[],30,FALSE)</f>
        <v>2</v>
      </c>
      <c r="E109" s="67">
        <f>VLOOKUP(Yards[[#This Row],[DEVELOPMENT]],Data[],28,FALSE)</f>
        <v>0</v>
      </c>
      <c r="F109" s="66" t="str">
        <f>VLOOKUP(Yards[[#This Row],[DEVELOPMENT]],Data[],8,FALSE)</f>
        <v>Zone 1</v>
      </c>
      <c r="G109" s="66" t="str">
        <f>VLOOKUP(Yards[[#This Row],[DEVELOPMENT]],Data[],9,FALSE)</f>
        <v>$$$</v>
      </c>
      <c r="H109" s="66"/>
      <c r="I109" s="67" t="str">
        <f>IFERROR(VLOOKUP(Yards[[#This Row],[DEVELOPMENT]],Data[],4,FALSE),"")</f>
        <v/>
      </c>
      <c r="J109" s="67" t="str">
        <f>IF(Yards[[#This Row],[RAD/PACT]]="","",IF((Yards[[#This Row],[RAD/PACT]]&lt;=2025),"Yes",""))</f>
        <v/>
      </c>
      <c r="K109" s="67" t="str">
        <f ca="1">IF(VLOOKUP(Yards[[#This Row],[DEVELOPMENT]],ExtComp[],8,FALSE)&lt;=5,"new","old")</f>
        <v>old</v>
      </c>
      <c r="L109" s="104">
        <f ca="1">IF(Yards[[#This Row],[RAD/PACT by 2025]]="Yes",0,INDEX(UnitCosts[],MATCH(Yards[[#This Row],[WORK TYPE]],UnitCosts[Work Type],0),2))</f>
        <v>1591050.0199999998</v>
      </c>
      <c r="M109" s="1"/>
      <c r="N109" s="1"/>
      <c r="O109" s="1"/>
      <c r="P109" s="16"/>
    </row>
    <row r="110" spans="1:16" x14ac:dyDescent="0.25">
      <c r="A110" s="13" t="s">
        <v>62</v>
      </c>
      <c r="B110" s="67" t="str">
        <f>VLOOKUP(Yards[[#This Row],[DEVELOPMENT]],Data[],2,FALSE)</f>
        <v>MANHATTAN</v>
      </c>
      <c r="C11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10" s="67">
        <f>VLOOKUP(Yards[[#This Row],[DEVELOPMENT]],Data[],30,FALSE)</f>
        <v>0</v>
      </c>
      <c r="E110" s="67">
        <f>VLOOKUP(Yards[[#This Row],[DEVELOPMENT]],Data[],28,FALSE)</f>
        <v>0</v>
      </c>
      <c r="F110" s="66" t="str">
        <f>VLOOKUP(Yards[[#This Row],[DEVELOPMENT]],Data[],8,FALSE)</f>
        <v>Zone 1</v>
      </c>
      <c r="G110" s="66" t="str">
        <f>VLOOKUP(Yards[[#This Row],[DEVELOPMENT]],Data[],9,FALSE)</f>
        <v>$$</v>
      </c>
      <c r="H110" s="66"/>
      <c r="I110" s="67" t="str">
        <f>IFERROR(VLOOKUP(Yards[[#This Row],[DEVELOPMENT]],Data[],4,FALSE),"")</f>
        <v/>
      </c>
      <c r="J110" s="67" t="str">
        <f>IF(Yards[[#This Row],[RAD/PACT]]="","",IF((Yards[[#This Row],[RAD/PACT]]&lt;=2025),"Yes",""))</f>
        <v/>
      </c>
      <c r="K110" s="67" t="str">
        <f ca="1">IF(VLOOKUP(Yards[[#This Row],[DEVELOPMENT]],ExtComp[],8,FALSE)&lt;=5,"new","old")</f>
        <v>old</v>
      </c>
      <c r="L110" s="104">
        <f>IF(Yards[[#This Row],[RAD/PACT by 2025]]="Yes",0,INDEX(UnitCosts[],MATCH(Yards[[#This Row],[WORK TYPE]],UnitCosts[Work Type],0),2))</f>
        <v>1159792.78</v>
      </c>
      <c r="M110" s="1"/>
      <c r="N110" s="1"/>
      <c r="O110" s="1"/>
      <c r="P110" s="16"/>
    </row>
    <row r="111" spans="1:16" x14ac:dyDescent="0.25">
      <c r="A111" s="13" t="s">
        <v>63</v>
      </c>
      <c r="B111" s="67" t="str">
        <f>VLOOKUP(Yards[[#This Row],[DEVELOPMENT]],Data[],2,FALSE)</f>
        <v>MANHATTAN</v>
      </c>
      <c r="C11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11" s="67">
        <f>VLOOKUP(Yards[[#This Row],[DEVELOPMENT]],Data[],30,FALSE)</f>
        <v>0</v>
      </c>
      <c r="E111" s="67">
        <f>VLOOKUP(Yards[[#This Row],[DEVELOPMENT]],Data[],28,FALSE)</f>
        <v>0</v>
      </c>
      <c r="F111" s="66" t="str">
        <f>VLOOKUP(Yards[[#This Row],[DEVELOPMENT]],Data[],8,FALSE)</f>
        <v>Zone 1</v>
      </c>
      <c r="G111" s="66" t="str">
        <f>VLOOKUP(Yards[[#This Row],[DEVELOPMENT]],Data[],9,FALSE)</f>
        <v>$</v>
      </c>
      <c r="H111" s="66"/>
      <c r="I111" s="67">
        <f>IFERROR(VLOOKUP(Yards[[#This Row],[DEVELOPMENT]],Data[],4,FALSE),"")</f>
        <v>2026</v>
      </c>
      <c r="J111" s="67" t="str">
        <f>IF(Yards[[#This Row],[RAD/PACT]]="","",IF((Yards[[#This Row],[RAD/PACT]]&lt;=2025),"Yes",""))</f>
        <v/>
      </c>
      <c r="K111" s="67" t="str">
        <f ca="1">IF(VLOOKUP(Yards[[#This Row],[DEVELOPMENT]],ExtComp[],8,FALSE)&lt;=5,"new","old")</f>
        <v>old</v>
      </c>
      <c r="L111" s="104">
        <f>IF(Yards[[#This Row],[RAD/PACT by 2025]]="Yes",0,INDEX(UnitCosts[],MATCH(Yards[[#This Row],[WORK TYPE]],UnitCosts[Work Type],0),2))</f>
        <v>1159792.78</v>
      </c>
      <c r="M111" s="1"/>
      <c r="N111" s="1"/>
      <c r="O111" s="1"/>
      <c r="P111" s="16"/>
    </row>
    <row r="112" spans="1:16" x14ac:dyDescent="0.25">
      <c r="A112" s="13" t="s">
        <v>267</v>
      </c>
      <c r="B112" s="67" t="str">
        <f>VLOOKUP(Yards[[#This Row],[DEVELOPMENT]],Data[],2,FALSE)</f>
        <v>MANHATTAN</v>
      </c>
      <c r="C11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12" s="67">
        <f>VLOOKUP(Yards[[#This Row],[DEVELOPMENT]],Data[],30,FALSE)</f>
        <v>0</v>
      </c>
      <c r="E112" s="67">
        <f>VLOOKUP(Yards[[#This Row],[DEVELOPMENT]],Data[],28,FALSE)</f>
        <v>0</v>
      </c>
      <c r="F112" s="66" t="str">
        <f>VLOOKUP(Yards[[#This Row],[DEVELOPMENT]],Data[],8,FALSE)</f>
        <v>Zone 1</v>
      </c>
      <c r="G112" s="66" t="str">
        <f>VLOOKUP(Yards[[#This Row],[DEVELOPMENT]],Data[],9,FALSE)</f>
        <v>$</v>
      </c>
      <c r="H112" s="66"/>
      <c r="I112" s="67" t="str">
        <f>IFERROR(VLOOKUP(Yards[[#This Row],[DEVELOPMENT]],Data[],4,FALSE),"")</f>
        <v/>
      </c>
      <c r="J112" s="67" t="str">
        <f>IF(Yards[[#This Row],[RAD/PACT]]="","",IF((Yards[[#This Row],[RAD/PACT]]&lt;=2025),"Yes",""))</f>
        <v/>
      </c>
      <c r="K112" s="67" t="str">
        <f ca="1">IF(VLOOKUP(Yards[[#This Row],[DEVELOPMENT]],ExtComp[],8,FALSE)&lt;=5,"new","old")</f>
        <v>old</v>
      </c>
      <c r="L112" s="104">
        <f>IF(Yards[[#This Row],[RAD/PACT by 2025]]="Yes",0,INDEX(UnitCosts[],MATCH(Yards[[#This Row],[WORK TYPE]],UnitCosts[Work Type],0),2))</f>
        <v>1159792.78</v>
      </c>
      <c r="M112" s="1"/>
      <c r="N112" s="1"/>
      <c r="O112" s="1"/>
      <c r="P112" s="16"/>
    </row>
    <row r="113" spans="1:16" x14ac:dyDescent="0.25">
      <c r="A113" s="13" t="s">
        <v>64</v>
      </c>
      <c r="B113" s="67" t="str">
        <f>VLOOKUP(Yards[[#This Row],[DEVELOPMENT]],Data[],2,FALSE)</f>
        <v>MANHATTAN</v>
      </c>
      <c r="C11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13" s="67">
        <f>VLOOKUP(Yards[[#This Row],[DEVELOPMENT]],Data[],30,FALSE)</f>
        <v>0</v>
      </c>
      <c r="E113" s="67">
        <f>VLOOKUP(Yards[[#This Row],[DEVELOPMENT]],Data[],28,FALSE)</f>
        <v>0</v>
      </c>
      <c r="F113" s="66" t="str">
        <f>VLOOKUP(Yards[[#This Row],[DEVELOPMENT]],Data[],8,FALSE)</f>
        <v>Zone 1</v>
      </c>
      <c r="G113" s="66" t="str">
        <f>VLOOKUP(Yards[[#This Row],[DEVELOPMENT]],Data[],9,FALSE)</f>
        <v>$$</v>
      </c>
      <c r="H113" s="66"/>
      <c r="I113" s="67">
        <f>IFERROR(VLOOKUP(Yards[[#This Row],[DEVELOPMENT]],Data[],4,FALSE),"")</f>
        <v>2026</v>
      </c>
      <c r="J113" s="67" t="str">
        <f>IF(Yards[[#This Row],[RAD/PACT]]="","",IF((Yards[[#This Row],[RAD/PACT]]&lt;=2025),"Yes",""))</f>
        <v/>
      </c>
      <c r="K113" s="67" t="str">
        <f ca="1">IF(VLOOKUP(Yards[[#This Row],[DEVELOPMENT]],ExtComp[],8,FALSE)&lt;=5,"new","old")</f>
        <v>old</v>
      </c>
      <c r="L113" s="104">
        <f>IF(Yards[[#This Row],[RAD/PACT by 2025]]="Yes",0,INDEX(UnitCosts[],MATCH(Yards[[#This Row],[WORK TYPE]],UnitCosts[Work Type],0),2))</f>
        <v>1159792.78</v>
      </c>
      <c r="M113" s="1"/>
      <c r="N113" s="1"/>
      <c r="O113" s="1"/>
      <c r="P113" s="16"/>
    </row>
    <row r="114" spans="1:16" x14ac:dyDescent="0.25">
      <c r="A114" s="13" t="s">
        <v>38</v>
      </c>
      <c r="B114" s="67" t="str">
        <f>VLOOKUP(Yards[[#This Row],[DEVELOPMENT]],Data[],2,FALSE)</f>
        <v>BROOKLYN</v>
      </c>
      <c r="C114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114" s="67">
        <f>VLOOKUP(Yards[[#This Row],[DEVELOPMENT]],Data[],30,FALSE)</f>
        <v>3</v>
      </c>
      <c r="E114" s="67">
        <f>VLOOKUP(Yards[[#This Row],[DEVELOPMENT]],Data[],28,FALSE)</f>
        <v>0</v>
      </c>
      <c r="F114" s="66" t="str">
        <f>VLOOKUP(Yards[[#This Row],[DEVELOPMENT]],Data[],8,FALSE)</f>
        <v>Zone 1</v>
      </c>
      <c r="G114" s="66" t="str">
        <f>VLOOKUP(Yards[[#This Row],[DEVELOPMENT]],Data[],9,FALSE)</f>
        <v>$$</v>
      </c>
      <c r="H114" s="66"/>
      <c r="I114" s="67">
        <f>IFERROR(VLOOKUP(Yards[[#This Row],[DEVELOPMENT]],Data[],4,FALSE),"")</f>
        <v>2027</v>
      </c>
      <c r="J114" s="67" t="str">
        <f>IF(Yards[[#This Row],[RAD/PACT]]="","",IF((Yards[[#This Row],[RAD/PACT]]&lt;=2025),"Yes",""))</f>
        <v/>
      </c>
      <c r="K114" s="1" t="str">
        <f ca="1">IF(VLOOKUP(Yards[[#This Row],[DEVELOPMENT]],ExtComp[],8,FALSE)&lt;=5,"new","old")</f>
        <v>old</v>
      </c>
      <c r="L114" s="3">
        <f ca="1">IF(Yards[[#This Row],[RAD/PACT by 2025]]="Yes",0,INDEX(UnitCosts[],MATCH(Yards[[#This Row],[WORK TYPE]],UnitCosts[Work Type],0),2))</f>
        <v>2022307.2600000005</v>
      </c>
      <c r="M114" s="1"/>
      <c r="N114" s="1"/>
      <c r="O114" s="1"/>
      <c r="P114" s="16"/>
    </row>
    <row r="115" spans="1:16" x14ac:dyDescent="0.25">
      <c r="A115" s="13" t="s">
        <v>269</v>
      </c>
      <c r="B115" s="67" t="str">
        <f>VLOOKUP(Yards[[#This Row],[DEVELOPMENT]],Data[],2,FALSE)</f>
        <v>BROOKLYN</v>
      </c>
      <c r="C11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15" s="67">
        <f>VLOOKUP(Yards[[#This Row],[DEVELOPMENT]],Data[],30,FALSE)</f>
        <v>0</v>
      </c>
      <c r="E115" s="67">
        <f>VLOOKUP(Yards[[#This Row],[DEVELOPMENT]],Data[],28,FALSE)</f>
        <v>0</v>
      </c>
      <c r="F115" s="66" t="str">
        <f>VLOOKUP(Yards[[#This Row],[DEVELOPMENT]],Data[],8,FALSE)</f>
        <v>Zone 1</v>
      </c>
      <c r="G115" s="66" t="str">
        <f>VLOOKUP(Yards[[#This Row],[DEVELOPMENT]],Data[],9,FALSE)</f>
        <v>$</v>
      </c>
      <c r="H115" s="66"/>
      <c r="I115" s="67">
        <f>IFERROR(VLOOKUP(Yards[[#This Row],[DEVELOPMENT]],Data[],4,FALSE),"")</f>
        <v>2019</v>
      </c>
      <c r="J115" s="67" t="str">
        <f>IF(Yards[[#This Row],[RAD/PACT]]="","",IF((Yards[[#This Row],[RAD/PACT]]&lt;=2025),"Yes",""))</f>
        <v>Yes</v>
      </c>
      <c r="K115" s="67" t="str">
        <f ca="1">IF(VLOOKUP(Yards[[#This Row],[DEVELOPMENT]],ExtComp[],8,FALSE)&lt;=5,"new","old")</f>
        <v>old</v>
      </c>
      <c r="L115" s="104">
        <f>IF(Yards[[#This Row],[RAD/PACT by 2025]]="Yes",0,INDEX(UnitCosts[],MATCH(Yards[[#This Row],[WORK TYPE]],UnitCosts[Work Type],0),2))</f>
        <v>0</v>
      </c>
      <c r="M115" s="1"/>
      <c r="N115" s="1"/>
      <c r="O115" s="1"/>
      <c r="P115" s="16"/>
    </row>
    <row r="116" spans="1:16" x14ac:dyDescent="0.25">
      <c r="A116" s="13" t="s">
        <v>39</v>
      </c>
      <c r="B116" s="67" t="str">
        <f>VLOOKUP(Yards[[#This Row],[DEVELOPMENT]],Data[],2,FALSE)</f>
        <v>BRONX</v>
      </c>
      <c r="C11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16" s="67">
        <f>VLOOKUP(Yards[[#This Row],[DEVELOPMENT]],Data[],30,FALSE)</f>
        <v>2</v>
      </c>
      <c r="E116" s="67">
        <f>VLOOKUP(Yards[[#This Row],[DEVELOPMENT]],Data[],28,FALSE)</f>
        <v>0</v>
      </c>
      <c r="F116" s="66" t="str">
        <f>VLOOKUP(Yards[[#This Row],[DEVELOPMENT]],Data[],8,FALSE)</f>
        <v>Zone 1</v>
      </c>
      <c r="G116" s="66" t="str">
        <f>VLOOKUP(Yards[[#This Row],[DEVELOPMENT]],Data[],9,FALSE)</f>
        <v>$</v>
      </c>
      <c r="H116" s="66">
        <v>1</v>
      </c>
      <c r="I116" s="67">
        <f>IFERROR(VLOOKUP(Yards[[#This Row],[DEVELOPMENT]],Data[],4,FALSE),"")</f>
        <v>2023</v>
      </c>
      <c r="J116" s="67" t="str">
        <f>IF(Yards[[#This Row],[RAD/PACT]]="","",IF((Yards[[#This Row],[RAD/PACT]]&lt;=2025),"Yes",""))</f>
        <v>Yes</v>
      </c>
      <c r="K116" s="1" t="str">
        <f ca="1">IF(VLOOKUP(Yards[[#This Row],[DEVELOPMENT]],ExtComp[],8,FALSE)&lt;=5,"new","old")</f>
        <v>old</v>
      </c>
      <c r="L116" s="104">
        <f>IF(Yards[[#This Row],[RAD/PACT by 2025]]="Yes",0,INDEX(UnitCosts[],MATCH(Yards[[#This Row],[WORK TYPE]],UnitCosts[Work Type],0),2))</f>
        <v>0</v>
      </c>
      <c r="M116" s="1"/>
      <c r="N116" s="1"/>
      <c r="O116" s="1"/>
      <c r="P116" s="16"/>
    </row>
    <row r="117" spans="1:16" x14ac:dyDescent="0.25">
      <c r="A117" s="13" t="s">
        <v>50</v>
      </c>
      <c r="B117" s="67" t="str">
        <f>VLOOKUP(Yards[[#This Row],[DEVELOPMENT]],Data[],2,FALSE)</f>
        <v>MANHATTAN</v>
      </c>
      <c r="C11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17" s="67">
        <f>VLOOKUP(Yards[[#This Row],[DEVELOPMENT]],Data[],30,FALSE)</f>
        <v>0</v>
      </c>
      <c r="E117" s="67">
        <f>VLOOKUP(Yards[[#This Row],[DEVELOPMENT]],Data[],28,FALSE)</f>
        <v>0</v>
      </c>
      <c r="F117" s="66" t="str">
        <f>VLOOKUP(Yards[[#This Row],[DEVELOPMENT]],Data[],8,FALSE)</f>
        <v>Zone 1</v>
      </c>
      <c r="G117" s="66" t="str">
        <f>VLOOKUP(Yards[[#This Row],[DEVELOPMENT]],Data[],9,FALSE)</f>
        <v>$</v>
      </c>
      <c r="H117" s="66"/>
      <c r="I117" s="67" t="str">
        <f>IFERROR(VLOOKUP(Yards[[#This Row],[DEVELOPMENT]],Data[],4,FALSE),"")</f>
        <v/>
      </c>
      <c r="J117" s="67" t="str">
        <f>IF(Yards[[#This Row],[RAD/PACT]]="","",IF((Yards[[#This Row],[RAD/PACT]]&lt;=2025),"Yes",""))</f>
        <v/>
      </c>
      <c r="K117" s="67" t="str">
        <f ca="1">IF(VLOOKUP(Yards[[#This Row],[DEVELOPMENT]],ExtComp[],8,FALSE)&lt;=5,"new","old")</f>
        <v>old</v>
      </c>
      <c r="L117" s="104">
        <f>IF(Yards[[#This Row],[RAD/PACT by 2025]]="Yes",0,INDEX(UnitCosts[],MATCH(Yards[[#This Row],[WORK TYPE]],UnitCosts[Work Type],0),2))</f>
        <v>1159792.78</v>
      </c>
      <c r="M117" s="1"/>
      <c r="N117" s="1"/>
      <c r="O117" s="1"/>
      <c r="P117" s="16"/>
    </row>
    <row r="118" spans="1:16" x14ac:dyDescent="0.25">
      <c r="A118" s="13" t="s">
        <v>40</v>
      </c>
      <c r="B118" s="67" t="str">
        <f>VLOOKUP(Yards[[#This Row],[DEVELOPMENT]],Data[],2,FALSE)</f>
        <v>BRONX</v>
      </c>
      <c r="C118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118" s="67">
        <f>VLOOKUP(Yards[[#This Row],[DEVELOPMENT]],Data[],30,FALSE)</f>
        <v>3</v>
      </c>
      <c r="E118" s="67">
        <f>VLOOKUP(Yards[[#This Row],[DEVELOPMENT]],Data[],28,FALSE)</f>
        <v>0</v>
      </c>
      <c r="F118" s="66" t="str">
        <f>VLOOKUP(Yards[[#This Row],[DEVELOPMENT]],Data[],8,FALSE)</f>
        <v>Zone 1</v>
      </c>
      <c r="G118" s="66" t="str">
        <f>VLOOKUP(Yards[[#This Row],[DEVELOPMENT]],Data[],9,FALSE)</f>
        <v>$$</v>
      </c>
      <c r="H118" s="66"/>
      <c r="I118" s="67" t="str">
        <f>IFERROR(VLOOKUP(Yards[[#This Row],[DEVELOPMENT]],Data[],4,FALSE),"")</f>
        <v/>
      </c>
      <c r="J118" s="67" t="str">
        <f>IF(Yards[[#This Row],[RAD/PACT]]="","",IF((Yards[[#This Row],[RAD/PACT]]&lt;=2025),"Yes",""))</f>
        <v/>
      </c>
      <c r="K118" s="1" t="str">
        <f ca="1">IF(VLOOKUP(Yards[[#This Row],[DEVELOPMENT]],ExtComp[],8,FALSE)&lt;=5,"new","old")</f>
        <v>old</v>
      </c>
      <c r="L118" s="104">
        <f ca="1">IF(Yards[[#This Row],[RAD/PACT by 2025]]="Yes",0,INDEX(UnitCosts[],MATCH(Yards[[#This Row],[WORK TYPE]],UnitCosts[Work Type],0),2))</f>
        <v>2022307.2600000005</v>
      </c>
      <c r="M118" s="1"/>
      <c r="N118" s="1"/>
      <c r="O118" s="1"/>
      <c r="P118" s="16"/>
    </row>
    <row r="119" spans="1:16" x14ac:dyDescent="0.25">
      <c r="A119" s="13" t="s">
        <v>140</v>
      </c>
      <c r="B119" s="67" t="str">
        <f>VLOOKUP(Yards[[#This Row],[DEVELOPMENT]],Data[],2,FALSE)</f>
        <v>BRONX</v>
      </c>
      <c r="C11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19" s="67">
        <f>VLOOKUP(Yards[[#This Row],[DEVELOPMENT]],Data[],30,FALSE)</f>
        <v>2</v>
      </c>
      <c r="E119" s="67">
        <f>VLOOKUP(Yards[[#This Row],[DEVELOPMENT]],Data[],28,FALSE)</f>
        <v>0</v>
      </c>
      <c r="F119" s="66" t="str">
        <f>VLOOKUP(Yards[[#This Row],[DEVELOPMENT]],Data[],8,FALSE)</f>
        <v>Zone 1</v>
      </c>
      <c r="G119" s="66" t="str">
        <f>VLOOKUP(Yards[[#This Row],[DEVELOPMENT]],Data[],9,FALSE)</f>
        <v>$$$</v>
      </c>
      <c r="H119" s="66"/>
      <c r="I119" s="67" t="str">
        <f>IFERROR(VLOOKUP(Yards[[#This Row],[DEVELOPMENT]],Data[],4,FALSE),"")</f>
        <v/>
      </c>
      <c r="J119" s="67" t="str">
        <f>IF(Yards[[#This Row],[RAD/PACT]]="","",IF((Yards[[#This Row],[RAD/PACT]]&lt;=2025),"Yes",""))</f>
        <v/>
      </c>
      <c r="K119" s="67" t="str">
        <f ca="1">IF(VLOOKUP(Yards[[#This Row],[DEVELOPMENT]],ExtComp[],8,FALSE)&lt;=5,"new","old")</f>
        <v>old</v>
      </c>
      <c r="L119" s="104">
        <f ca="1">IF(Yards[[#This Row],[RAD/PACT by 2025]]="Yes",0,INDEX(UnitCosts[],MATCH(Yards[[#This Row],[WORK TYPE]],UnitCosts[Work Type],0),2))</f>
        <v>1591050.0199999998</v>
      </c>
      <c r="M119" s="1"/>
      <c r="N119" s="1"/>
      <c r="O119" s="1"/>
      <c r="P119" s="16"/>
    </row>
    <row r="120" spans="1:16" x14ac:dyDescent="0.25">
      <c r="A120" s="13" t="s">
        <v>147</v>
      </c>
      <c r="B120" s="67" t="str">
        <f>VLOOKUP(Yards[[#This Row],[DEVELOPMENT]],Data[],2,FALSE)</f>
        <v>BRONX</v>
      </c>
      <c r="C12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20" s="67">
        <f>VLOOKUP(Yards[[#This Row],[DEVELOPMENT]],Data[],30,FALSE)</f>
        <v>0</v>
      </c>
      <c r="E120" s="67">
        <f>VLOOKUP(Yards[[#This Row],[DEVELOPMENT]],Data[],28,FALSE)</f>
        <v>0</v>
      </c>
      <c r="F120" s="66" t="str">
        <f>VLOOKUP(Yards[[#This Row],[DEVELOPMENT]],Data[],8,FALSE)</f>
        <v>Zone 1</v>
      </c>
      <c r="G120" s="66" t="str">
        <f>VLOOKUP(Yards[[#This Row],[DEVELOPMENT]],Data[],9,FALSE)</f>
        <v>$$$$</v>
      </c>
      <c r="H120" s="66">
        <v>1</v>
      </c>
      <c r="I120" s="67" t="str">
        <f>IFERROR(VLOOKUP(Yards[[#This Row],[DEVELOPMENT]],Data[],4,FALSE),"")</f>
        <v/>
      </c>
      <c r="J120" s="67" t="str">
        <f>IF(Yards[[#This Row],[RAD/PACT]]="","",IF((Yards[[#This Row],[RAD/PACT]]&lt;=2025),"Yes",""))</f>
        <v/>
      </c>
      <c r="K120" s="67" t="str">
        <f ca="1">IF(VLOOKUP(Yards[[#This Row],[DEVELOPMENT]],ExtComp[],8,FALSE)&lt;=5,"new","old")</f>
        <v>old</v>
      </c>
      <c r="L120" s="104">
        <f>IF(Yards[[#This Row],[RAD/PACT by 2025]]="Yes",0,INDEX(UnitCosts[],MATCH(Yards[[#This Row],[WORK TYPE]],UnitCosts[Work Type],0),2))</f>
        <v>1159792.78</v>
      </c>
      <c r="M120" s="1"/>
      <c r="N120" s="1"/>
      <c r="O120" s="1"/>
      <c r="P120" s="16"/>
    </row>
    <row r="121" spans="1:16" x14ac:dyDescent="0.25">
      <c r="A121" s="64" t="s">
        <v>41</v>
      </c>
      <c r="B121" s="79" t="str">
        <f>VLOOKUP(Yards[[#This Row],[DEVELOPMENT]],Data[],2,FALSE)</f>
        <v>BRONX</v>
      </c>
      <c r="C12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21" s="79">
        <f>VLOOKUP(Yards[[#This Row],[DEVELOPMENT]],Data[],30,FALSE)</f>
        <v>0</v>
      </c>
      <c r="E121" s="79">
        <f>VLOOKUP(Yards[[#This Row],[DEVELOPMENT]],Data[],28,FALSE)</f>
        <v>0</v>
      </c>
      <c r="F121" s="68" t="str">
        <f>VLOOKUP(Yards[[#This Row],[DEVELOPMENT]],Data[],8,FALSE)</f>
        <v>Zone 1</v>
      </c>
      <c r="G121" s="68" t="str">
        <f>VLOOKUP(Yards[[#This Row],[DEVELOPMENT]],Data[],9,FALSE)</f>
        <v>$</v>
      </c>
      <c r="H121" s="68"/>
      <c r="I121" s="79" t="str">
        <f>IFERROR(VLOOKUP(Yards[[#This Row],[DEVELOPMENT]],Data[],4,FALSE),"")</f>
        <v/>
      </c>
      <c r="J121" s="79" t="str">
        <f>IF(Yards[[#This Row],[RAD/PACT]]="","",IF((Yards[[#This Row],[RAD/PACT]]&lt;=2025),"Yes",""))</f>
        <v/>
      </c>
      <c r="K121" s="79" t="str">
        <f ca="1">IF(VLOOKUP(Yards[[#This Row],[DEVELOPMENT]],ExtComp[],8,FALSE)&lt;=5,"new","old")</f>
        <v>old</v>
      </c>
      <c r="L121" s="105">
        <f>IF(Yards[[#This Row],[RAD/PACT by 2025]]="Yes",0,INDEX(UnitCosts[],MATCH(Yards[[#This Row],[WORK TYPE]],UnitCosts[Work Type],0),2))</f>
        <v>1159792.78</v>
      </c>
      <c r="M121" s="51"/>
      <c r="N121" s="51"/>
      <c r="O121" s="51"/>
      <c r="P121" s="96"/>
    </row>
    <row r="122" spans="1:16" x14ac:dyDescent="0.25">
      <c r="A122" s="13" t="s">
        <v>55</v>
      </c>
      <c r="B122" s="67" t="str">
        <f>VLOOKUP(Yards[[#This Row],[DEVELOPMENT]],Data[],2,FALSE)</f>
        <v>MANHATTAN</v>
      </c>
      <c r="C122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22" s="67">
        <f>VLOOKUP(Yards[[#This Row],[DEVELOPMENT]],Data[],30,FALSE)</f>
        <v>2</v>
      </c>
      <c r="E122" s="67">
        <f>VLOOKUP(Yards[[#This Row],[DEVELOPMENT]],Data[],28,FALSE)</f>
        <v>0</v>
      </c>
      <c r="F122" s="66" t="str">
        <f>VLOOKUP(Yards[[#This Row],[DEVELOPMENT]],Data[],8,FALSE)</f>
        <v>Zone 1</v>
      </c>
      <c r="G122" s="66" t="str">
        <f>VLOOKUP(Yards[[#This Row],[DEVELOPMENT]],Data[],9,FALSE)</f>
        <v>$</v>
      </c>
      <c r="H122" s="66">
        <v>1</v>
      </c>
      <c r="I122" s="67" t="str">
        <f>IFERROR(VLOOKUP(Yards[[#This Row],[DEVELOPMENT]],Data[],4,FALSE),"")</f>
        <v/>
      </c>
      <c r="J122" s="67" t="str">
        <f>IF(Yards[[#This Row],[RAD/PACT]]="","",IF((Yards[[#This Row],[RAD/PACT]]&lt;=2025),"Yes",""))</f>
        <v/>
      </c>
      <c r="K122" s="1" t="str">
        <f ca="1">IF(VLOOKUP(Yards[[#This Row],[DEVELOPMENT]],ExtComp[],8,FALSE)&lt;=5,"new","old")</f>
        <v>old</v>
      </c>
      <c r="L122" s="104">
        <f ca="1">IF(Yards[[#This Row],[RAD/PACT by 2025]]="Yes",0,INDEX(UnitCosts[],MATCH(Yards[[#This Row],[WORK TYPE]],UnitCosts[Work Type],0),2))</f>
        <v>1591050.0199999998</v>
      </c>
      <c r="M122" s="1"/>
      <c r="N122" s="1"/>
      <c r="O122" s="1"/>
      <c r="P122" s="16"/>
    </row>
    <row r="123" spans="1:16" x14ac:dyDescent="0.25">
      <c r="A123" s="13" t="s">
        <v>104</v>
      </c>
      <c r="B123" s="67" t="str">
        <f>VLOOKUP(Yards[[#This Row],[DEVELOPMENT]],Data[],2,FALSE)</f>
        <v>MANHATTAN</v>
      </c>
      <c r="C12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23" s="67">
        <f>VLOOKUP(Yards[[#This Row],[DEVELOPMENT]],Data[],30,FALSE)</f>
        <v>1</v>
      </c>
      <c r="E123" s="67">
        <f>VLOOKUP(Yards[[#This Row],[DEVELOPMENT]],Data[],28,FALSE)</f>
        <v>0</v>
      </c>
      <c r="F123" s="66" t="str">
        <f>VLOOKUP(Yards[[#This Row],[DEVELOPMENT]],Data[],8,FALSE)</f>
        <v>Zone 1</v>
      </c>
      <c r="G123" s="66" t="str">
        <f>VLOOKUP(Yards[[#This Row],[DEVELOPMENT]],Data[],9,FALSE)</f>
        <v>$$</v>
      </c>
      <c r="H123" s="66"/>
      <c r="I123" s="67" t="str">
        <f>IFERROR(VLOOKUP(Yards[[#This Row],[DEVELOPMENT]],Data[],4,FALSE),"")</f>
        <v/>
      </c>
      <c r="J123" s="67" t="str">
        <f>IF(Yards[[#This Row],[RAD/PACT]]="","",IF((Yards[[#This Row],[RAD/PACT]]&lt;=2025),"Yes",""))</f>
        <v/>
      </c>
      <c r="K123" s="67" t="str">
        <f ca="1">IF(VLOOKUP(Yards[[#This Row],[DEVELOPMENT]],ExtComp[],8,FALSE)&lt;=5,"new","old")</f>
        <v>old</v>
      </c>
      <c r="L123" s="104">
        <f ca="1">IF(Yards[[#This Row],[RAD/PACT by 2025]]="Yes",0,INDEX(UnitCosts[],MATCH(Yards[[#This Row],[WORK TYPE]],UnitCosts[Work Type],0),2))</f>
        <v>1159792.78</v>
      </c>
      <c r="M123" s="1"/>
      <c r="N123" s="1"/>
      <c r="O123" s="1"/>
      <c r="P123" s="16"/>
    </row>
    <row r="124" spans="1:16" x14ac:dyDescent="0.25">
      <c r="A124" s="13" t="s">
        <v>42</v>
      </c>
      <c r="B124" s="67" t="str">
        <f>VLOOKUP(Yards[[#This Row],[DEVELOPMENT]],Data[],2,FALSE)</f>
        <v>BROOKLYN</v>
      </c>
      <c r="C12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24" s="67">
        <f>VLOOKUP(Yards[[#This Row],[DEVELOPMENT]],Data[],30,FALSE)</f>
        <v>0</v>
      </c>
      <c r="E124" s="67">
        <f>VLOOKUP(Yards[[#This Row],[DEVELOPMENT]],Data[],28,FALSE)</f>
        <v>0</v>
      </c>
      <c r="F124" s="66" t="str">
        <f>VLOOKUP(Yards[[#This Row],[DEVELOPMENT]],Data[],8,FALSE)</f>
        <v>Zone 1</v>
      </c>
      <c r="G124" s="66" t="str">
        <f>VLOOKUP(Yards[[#This Row],[DEVELOPMENT]],Data[],9,FALSE)</f>
        <v>$</v>
      </c>
      <c r="H124" s="66"/>
      <c r="I124" s="67" t="str">
        <f>IFERROR(VLOOKUP(Yards[[#This Row],[DEVELOPMENT]],Data[],4,FALSE),"")</f>
        <v/>
      </c>
      <c r="J124" s="67" t="str">
        <f>IF(Yards[[#This Row],[RAD/PACT]]="","",IF((Yards[[#This Row],[RAD/PACT]]&lt;=2025),"Yes",""))</f>
        <v/>
      </c>
      <c r="K124" s="67" t="str">
        <f ca="1">IF(VLOOKUP(Yards[[#This Row],[DEVELOPMENT]],ExtComp[],8,FALSE)&lt;=5,"new","old")</f>
        <v>old</v>
      </c>
      <c r="L124" s="104">
        <f>IF(Yards[[#This Row],[RAD/PACT by 2025]]="Yes",0,INDEX(UnitCosts[],MATCH(Yards[[#This Row],[WORK TYPE]],UnitCosts[Work Type],0),2))</f>
        <v>1159792.78</v>
      </c>
      <c r="M124" s="1"/>
      <c r="N124" s="1"/>
      <c r="O124" s="1"/>
      <c r="P124" s="16"/>
    </row>
    <row r="125" spans="1:16" x14ac:dyDescent="0.25">
      <c r="A125" s="13" t="s">
        <v>148</v>
      </c>
      <c r="B125" s="67" t="str">
        <f>VLOOKUP(Yards[[#This Row],[DEVELOPMENT]],Data[],2,FALSE)</f>
        <v>BROOKLYN</v>
      </c>
      <c r="C12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25" s="67">
        <f>VLOOKUP(Yards[[#This Row],[DEVELOPMENT]],Data[],30,FALSE)</f>
        <v>0</v>
      </c>
      <c r="E125" s="67">
        <f>VLOOKUP(Yards[[#This Row],[DEVELOPMENT]],Data[],28,FALSE)</f>
        <v>0</v>
      </c>
      <c r="F125" s="66" t="str">
        <f>VLOOKUP(Yards[[#This Row],[DEVELOPMENT]],Data[],8,FALSE)</f>
        <v>Zone 1</v>
      </c>
      <c r="G125" s="66" t="str">
        <f>VLOOKUP(Yards[[#This Row],[DEVELOPMENT]],Data[],9,FALSE)</f>
        <v>$</v>
      </c>
      <c r="H125" s="66"/>
      <c r="I125" s="67" t="str">
        <f>IFERROR(VLOOKUP(Yards[[#This Row],[DEVELOPMENT]],Data[],4,FALSE),"")</f>
        <v/>
      </c>
      <c r="J125" s="67" t="str">
        <f>IF(Yards[[#This Row],[RAD/PACT]]="","",IF((Yards[[#This Row],[RAD/PACT]]&lt;=2025),"Yes",""))</f>
        <v/>
      </c>
      <c r="K125" s="67" t="str">
        <f ca="1">IF(VLOOKUP(Yards[[#This Row],[DEVELOPMENT]],ExtComp[],8,FALSE)&lt;=5,"new","old")</f>
        <v>old</v>
      </c>
      <c r="L125" s="104">
        <f>IF(Yards[[#This Row],[RAD/PACT by 2025]]="Yes",0,INDEX(UnitCosts[],MATCH(Yards[[#This Row],[WORK TYPE]],UnitCosts[Work Type],0),2))</f>
        <v>1159792.78</v>
      </c>
      <c r="M125" s="1"/>
      <c r="N125" s="1"/>
      <c r="O125" s="1"/>
      <c r="P125" s="16"/>
    </row>
    <row r="126" spans="1:16" x14ac:dyDescent="0.25">
      <c r="A126" s="13" t="s">
        <v>43</v>
      </c>
      <c r="B126" s="67" t="str">
        <f>VLOOKUP(Yards[[#This Row],[DEVELOPMENT]],Data[],2,FALSE)</f>
        <v>MANHATTAN</v>
      </c>
      <c r="C12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26" s="67">
        <f>VLOOKUP(Yards[[#This Row],[DEVELOPMENT]],Data[],30,FALSE)</f>
        <v>1</v>
      </c>
      <c r="E126" s="67">
        <f>VLOOKUP(Yards[[#This Row],[DEVELOPMENT]],Data[],28,FALSE)</f>
        <v>0</v>
      </c>
      <c r="F126" s="66" t="str">
        <f>VLOOKUP(Yards[[#This Row],[DEVELOPMENT]],Data[],8,FALSE)</f>
        <v>Zone 1</v>
      </c>
      <c r="G126" s="66" t="str">
        <f>VLOOKUP(Yards[[#This Row],[DEVELOPMENT]],Data[],9,FALSE)</f>
        <v>$</v>
      </c>
      <c r="H126" s="66"/>
      <c r="I126" s="67" t="str">
        <f>IFERROR(VLOOKUP(Yards[[#This Row],[DEVELOPMENT]],Data[],4,FALSE),"")</f>
        <v/>
      </c>
      <c r="J126" s="67" t="str">
        <f>IF(Yards[[#This Row],[RAD/PACT]]="","",IF((Yards[[#This Row],[RAD/PACT]]&lt;=2025),"Yes",""))</f>
        <v/>
      </c>
      <c r="K126" s="67" t="str">
        <f ca="1">IF(VLOOKUP(Yards[[#This Row],[DEVELOPMENT]],ExtComp[],8,FALSE)&lt;=5,"new","old")</f>
        <v>old</v>
      </c>
      <c r="L126" s="104">
        <f ca="1">IF(Yards[[#This Row],[RAD/PACT by 2025]]="Yes",0,INDEX(UnitCosts[],MATCH(Yards[[#This Row],[WORK TYPE]],UnitCosts[Work Type],0),2))</f>
        <v>1159792.78</v>
      </c>
      <c r="M126" s="1"/>
      <c r="N126" s="1"/>
      <c r="O126" s="1"/>
      <c r="P126" s="16"/>
    </row>
    <row r="127" spans="1:16" x14ac:dyDescent="0.25">
      <c r="A127" s="13" t="s">
        <v>65</v>
      </c>
      <c r="B127" s="67" t="str">
        <f>VLOOKUP(Yards[[#This Row],[DEVELOPMENT]],Data[],2,FALSE)</f>
        <v>MANHATTAN</v>
      </c>
      <c r="C12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27" s="67">
        <f>VLOOKUP(Yards[[#This Row],[DEVELOPMENT]],Data[],30,FALSE)</f>
        <v>0</v>
      </c>
      <c r="E127" s="67">
        <f>VLOOKUP(Yards[[#This Row],[DEVELOPMENT]],Data[],28,FALSE)</f>
        <v>0</v>
      </c>
      <c r="F127" s="66" t="str">
        <f>VLOOKUP(Yards[[#This Row],[DEVELOPMENT]],Data[],8,FALSE)</f>
        <v>Zone 1</v>
      </c>
      <c r="G127" s="66" t="str">
        <f>VLOOKUP(Yards[[#This Row],[DEVELOPMENT]],Data[],9,FALSE)</f>
        <v>$</v>
      </c>
      <c r="H127" s="66"/>
      <c r="I127" s="67" t="str">
        <f>IFERROR(VLOOKUP(Yards[[#This Row],[DEVELOPMENT]],Data[],4,FALSE),"")</f>
        <v/>
      </c>
      <c r="J127" s="67" t="str">
        <f>IF(Yards[[#This Row],[RAD/PACT]]="","",IF((Yards[[#This Row],[RAD/PACT]]&lt;=2025),"Yes",""))</f>
        <v/>
      </c>
      <c r="K127" s="67" t="str">
        <f ca="1">IF(VLOOKUP(Yards[[#This Row],[DEVELOPMENT]],ExtComp[],8,FALSE)&lt;=5,"new","old")</f>
        <v>old</v>
      </c>
      <c r="L127" s="104">
        <f>IF(Yards[[#This Row],[RAD/PACT by 2025]]="Yes",0,INDEX(UnitCosts[],MATCH(Yards[[#This Row],[WORK TYPE]],UnitCosts[Work Type],0),2))</f>
        <v>1159792.78</v>
      </c>
      <c r="M127" s="1"/>
      <c r="N127" s="1"/>
      <c r="O127" s="1"/>
      <c r="P127" s="16"/>
    </row>
    <row r="128" spans="1:16" x14ac:dyDescent="0.25">
      <c r="A128" s="13" t="s">
        <v>44</v>
      </c>
      <c r="B128" s="67" t="str">
        <f>VLOOKUP(Yards[[#This Row],[DEVELOPMENT]],Data[],2,FALSE)</f>
        <v>MANHATTAN</v>
      </c>
      <c r="C128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128" s="67">
        <f>VLOOKUP(Yards[[#This Row],[DEVELOPMENT]],Data[],30,FALSE)</f>
        <v>4</v>
      </c>
      <c r="E128" s="67">
        <f>VLOOKUP(Yards[[#This Row],[DEVELOPMENT]],Data[],28,FALSE)</f>
        <v>0</v>
      </c>
      <c r="F128" s="66" t="str">
        <f>VLOOKUP(Yards[[#This Row],[DEVELOPMENT]],Data[],8,FALSE)</f>
        <v>Zone 1</v>
      </c>
      <c r="G128" s="66" t="str">
        <f>VLOOKUP(Yards[[#This Row],[DEVELOPMENT]],Data[],9,FALSE)</f>
        <v>$</v>
      </c>
      <c r="H128" s="66"/>
      <c r="I128" s="67" t="str">
        <f>IFERROR(VLOOKUP(Yards[[#This Row],[DEVELOPMENT]],Data[],4,FALSE),"")</f>
        <v/>
      </c>
      <c r="J128" s="67" t="str">
        <f>IF(Yards[[#This Row],[RAD/PACT]]="","",IF((Yards[[#This Row],[RAD/PACT]]&lt;=2025),"Yes",""))</f>
        <v/>
      </c>
      <c r="K128" s="67" t="str">
        <f ca="1">IF(VLOOKUP(Yards[[#This Row],[DEVELOPMENT]],ExtComp[],8,FALSE)&lt;=5,"new","old")</f>
        <v>old</v>
      </c>
      <c r="L128" s="104">
        <f ca="1">IF(Yards[[#This Row],[RAD/PACT by 2025]]="Yes",0,INDEX(UnitCosts[],MATCH(Yards[[#This Row],[WORK TYPE]],UnitCosts[Work Type],0),2))</f>
        <v>2453564.4999999995</v>
      </c>
      <c r="M128" s="1"/>
      <c r="N128" s="1"/>
      <c r="O128" s="1"/>
      <c r="P128" s="16"/>
    </row>
    <row r="129" spans="1:16" x14ac:dyDescent="0.25">
      <c r="A129" s="13" t="s">
        <v>45</v>
      </c>
      <c r="B129" s="67" t="str">
        <f>VLOOKUP(Yards[[#This Row],[DEVELOPMENT]],Data[],2,FALSE)</f>
        <v>BROOKLYN</v>
      </c>
      <c r="C12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29" s="67">
        <f>VLOOKUP(Yards[[#This Row],[DEVELOPMENT]],Data[],30,FALSE)</f>
        <v>2</v>
      </c>
      <c r="E129" s="67">
        <f>VLOOKUP(Yards[[#This Row],[DEVELOPMENT]],Data[],28,FALSE)</f>
        <v>0</v>
      </c>
      <c r="F129" s="66" t="str">
        <f>VLOOKUP(Yards[[#This Row],[DEVELOPMENT]],Data[],8,FALSE)</f>
        <v>Zone 1</v>
      </c>
      <c r="G129" s="66" t="str">
        <f>VLOOKUP(Yards[[#This Row],[DEVELOPMENT]],Data[],9,FALSE)</f>
        <v>$</v>
      </c>
      <c r="H129" s="66"/>
      <c r="I129" s="67" t="str">
        <f>IFERROR(VLOOKUP(Yards[[#This Row],[DEVELOPMENT]],Data[],4,FALSE),"")</f>
        <v/>
      </c>
      <c r="J129" s="67" t="str">
        <f>IF(Yards[[#This Row],[RAD/PACT]]="","",IF((Yards[[#This Row],[RAD/PACT]]&lt;=2025),"Yes",""))</f>
        <v/>
      </c>
      <c r="K129" s="67" t="str">
        <f ca="1">IF(VLOOKUP(Yards[[#This Row],[DEVELOPMENT]],ExtComp[],8,FALSE)&lt;=5,"new","old")</f>
        <v>old</v>
      </c>
      <c r="L129" s="104">
        <f ca="1">IF(Yards[[#This Row],[RAD/PACT by 2025]]="Yes",0,INDEX(UnitCosts[],MATCH(Yards[[#This Row],[WORK TYPE]],UnitCosts[Work Type],0),2))</f>
        <v>1591050.0199999998</v>
      </c>
      <c r="M129" s="1"/>
      <c r="N129" s="1"/>
      <c r="O129" s="1"/>
      <c r="P129" s="16"/>
    </row>
    <row r="130" spans="1:16" x14ac:dyDescent="0.25">
      <c r="A130" s="13" t="s">
        <v>149</v>
      </c>
      <c r="B130" s="67" t="str">
        <f>VLOOKUP(Yards[[#This Row],[DEVELOPMENT]],Data[],2,FALSE)</f>
        <v>BRONX</v>
      </c>
      <c r="C13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30" s="67">
        <f>VLOOKUP(Yards[[#This Row],[DEVELOPMENT]],Data[],30,FALSE)</f>
        <v>0</v>
      </c>
      <c r="E130" s="67">
        <f>VLOOKUP(Yards[[#This Row],[DEVELOPMENT]],Data[],28,FALSE)</f>
        <v>0</v>
      </c>
      <c r="F130" s="66" t="str">
        <f>VLOOKUP(Yards[[#This Row],[DEVELOPMENT]],Data[],8,FALSE)</f>
        <v>Zone 1</v>
      </c>
      <c r="G130" s="66" t="str">
        <f>VLOOKUP(Yards[[#This Row],[DEVELOPMENT]],Data[],9,FALSE)</f>
        <v>$</v>
      </c>
      <c r="H130" s="66"/>
      <c r="I130" s="67">
        <f>IFERROR(VLOOKUP(Yards[[#This Row],[DEVELOPMENT]],Data[],4,FALSE),"")</f>
        <v>2025</v>
      </c>
      <c r="J130" s="67" t="str">
        <f>IF(Yards[[#This Row],[RAD/PACT]]="","",IF((Yards[[#This Row],[RAD/PACT]]&lt;=2025),"Yes",""))</f>
        <v>Yes</v>
      </c>
      <c r="K130" s="67" t="str">
        <f ca="1">IF(VLOOKUP(Yards[[#This Row],[DEVELOPMENT]],ExtComp[],8,FALSE)&lt;=5,"new","old")</f>
        <v>old</v>
      </c>
      <c r="L130" s="104">
        <f>IF(Yards[[#This Row],[RAD/PACT by 2025]]="Yes",0,INDEX(UnitCosts[],MATCH(Yards[[#This Row],[WORK TYPE]],UnitCosts[Work Type],0),2))</f>
        <v>0</v>
      </c>
      <c r="M130" s="1"/>
      <c r="N130" s="1"/>
      <c r="O130" s="1"/>
      <c r="P130" s="16"/>
    </row>
    <row r="131" spans="1:16" x14ac:dyDescent="0.25">
      <c r="A131" s="13" t="s">
        <v>46</v>
      </c>
      <c r="B131" s="67" t="str">
        <f>VLOOKUP(Yards[[#This Row],[DEVELOPMENT]],Data[],2,FALSE)</f>
        <v>BROOKLYN</v>
      </c>
      <c r="C13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31" s="67">
        <f>VLOOKUP(Yards[[#This Row],[DEVELOPMENT]],Data[],30,FALSE)</f>
        <v>0</v>
      </c>
      <c r="E131" s="67">
        <f>VLOOKUP(Yards[[#This Row],[DEVELOPMENT]],Data[],28,FALSE)</f>
        <v>0</v>
      </c>
      <c r="F131" s="66" t="str">
        <f>VLOOKUP(Yards[[#This Row],[DEVELOPMENT]],Data[],8,FALSE)</f>
        <v>Zone 1</v>
      </c>
      <c r="G131" s="66" t="str">
        <f>VLOOKUP(Yards[[#This Row],[DEVELOPMENT]],Data[],9,FALSE)</f>
        <v>$</v>
      </c>
      <c r="H131" s="66"/>
      <c r="I131" s="67" t="str">
        <f>IFERROR(VLOOKUP(Yards[[#This Row],[DEVELOPMENT]],Data[],4,FALSE),"")</f>
        <v/>
      </c>
      <c r="J131" s="67" t="str">
        <f>IF(Yards[[#This Row],[RAD/PACT]]="","",IF((Yards[[#This Row],[RAD/PACT]]&lt;=2025),"Yes",""))</f>
        <v/>
      </c>
      <c r="K131" s="67" t="str">
        <f ca="1">IF(VLOOKUP(Yards[[#This Row],[DEVELOPMENT]],ExtComp[],8,FALSE)&lt;=5,"new","old")</f>
        <v>old</v>
      </c>
      <c r="L131" s="104">
        <f>IF(Yards[[#This Row],[RAD/PACT by 2025]]="Yes",0,INDEX(UnitCosts[],MATCH(Yards[[#This Row],[WORK TYPE]],UnitCosts[Work Type],0),2))</f>
        <v>1159792.78</v>
      </c>
      <c r="M131" s="1"/>
      <c r="N131" s="1"/>
      <c r="O131" s="1"/>
      <c r="P131" s="16"/>
    </row>
    <row r="132" spans="1:16" x14ac:dyDescent="0.25">
      <c r="A132" s="13" t="s">
        <v>138</v>
      </c>
      <c r="B132" s="67" t="str">
        <f>VLOOKUP(Yards[[#This Row],[DEVELOPMENT]],Data[],2,FALSE)</f>
        <v>BRONX</v>
      </c>
      <c r="C13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32" s="67">
        <f>VLOOKUP(Yards[[#This Row],[DEVELOPMENT]],Data[],30,FALSE)</f>
        <v>0</v>
      </c>
      <c r="E132" s="67">
        <f>VLOOKUP(Yards[[#This Row],[DEVELOPMENT]],Data[],28,FALSE)</f>
        <v>0</v>
      </c>
      <c r="F132" s="66" t="str">
        <f>VLOOKUP(Yards[[#This Row],[DEVELOPMENT]],Data[],8,FALSE)</f>
        <v>Zone 1</v>
      </c>
      <c r="G132" s="66" t="str">
        <f>VLOOKUP(Yards[[#This Row],[DEVELOPMENT]],Data[],9,FALSE)</f>
        <v>$</v>
      </c>
      <c r="H132" s="66"/>
      <c r="I132" s="67" t="str">
        <f>IFERROR(VLOOKUP(Yards[[#This Row],[DEVELOPMENT]],Data[],4,FALSE),"")</f>
        <v/>
      </c>
      <c r="J132" s="67" t="str">
        <f>IF(Yards[[#This Row],[RAD/PACT]]="","",IF((Yards[[#This Row],[RAD/PACT]]&lt;=2025),"Yes",""))</f>
        <v/>
      </c>
      <c r="K132" s="67" t="str">
        <f ca="1">IF(VLOOKUP(Yards[[#This Row],[DEVELOPMENT]],ExtComp[],8,FALSE)&lt;=5,"new","old")</f>
        <v>old</v>
      </c>
      <c r="L132" s="104">
        <f>IF(Yards[[#This Row],[RAD/PACT by 2025]]="Yes",0,INDEX(UnitCosts[],MATCH(Yards[[#This Row],[WORK TYPE]],UnitCosts[Work Type],0),2))</f>
        <v>1159792.78</v>
      </c>
      <c r="M132" s="1"/>
      <c r="N132" s="1"/>
      <c r="O132" s="1"/>
      <c r="P132" s="16"/>
    </row>
    <row r="133" spans="1:16" x14ac:dyDescent="0.25">
      <c r="A133" s="13" t="s">
        <v>51</v>
      </c>
      <c r="B133" s="67" t="str">
        <f>VLOOKUP(Yards[[#This Row],[DEVELOPMENT]],Data[],2,FALSE)</f>
        <v>MANHATTAN</v>
      </c>
      <c r="C13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33" s="67">
        <f>VLOOKUP(Yards[[#This Row],[DEVELOPMENT]],Data[],30,FALSE)</f>
        <v>0</v>
      </c>
      <c r="E133" s="67">
        <f>VLOOKUP(Yards[[#This Row],[DEVELOPMENT]],Data[],28,FALSE)</f>
        <v>0</v>
      </c>
      <c r="F133" s="66" t="str">
        <f>VLOOKUP(Yards[[#This Row],[DEVELOPMENT]],Data[],8,FALSE)</f>
        <v>Zone 1</v>
      </c>
      <c r="G133" s="66" t="str">
        <f>VLOOKUP(Yards[[#This Row],[DEVELOPMENT]],Data[],9,FALSE)</f>
        <v>$</v>
      </c>
      <c r="H133" s="66"/>
      <c r="I133" s="67" t="str">
        <f>IFERROR(VLOOKUP(Yards[[#This Row],[DEVELOPMENT]],Data[],4,FALSE),"")</f>
        <v/>
      </c>
      <c r="J133" s="67" t="str">
        <f>IF(Yards[[#This Row],[RAD/PACT]]="","",IF((Yards[[#This Row],[RAD/PACT]]&lt;=2025),"Yes",""))</f>
        <v/>
      </c>
      <c r="K133" s="67" t="str">
        <f ca="1">IF(VLOOKUP(Yards[[#This Row],[DEVELOPMENT]],ExtComp[],8,FALSE)&lt;=5,"new","old")</f>
        <v>old</v>
      </c>
      <c r="L133" s="104">
        <f>IF(Yards[[#This Row],[RAD/PACT by 2025]]="Yes",0,INDEX(UnitCosts[],MATCH(Yards[[#This Row],[WORK TYPE]],UnitCosts[Work Type],0),2))</f>
        <v>1159792.78</v>
      </c>
      <c r="M133" s="1"/>
      <c r="N133" s="1"/>
      <c r="O133" s="1"/>
      <c r="P133" s="16"/>
    </row>
    <row r="134" spans="1:16" x14ac:dyDescent="0.25">
      <c r="A134" s="13" t="s">
        <v>56</v>
      </c>
      <c r="B134" s="67" t="str">
        <f>VLOOKUP(Yards[[#This Row],[DEVELOPMENT]],Data[],2,FALSE)</f>
        <v>MANHATTAN</v>
      </c>
      <c r="C13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34" s="67">
        <f>VLOOKUP(Yards[[#This Row],[DEVELOPMENT]],Data[],30,FALSE)</f>
        <v>0</v>
      </c>
      <c r="E134" s="67">
        <f>VLOOKUP(Yards[[#This Row],[DEVELOPMENT]],Data[],28,FALSE)</f>
        <v>0</v>
      </c>
      <c r="F134" s="66" t="str">
        <f>VLOOKUP(Yards[[#This Row],[DEVELOPMENT]],Data[],8,FALSE)</f>
        <v>Zone 1</v>
      </c>
      <c r="G134" s="66" t="str">
        <f>VLOOKUP(Yards[[#This Row],[DEVELOPMENT]],Data[],9,FALSE)</f>
        <v>$$</v>
      </c>
      <c r="H134" s="66"/>
      <c r="I134" s="67" t="str">
        <f>IFERROR(VLOOKUP(Yards[[#This Row],[DEVELOPMENT]],Data[],4,FALSE),"")</f>
        <v/>
      </c>
      <c r="J134" s="67" t="str">
        <f>IF(Yards[[#This Row],[RAD/PACT]]="","",IF((Yards[[#This Row],[RAD/PACT]]&lt;=2025),"Yes",""))</f>
        <v/>
      </c>
      <c r="K134" s="67" t="str">
        <f ca="1">IF(VLOOKUP(Yards[[#This Row],[DEVELOPMENT]],ExtComp[],8,FALSE)&lt;=5,"new","old")</f>
        <v>old</v>
      </c>
      <c r="L134" s="104">
        <f>IF(Yards[[#This Row],[RAD/PACT by 2025]]="Yes",0,INDEX(UnitCosts[],MATCH(Yards[[#This Row],[WORK TYPE]],UnitCosts[Work Type],0),2))</f>
        <v>1159792.78</v>
      </c>
      <c r="M134" s="1"/>
      <c r="N134" s="1"/>
      <c r="O134" s="1"/>
      <c r="P134" s="16"/>
    </row>
    <row r="135" spans="1:16" x14ac:dyDescent="0.25">
      <c r="A135" s="13" t="s">
        <v>108</v>
      </c>
      <c r="B135" s="67" t="str">
        <f>VLOOKUP(Yards[[#This Row],[DEVELOPMENT]],Data[],2,FALSE)</f>
        <v>MANHATTAN</v>
      </c>
      <c r="C13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35" s="67">
        <f>VLOOKUP(Yards[[#This Row],[DEVELOPMENT]],Data[],30,FALSE)</f>
        <v>0</v>
      </c>
      <c r="E135" s="67">
        <f>VLOOKUP(Yards[[#This Row],[DEVELOPMENT]],Data[],28,FALSE)</f>
        <v>0</v>
      </c>
      <c r="F135" s="66" t="str">
        <f>VLOOKUP(Yards[[#This Row],[DEVELOPMENT]],Data[],8,FALSE)</f>
        <v>Zone 1</v>
      </c>
      <c r="G135" s="66" t="str">
        <f>VLOOKUP(Yards[[#This Row],[DEVELOPMENT]],Data[],9,FALSE)</f>
        <v>$</v>
      </c>
      <c r="H135" s="66"/>
      <c r="I135" s="67" t="str">
        <f>IFERROR(VLOOKUP(Yards[[#This Row],[DEVELOPMENT]],Data[],4,FALSE),"")</f>
        <v/>
      </c>
      <c r="J135" s="67" t="str">
        <f>IF(Yards[[#This Row],[RAD/PACT]]="","",IF((Yards[[#This Row],[RAD/PACT]]&lt;=2025),"Yes",""))</f>
        <v/>
      </c>
      <c r="K135" s="67" t="str">
        <f ca="1">IF(VLOOKUP(Yards[[#This Row],[DEVELOPMENT]],ExtComp[],8,FALSE)&lt;=5,"new","old")</f>
        <v>old</v>
      </c>
      <c r="L135" s="104">
        <f>IF(Yards[[#This Row],[RAD/PACT by 2025]]="Yes",0,INDEX(UnitCosts[],MATCH(Yards[[#This Row],[WORK TYPE]],UnitCosts[Work Type],0),2))</f>
        <v>1159792.78</v>
      </c>
      <c r="M135" s="1"/>
      <c r="N135" s="1"/>
      <c r="O135" s="1"/>
      <c r="P135" s="16"/>
    </row>
    <row r="136" spans="1:16" x14ac:dyDescent="0.25">
      <c r="A136" s="13" t="s">
        <v>66</v>
      </c>
      <c r="B136" s="67" t="str">
        <f>VLOOKUP(Yards[[#This Row],[DEVELOPMENT]],Data[],2,FALSE)</f>
        <v>MANHATTAN</v>
      </c>
      <c r="C13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136" s="67">
        <f>VLOOKUP(Yards[[#This Row],[DEVELOPMENT]],Data[],30,FALSE)</f>
        <v>3</v>
      </c>
      <c r="E136" s="67">
        <f>VLOOKUP(Yards[[#This Row],[DEVELOPMENT]],Data[],28,FALSE)</f>
        <v>0</v>
      </c>
      <c r="F136" s="66" t="str">
        <f>VLOOKUP(Yards[[#This Row],[DEVELOPMENT]],Data[],8,FALSE)</f>
        <v>Zone 1</v>
      </c>
      <c r="G136" s="66" t="str">
        <f>VLOOKUP(Yards[[#This Row],[DEVELOPMENT]],Data[],9,FALSE)</f>
        <v>$</v>
      </c>
      <c r="H136" s="66"/>
      <c r="I136" s="67" t="str">
        <f>IFERROR(VLOOKUP(Yards[[#This Row],[DEVELOPMENT]],Data[],4,FALSE),"")</f>
        <v/>
      </c>
      <c r="J136" s="67" t="str">
        <f>IF(Yards[[#This Row],[RAD/PACT]]="","",IF((Yards[[#This Row],[RAD/PACT]]&lt;=2025),"Yes",""))</f>
        <v/>
      </c>
      <c r="K136" s="67" t="str">
        <f ca="1">IF(VLOOKUP(Yards[[#This Row],[DEVELOPMENT]],ExtComp[],8,FALSE)&lt;=5,"new","old")</f>
        <v>old</v>
      </c>
      <c r="L136" s="104">
        <f ca="1">IF(Yards[[#This Row],[RAD/PACT by 2025]]="Yes",0,INDEX(UnitCosts[],MATCH(Yards[[#This Row],[WORK TYPE]],UnitCosts[Work Type],0),2))</f>
        <v>2022307.2600000005</v>
      </c>
      <c r="M136" s="1"/>
      <c r="N136" s="1"/>
      <c r="O136" s="1"/>
      <c r="P136" s="16"/>
    </row>
    <row r="137" spans="1:16" x14ac:dyDescent="0.25">
      <c r="A137" s="13" t="s">
        <v>47</v>
      </c>
      <c r="B137" s="67" t="str">
        <f>VLOOKUP(Yards[[#This Row],[DEVELOPMENT]],Data[],2,FALSE)</f>
        <v>BRONX</v>
      </c>
      <c r="C137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37" s="67">
        <f>VLOOKUP(Yards[[#This Row],[DEVELOPMENT]],Data[],30,FALSE)</f>
        <v>2</v>
      </c>
      <c r="E137" s="67">
        <f>VLOOKUP(Yards[[#This Row],[DEVELOPMENT]],Data[],28,FALSE)</f>
        <v>0</v>
      </c>
      <c r="F137" s="66" t="str">
        <f>VLOOKUP(Yards[[#This Row],[DEVELOPMENT]],Data[],8,FALSE)</f>
        <v>Zone 1</v>
      </c>
      <c r="G137" s="66" t="str">
        <f>VLOOKUP(Yards[[#This Row],[DEVELOPMENT]],Data[],9,FALSE)</f>
        <v>$</v>
      </c>
      <c r="H137" s="66"/>
      <c r="I137" s="67" t="str">
        <f>IFERROR(VLOOKUP(Yards[[#This Row],[DEVELOPMENT]],Data[],4,FALSE),"")</f>
        <v/>
      </c>
      <c r="J137" s="67" t="str">
        <f>IF(Yards[[#This Row],[RAD/PACT]]="","",IF((Yards[[#This Row],[RAD/PACT]]&lt;=2025),"Yes",""))</f>
        <v/>
      </c>
      <c r="K137" s="1" t="str">
        <f ca="1">IF(VLOOKUP(Yards[[#This Row],[DEVELOPMENT]],ExtComp[],8,FALSE)&lt;=5,"new","old")</f>
        <v>old</v>
      </c>
      <c r="L137" s="3">
        <f ca="1">IF(Yards[[#This Row],[RAD/PACT by 2025]]="Yes",0,INDEX(UnitCosts[],MATCH(Yards[[#This Row],[WORK TYPE]],UnitCosts[Work Type],0),2))</f>
        <v>1591050.0199999998</v>
      </c>
      <c r="M137" s="1"/>
      <c r="N137" s="1"/>
      <c r="O137" s="1"/>
      <c r="P137" s="16"/>
    </row>
    <row r="138" spans="1:16" x14ac:dyDescent="0.25">
      <c r="A138" s="13" t="s">
        <v>158</v>
      </c>
      <c r="B138" s="67" t="str">
        <f>VLOOKUP(Yards[[#This Row],[DEVELOPMENT]],Data[],2,FALSE)</f>
        <v>BRONX</v>
      </c>
      <c r="C13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38" s="67">
        <f>VLOOKUP(Yards[[#This Row],[DEVELOPMENT]],Data[],30,FALSE)</f>
        <v>0</v>
      </c>
      <c r="E138" s="67">
        <f>VLOOKUP(Yards[[#This Row],[DEVELOPMENT]],Data[],28,FALSE)</f>
        <v>0</v>
      </c>
      <c r="F138" s="66">
        <f>VLOOKUP(Yards[[#This Row],[DEVELOPMENT]],Data[],8,FALSE)</f>
        <v>0</v>
      </c>
      <c r="G138" s="66">
        <f>VLOOKUP(Yards[[#This Row],[DEVELOPMENT]],Data[],9,FALSE)</f>
        <v>0</v>
      </c>
      <c r="H138" s="66"/>
      <c r="I138" s="67" t="str">
        <f>IFERROR(VLOOKUP(Yards[[#This Row],[DEVELOPMENT]],Data[],4,FALSE),"")</f>
        <v/>
      </c>
      <c r="J138" s="67" t="str">
        <f>IF(Yards[[#This Row],[RAD/PACT]]="","",IF((Yards[[#This Row],[RAD/PACT]]&lt;=2025),"Yes",""))</f>
        <v/>
      </c>
      <c r="K138" s="67" t="str">
        <f ca="1">IF(VLOOKUP(Yards[[#This Row],[DEVELOPMENT]],ExtComp[],8,FALSE)&lt;=5,"new","old")</f>
        <v>old</v>
      </c>
      <c r="L138" s="104">
        <f>IF(Yards[[#This Row],[RAD/PACT by 2025]]="Yes",0,INDEX(UnitCosts[],MATCH(Yards[[#This Row],[WORK TYPE]],UnitCosts[Work Type],0),2))</f>
        <v>1159792.78</v>
      </c>
      <c r="M138" s="1"/>
      <c r="N138" s="1"/>
      <c r="O138" s="1"/>
      <c r="P138" s="16"/>
    </row>
    <row r="139" spans="1:16" x14ac:dyDescent="0.25">
      <c r="A139" s="13" t="s">
        <v>159</v>
      </c>
      <c r="B139" s="67" t="str">
        <f>VLOOKUP(Yards[[#This Row],[DEVELOPMENT]],Data[],2,FALSE)</f>
        <v>BROOKLYN</v>
      </c>
      <c r="C13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39" s="67">
        <f>VLOOKUP(Yards[[#This Row],[DEVELOPMENT]],Data[],30,FALSE)</f>
        <v>0</v>
      </c>
      <c r="E139" s="67">
        <f>VLOOKUP(Yards[[#This Row],[DEVELOPMENT]],Data[],28,FALSE)</f>
        <v>0</v>
      </c>
      <c r="F139" s="66">
        <f>VLOOKUP(Yards[[#This Row],[DEVELOPMENT]],Data[],8,FALSE)</f>
        <v>0</v>
      </c>
      <c r="G139" s="66">
        <f>VLOOKUP(Yards[[#This Row],[DEVELOPMENT]],Data[],9,FALSE)</f>
        <v>0</v>
      </c>
      <c r="H139" s="66"/>
      <c r="I139" s="67">
        <f>IFERROR(VLOOKUP(Yards[[#This Row],[DEVELOPMENT]],Data[],4,FALSE),"")</f>
        <v>2021</v>
      </c>
      <c r="J139" s="67" t="str">
        <f>IF(Yards[[#This Row],[RAD/PACT]]="","",IF((Yards[[#This Row],[RAD/PACT]]&lt;=2025),"Yes",""))</f>
        <v>Yes</v>
      </c>
      <c r="K139" s="67" t="str">
        <f ca="1">IF(VLOOKUP(Yards[[#This Row],[DEVELOPMENT]],ExtComp[],8,FALSE)&lt;=5,"new","old")</f>
        <v>old</v>
      </c>
      <c r="L139" s="104">
        <f>IF(Yards[[#This Row],[RAD/PACT by 2025]]="Yes",0,INDEX(UnitCosts[],MATCH(Yards[[#This Row],[WORK TYPE]],UnitCosts[Work Type],0),2))</f>
        <v>0</v>
      </c>
      <c r="M139" s="1"/>
      <c r="N139" s="1"/>
      <c r="O139" s="1"/>
      <c r="P139" s="16"/>
    </row>
    <row r="140" spans="1:16" x14ac:dyDescent="0.25">
      <c r="A140" s="13" t="s">
        <v>160</v>
      </c>
      <c r="B140" s="67" t="str">
        <f>VLOOKUP(Yards[[#This Row],[DEVELOPMENT]],Data[],2,FALSE)</f>
        <v>BRONX</v>
      </c>
      <c r="C14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40" s="67">
        <f>VLOOKUP(Yards[[#This Row],[DEVELOPMENT]],Data[],30,FALSE)</f>
        <v>0</v>
      </c>
      <c r="E140" s="67">
        <f>VLOOKUP(Yards[[#This Row],[DEVELOPMENT]],Data[],28,FALSE)</f>
        <v>0</v>
      </c>
      <c r="F140" s="66">
        <f>VLOOKUP(Yards[[#This Row],[DEVELOPMENT]],Data[],8,FALSE)</f>
        <v>0</v>
      </c>
      <c r="G140" s="66">
        <f>VLOOKUP(Yards[[#This Row],[DEVELOPMENT]],Data[],9,FALSE)</f>
        <v>0</v>
      </c>
      <c r="H140" s="66"/>
      <c r="I140" s="67">
        <f>IFERROR(VLOOKUP(Yards[[#This Row],[DEVELOPMENT]],Data[],4,FALSE),"")</f>
        <v>2025</v>
      </c>
      <c r="J140" s="67" t="str">
        <f>IF(Yards[[#This Row],[RAD/PACT]]="","",IF((Yards[[#This Row],[RAD/PACT]]&lt;=2025),"Yes",""))</f>
        <v>Yes</v>
      </c>
      <c r="K140" s="67" t="str">
        <f ca="1">IF(VLOOKUP(Yards[[#This Row],[DEVELOPMENT]],ExtComp[],8,FALSE)&lt;=5,"new","old")</f>
        <v>old</v>
      </c>
      <c r="L140" s="104">
        <f>IF(Yards[[#This Row],[RAD/PACT by 2025]]="Yes",0,INDEX(UnitCosts[],MATCH(Yards[[#This Row],[WORK TYPE]],UnitCosts[Work Type],0),2))</f>
        <v>0</v>
      </c>
      <c r="M140" s="1"/>
      <c r="N140" s="1"/>
      <c r="O140" s="1"/>
      <c r="P140" s="16"/>
    </row>
    <row r="141" spans="1:16" x14ac:dyDescent="0.25">
      <c r="A141" s="13" t="s">
        <v>161</v>
      </c>
      <c r="B141" s="67" t="str">
        <f>VLOOKUP(Yards[[#This Row],[DEVELOPMENT]],Data[],2,FALSE)</f>
        <v>BRONX</v>
      </c>
      <c r="C14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41" s="67">
        <f>VLOOKUP(Yards[[#This Row],[DEVELOPMENT]],Data[],30,FALSE)</f>
        <v>0</v>
      </c>
      <c r="E141" s="67">
        <f>VLOOKUP(Yards[[#This Row],[DEVELOPMENT]],Data[],28,FALSE)</f>
        <v>0</v>
      </c>
      <c r="F141" s="66">
        <f>VLOOKUP(Yards[[#This Row],[DEVELOPMENT]],Data[],8,FALSE)</f>
        <v>0</v>
      </c>
      <c r="G141" s="66">
        <f>VLOOKUP(Yards[[#This Row],[DEVELOPMENT]],Data[],9,FALSE)</f>
        <v>0</v>
      </c>
      <c r="H141" s="66"/>
      <c r="I141" s="67">
        <f>IFERROR(VLOOKUP(Yards[[#This Row],[DEVELOPMENT]],Data[],4,FALSE),"")</f>
        <v>2021</v>
      </c>
      <c r="J141" s="67" t="str">
        <f>IF(Yards[[#This Row],[RAD/PACT]]="","",IF((Yards[[#This Row],[RAD/PACT]]&lt;=2025),"Yes",""))</f>
        <v>Yes</v>
      </c>
      <c r="K141" s="67" t="str">
        <f ca="1">IF(VLOOKUP(Yards[[#This Row],[DEVELOPMENT]],ExtComp[],8,FALSE)&lt;=5,"new","old")</f>
        <v>old</v>
      </c>
      <c r="L141" s="104">
        <f>IF(Yards[[#This Row],[RAD/PACT by 2025]]="Yes",0,INDEX(UnitCosts[],MATCH(Yards[[#This Row],[WORK TYPE]],UnitCosts[Work Type],0),2))</f>
        <v>0</v>
      </c>
      <c r="M141" s="1"/>
      <c r="N141" s="1"/>
      <c r="O141" s="1"/>
      <c r="P141" s="16"/>
    </row>
    <row r="142" spans="1:16" x14ac:dyDescent="0.25">
      <c r="A142" s="13" t="s">
        <v>162</v>
      </c>
      <c r="B142" s="67" t="str">
        <f>VLOOKUP(Yards[[#This Row],[DEVELOPMENT]],Data[],2,FALSE)</f>
        <v>MANHATTAN</v>
      </c>
      <c r="C14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42" s="67">
        <f>VLOOKUP(Yards[[#This Row],[DEVELOPMENT]],Data[],30,FALSE)</f>
        <v>0</v>
      </c>
      <c r="E142" s="67">
        <f>VLOOKUP(Yards[[#This Row],[DEVELOPMENT]],Data[],28,FALSE)</f>
        <v>0</v>
      </c>
      <c r="F142" s="66">
        <f>VLOOKUP(Yards[[#This Row],[DEVELOPMENT]],Data[],8,FALSE)</f>
        <v>0</v>
      </c>
      <c r="G142" s="66">
        <f>VLOOKUP(Yards[[#This Row],[DEVELOPMENT]],Data[],9,FALSE)</f>
        <v>0</v>
      </c>
      <c r="H142" s="66"/>
      <c r="I142" s="67" t="str">
        <f>IFERROR(VLOOKUP(Yards[[#This Row],[DEVELOPMENT]],Data[],4,FALSE),"")</f>
        <v/>
      </c>
      <c r="J142" s="67" t="str">
        <f>IF(Yards[[#This Row],[RAD/PACT]]="","",IF((Yards[[#This Row],[RAD/PACT]]&lt;=2025),"Yes",""))</f>
        <v/>
      </c>
      <c r="K142" s="67" t="str">
        <f ca="1">IF(VLOOKUP(Yards[[#This Row],[DEVELOPMENT]],ExtComp[],8,FALSE)&lt;=5,"new","old")</f>
        <v>old</v>
      </c>
      <c r="L142" s="104">
        <f>IF(Yards[[#This Row],[RAD/PACT by 2025]]="Yes",0,INDEX(UnitCosts[],MATCH(Yards[[#This Row],[WORK TYPE]],UnitCosts[Work Type],0),2))</f>
        <v>1159792.78</v>
      </c>
      <c r="M142" s="1"/>
      <c r="N142" s="1"/>
      <c r="O142" s="1"/>
      <c r="P142" s="16"/>
    </row>
    <row r="143" spans="1:16" x14ac:dyDescent="0.25">
      <c r="A143" s="13" t="s">
        <v>163</v>
      </c>
      <c r="B143" s="67" t="str">
        <f>VLOOKUP(Yards[[#This Row],[DEVELOPMENT]],Data[],2,FALSE)</f>
        <v>MANHATTAN</v>
      </c>
      <c r="C14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43" s="67">
        <f>VLOOKUP(Yards[[#This Row],[DEVELOPMENT]],Data[],30,FALSE)</f>
        <v>0</v>
      </c>
      <c r="E143" s="67">
        <f>VLOOKUP(Yards[[#This Row],[DEVELOPMENT]],Data[],28,FALSE)</f>
        <v>0</v>
      </c>
      <c r="F143" s="66">
        <f>VLOOKUP(Yards[[#This Row],[DEVELOPMENT]],Data[],8,FALSE)</f>
        <v>0</v>
      </c>
      <c r="G143" s="66">
        <f>VLOOKUP(Yards[[#This Row],[DEVELOPMENT]],Data[],9,FALSE)</f>
        <v>0</v>
      </c>
      <c r="H143" s="66"/>
      <c r="I143" s="67" t="str">
        <f>IFERROR(VLOOKUP(Yards[[#This Row],[DEVELOPMENT]],Data[],4,FALSE),"")</f>
        <v/>
      </c>
      <c r="J143" s="67" t="str">
        <f>IF(Yards[[#This Row],[RAD/PACT]]="","",IF((Yards[[#This Row],[RAD/PACT]]&lt;=2025),"Yes",""))</f>
        <v/>
      </c>
      <c r="K143" s="67" t="str">
        <f ca="1">IF(VLOOKUP(Yards[[#This Row],[DEVELOPMENT]],ExtComp[],8,FALSE)&lt;=5,"new","old")</f>
        <v>old</v>
      </c>
      <c r="L143" s="104">
        <f>IF(Yards[[#This Row],[RAD/PACT by 2025]]="Yes",0,INDEX(UnitCosts[],MATCH(Yards[[#This Row],[WORK TYPE]],UnitCosts[Work Type],0),2))</f>
        <v>1159792.78</v>
      </c>
      <c r="M143" s="1"/>
      <c r="N143" s="1"/>
      <c r="O143" s="1"/>
      <c r="P143" s="16"/>
    </row>
    <row r="144" spans="1:16" x14ac:dyDescent="0.25">
      <c r="A144" s="13" t="s">
        <v>164</v>
      </c>
      <c r="B144" s="67" t="str">
        <f>VLOOKUP(Yards[[#This Row],[DEVELOPMENT]],Data[],2,FALSE)</f>
        <v>BROOKLYN</v>
      </c>
      <c r="C14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44" s="67">
        <f>VLOOKUP(Yards[[#This Row],[DEVELOPMENT]],Data[],30,FALSE)</f>
        <v>0</v>
      </c>
      <c r="E144" s="67">
        <f>VLOOKUP(Yards[[#This Row],[DEVELOPMENT]],Data[],28,FALSE)</f>
        <v>0</v>
      </c>
      <c r="F144" s="66">
        <f>VLOOKUP(Yards[[#This Row],[DEVELOPMENT]],Data[],8,FALSE)</f>
        <v>0</v>
      </c>
      <c r="G144" s="66">
        <f>VLOOKUP(Yards[[#This Row],[DEVELOPMENT]],Data[],9,FALSE)</f>
        <v>0</v>
      </c>
      <c r="H144" s="66"/>
      <c r="I144" s="67" t="str">
        <f>IFERROR(VLOOKUP(Yards[[#This Row],[DEVELOPMENT]],Data[],4,FALSE),"")</f>
        <v/>
      </c>
      <c r="J144" s="67" t="str">
        <f>IF(Yards[[#This Row],[RAD/PACT]]="","",IF((Yards[[#This Row],[RAD/PACT]]&lt;=2025),"Yes",""))</f>
        <v/>
      </c>
      <c r="K144" s="67" t="str">
        <f ca="1">IF(VLOOKUP(Yards[[#This Row],[DEVELOPMENT]],ExtComp[],8,FALSE)&lt;=5,"new","old")</f>
        <v>old</v>
      </c>
      <c r="L144" s="104">
        <f>IF(Yards[[#This Row],[RAD/PACT by 2025]]="Yes",0,INDEX(UnitCosts[],MATCH(Yards[[#This Row],[WORK TYPE]],UnitCosts[Work Type],0),2))</f>
        <v>1159792.78</v>
      </c>
      <c r="M144" s="1"/>
      <c r="N144" s="1"/>
      <c r="O144" s="1"/>
      <c r="P144" s="16"/>
    </row>
    <row r="145" spans="1:16" x14ac:dyDescent="0.25">
      <c r="A145" s="13" t="s">
        <v>165</v>
      </c>
      <c r="B145" s="67" t="str">
        <f>VLOOKUP(Yards[[#This Row],[DEVELOPMENT]],Data[],2,FALSE)</f>
        <v>MANHATTAN</v>
      </c>
      <c r="C14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45" s="67">
        <f>VLOOKUP(Yards[[#This Row],[DEVELOPMENT]],Data[],30,FALSE)</f>
        <v>0</v>
      </c>
      <c r="E145" s="67">
        <f>VLOOKUP(Yards[[#This Row],[DEVELOPMENT]],Data[],28,FALSE)</f>
        <v>0</v>
      </c>
      <c r="F145" s="66">
        <f>VLOOKUP(Yards[[#This Row],[DEVELOPMENT]],Data[],8,FALSE)</f>
        <v>0</v>
      </c>
      <c r="G145" s="66">
        <f>VLOOKUP(Yards[[#This Row],[DEVELOPMENT]],Data[],9,FALSE)</f>
        <v>0</v>
      </c>
      <c r="H145" s="66"/>
      <c r="I145" s="67" t="str">
        <f>IFERROR(VLOOKUP(Yards[[#This Row],[DEVELOPMENT]],Data[],4,FALSE),"")</f>
        <v/>
      </c>
      <c r="J145" s="67" t="str">
        <f>IF(Yards[[#This Row],[RAD/PACT]]="","",IF((Yards[[#This Row],[RAD/PACT]]&lt;=2025),"Yes",""))</f>
        <v/>
      </c>
      <c r="K145" s="67" t="str">
        <f ca="1">IF(VLOOKUP(Yards[[#This Row],[DEVELOPMENT]],ExtComp[],8,FALSE)&lt;=5,"new","old")</f>
        <v>old</v>
      </c>
      <c r="L145" s="104">
        <f>IF(Yards[[#This Row],[RAD/PACT by 2025]]="Yes",0,INDEX(UnitCosts[],MATCH(Yards[[#This Row],[WORK TYPE]],UnitCosts[Work Type],0),2))</f>
        <v>1159792.78</v>
      </c>
      <c r="M145" s="1"/>
      <c r="N145" s="1"/>
      <c r="O145" s="1"/>
      <c r="P145" s="16"/>
    </row>
    <row r="146" spans="1:16" x14ac:dyDescent="0.25">
      <c r="A146" s="13" t="s">
        <v>166</v>
      </c>
      <c r="B146" s="67" t="str">
        <f>VLOOKUP(Yards[[#This Row],[DEVELOPMENT]],Data[],2,FALSE)</f>
        <v>BRONX</v>
      </c>
      <c r="C14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46" s="67">
        <f>VLOOKUP(Yards[[#This Row],[DEVELOPMENT]],Data[],30,FALSE)</f>
        <v>2</v>
      </c>
      <c r="E146" s="67">
        <f>VLOOKUP(Yards[[#This Row],[DEVELOPMENT]],Data[],28,FALSE)</f>
        <v>0</v>
      </c>
      <c r="F146" s="66">
        <f>VLOOKUP(Yards[[#This Row],[DEVELOPMENT]],Data[],8,FALSE)</f>
        <v>0</v>
      </c>
      <c r="G146" s="66">
        <f>VLOOKUP(Yards[[#This Row],[DEVELOPMENT]],Data[],9,FALSE)</f>
        <v>0</v>
      </c>
      <c r="H146" s="66"/>
      <c r="I146" s="67" t="str">
        <f>IFERROR(VLOOKUP(Yards[[#This Row],[DEVELOPMENT]],Data[],4,FALSE),"")</f>
        <v/>
      </c>
      <c r="J146" s="67" t="str">
        <f>IF(Yards[[#This Row],[RAD/PACT]]="","",IF((Yards[[#This Row],[RAD/PACT]]&lt;=2025),"Yes",""))</f>
        <v/>
      </c>
      <c r="K146" s="67" t="str">
        <f ca="1">IF(VLOOKUP(Yards[[#This Row],[DEVELOPMENT]],ExtComp[],8,FALSE)&lt;=5,"new","old")</f>
        <v>old</v>
      </c>
      <c r="L146" s="104">
        <f ca="1">IF(Yards[[#This Row],[RAD/PACT by 2025]]="Yes",0,INDEX(UnitCosts[],MATCH(Yards[[#This Row],[WORK TYPE]],UnitCosts[Work Type],0),2))</f>
        <v>1591050.0199999998</v>
      </c>
      <c r="M146" s="1"/>
      <c r="N146" s="1"/>
      <c r="O146" s="1"/>
      <c r="P146" s="16"/>
    </row>
    <row r="147" spans="1:16" x14ac:dyDescent="0.25">
      <c r="A147" s="13" t="s">
        <v>167</v>
      </c>
      <c r="B147" s="67" t="str">
        <f>VLOOKUP(Yards[[#This Row],[DEVELOPMENT]],Data[],2,FALSE)</f>
        <v>BROOKLYN</v>
      </c>
      <c r="C14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47" s="67">
        <f>VLOOKUP(Yards[[#This Row],[DEVELOPMENT]],Data[],30,FALSE)</f>
        <v>0</v>
      </c>
      <c r="E147" s="67">
        <f>VLOOKUP(Yards[[#This Row],[DEVELOPMENT]],Data[],28,FALSE)</f>
        <v>0</v>
      </c>
      <c r="F147" s="66">
        <f>VLOOKUP(Yards[[#This Row],[DEVELOPMENT]],Data[],8,FALSE)</f>
        <v>0</v>
      </c>
      <c r="G147" s="66">
        <f>VLOOKUP(Yards[[#This Row],[DEVELOPMENT]],Data[],9,FALSE)</f>
        <v>0</v>
      </c>
      <c r="H147" s="66"/>
      <c r="I147" s="67">
        <f>IFERROR(VLOOKUP(Yards[[#This Row],[DEVELOPMENT]],Data[],4,FALSE),"")</f>
        <v>2025</v>
      </c>
      <c r="J147" s="67" t="str">
        <f>IF(Yards[[#This Row],[RAD/PACT]]="","",IF((Yards[[#This Row],[RAD/PACT]]&lt;=2025),"Yes",""))</f>
        <v>Yes</v>
      </c>
      <c r="K147" s="67" t="str">
        <f ca="1">IF(VLOOKUP(Yards[[#This Row],[DEVELOPMENT]],ExtComp[],8,FALSE)&lt;=5,"new","old")</f>
        <v>old</v>
      </c>
      <c r="L147" s="104">
        <f>IF(Yards[[#This Row],[RAD/PACT by 2025]]="Yes",0,INDEX(UnitCosts[],MATCH(Yards[[#This Row],[WORK TYPE]],UnitCosts[Work Type],0),2))</f>
        <v>0</v>
      </c>
      <c r="M147" s="1"/>
      <c r="N147" s="1"/>
      <c r="O147" s="1"/>
      <c r="P147" s="16"/>
    </row>
    <row r="148" spans="1:16" x14ac:dyDescent="0.25">
      <c r="A148" s="13" t="s">
        <v>168</v>
      </c>
      <c r="B148" s="67" t="str">
        <f>VLOOKUP(Yards[[#This Row],[DEVELOPMENT]],Data[],2,FALSE)</f>
        <v>BROOKLYN</v>
      </c>
      <c r="C148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148" s="67">
        <f>VLOOKUP(Yards[[#This Row],[DEVELOPMENT]],Data[],30,FALSE)</f>
        <v>3</v>
      </c>
      <c r="E148" s="67">
        <f>VLOOKUP(Yards[[#This Row],[DEVELOPMENT]],Data[],28,FALSE)</f>
        <v>0</v>
      </c>
      <c r="F148" s="66">
        <f>VLOOKUP(Yards[[#This Row],[DEVELOPMENT]],Data[],8,FALSE)</f>
        <v>0</v>
      </c>
      <c r="G148" s="66">
        <f>VLOOKUP(Yards[[#This Row],[DEVELOPMENT]],Data[],9,FALSE)</f>
        <v>0</v>
      </c>
      <c r="H148" s="66"/>
      <c r="I148" s="67">
        <f>IFERROR(VLOOKUP(Yards[[#This Row],[DEVELOPMENT]],Data[],4,FALSE),"")</f>
        <v>2025</v>
      </c>
      <c r="J148" s="67" t="str">
        <f>IF(Yards[[#This Row],[RAD/PACT]]="","",IF((Yards[[#This Row],[RAD/PACT]]&lt;=2025),"Yes",""))</f>
        <v>Yes</v>
      </c>
      <c r="K148" s="67" t="str">
        <f ca="1">IF(VLOOKUP(Yards[[#This Row],[DEVELOPMENT]],ExtComp[],8,FALSE)&lt;=5,"new","old")</f>
        <v>old</v>
      </c>
      <c r="L148" s="104">
        <f>IF(Yards[[#This Row],[RAD/PACT by 2025]]="Yes",0,INDEX(UnitCosts[],MATCH(Yards[[#This Row],[WORK TYPE]],UnitCosts[Work Type],0),2))</f>
        <v>0</v>
      </c>
      <c r="M148" s="1"/>
      <c r="N148" s="1"/>
      <c r="O148" s="1"/>
      <c r="P148" s="16"/>
    </row>
    <row r="149" spans="1:16" x14ac:dyDescent="0.25">
      <c r="A149" s="13" t="s">
        <v>170</v>
      </c>
      <c r="B149" s="67" t="str">
        <f>VLOOKUP(Yards[[#This Row],[DEVELOPMENT]],Data[],2,FALSE)</f>
        <v>MANHATTAN</v>
      </c>
      <c r="C14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49" s="67">
        <f>VLOOKUP(Yards[[#This Row],[DEVELOPMENT]],Data[],30,FALSE)</f>
        <v>0</v>
      </c>
      <c r="E149" s="67">
        <f>VLOOKUP(Yards[[#This Row],[DEVELOPMENT]],Data[],28,FALSE)</f>
        <v>0</v>
      </c>
      <c r="F149" s="66">
        <f>VLOOKUP(Yards[[#This Row],[DEVELOPMENT]],Data[],8,FALSE)</f>
        <v>0</v>
      </c>
      <c r="G149" s="66">
        <f>VLOOKUP(Yards[[#This Row],[DEVELOPMENT]],Data[],9,FALSE)</f>
        <v>0</v>
      </c>
      <c r="H149" s="66"/>
      <c r="I149" s="67" t="str">
        <f>IFERROR(VLOOKUP(Yards[[#This Row],[DEVELOPMENT]],Data[],4,FALSE),"")</f>
        <v/>
      </c>
      <c r="J149" s="67" t="str">
        <f>IF(Yards[[#This Row],[RAD/PACT]]="","",IF((Yards[[#This Row],[RAD/PACT]]&lt;=2025),"Yes",""))</f>
        <v/>
      </c>
      <c r="K149" s="67" t="str">
        <f ca="1">IF(VLOOKUP(Yards[[#This Row],[DEVELOPMENT]],ExtComp[],8,FALSE)&lt;=5,"new","old")</f>
        <v>old</v>
      </c>
      <c r="L149" s="104">
        <f>IF(Yards[[#This Row],[RAD/PACT by 2025]]="Yes",0,INDEX(UnitCosts[],MATCH(Yards[[#This Row],[WORK TYPE]],UnitCosts[Work Type],0),2))</f>
        <v>1159792.78</v>
      </c>
      <c r="M149" s="1"/>
      <c r="N149" s="1"/>
      <c r="O149" s="1"/>
      <c r="P149" s="16"/>
    </row>
    <row r="150" spans="1:16" x14ac:dyDescent="0.25">
      <c r="A150" s="13" t="s">
        <v>173</v>
      </c>
      <c r="B150" s="67" t="str">
        <f>VLOOKUP(Yards[[#This Row],[DEVELOPMENT]],Data[],2,FALSE)</f>
        <v>QUEENS</v>
      </c>
      <c r="C150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150" s="67">
        <f>VLOOKUP(Yards[[#This Row],[DEVELOPMENT]],Data[],30,FALSE)</f>
        <v>3</v>
      </c>
      <c r="E150" s="67">
        <f>VLOOKUP(Yards[[#This Row],[DEVELOPMENT]],Data[],28,FALSE)</f>
        <v>0</v>
      </c>
      <c r="F150" s="66">
        <f>VLOOKUP(Yards[[#This Row],[DEVELOPMENT]],Data[],8,FALSE)</f>
        <v>0</v>
      </c>
      <c r="G150" s="66">
        <f>VLOOKUP(Yards[[#This Row],[DEVELOPMENT]],Data[],9,FALSE)</f>
        <v>0</v>
      </c>
      <c r="H150" s="66"/>
      <c r="I150" s="67">
        <f>IFERROR(VLOOKUP(Yards[[#This Row],[DEVELOPMENT]],Data[],4,FALSE),"")</f>
        <v>2024</v>
      </c>
      <c r="J150" s="67" t="str">
        <f>IF(Yards[[#This Row],[RAD/PACT]]="","",IF((Yards[[#This Row],[RAD/PACT]]&lt;=2025),"Yes",""))</f>
        <v>Yes</v>
      </c>
      <c r="K150" s="67" t="str">
        <f ca="1">IF(VLOOKUP(Yards[[#This Row],[DEVELOPMENT]],ExtComp[],8,FALSE)&lt;=5,"new","old")</f>
        <v>old</v>
      </c>
      <c r="L150" s="104">
        <f>IF(Yards[[#This Row],[RAD/PACT by 2025]]="Yes",0,INDEX(UnitCosts[],MATCH(Yards[[#This Row],[WORK TYPE]],UnitCosts[Work Type],0),2))</f>
        <v>0</v>
      </c>
      <c r="M150" s="1"/>
      <c r="N150" s="1"/>
      <c r="O150" s="1"/>
      <c r="P150" s="16"/>
    </row>
    <row r="151" spans="1:16" x14ac:dyDescent="0.25">
      <c r="A151" s="13" t="s">
        <v>174</v>
      </c>
      <c r="B151" s="67" t="str">
        <f>VLOOKUP(Yards[[#This Row],[DEVELOPMENT]],Data[],2,FALSE)</f>
        <v>BROOKLYN</v>
      </c>
      <c r="C15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51" s="67">
        <f>VLOOKUP(Yards[[#This Row],[DEVELOPMENT]],Data[],30,FALSE)</f>
        <v>1</v>
      </c>
      <c r="E151" s="67">
        <f>VLOOKUP(Yards[[#This Row],[DEVELOPMENT]],Data[],28,FALSE)</f>
        <v>0</v>
      </c>
      <c r="F151" s="66">
        <f>VLOOKUP(Yards[[#This Row],[DEVELOPMENT]],Data[],8,FALSE)</f>
        <v>0</v>
      </c>
      <c r="G151" s="66">
        <f>VLOOKUP(Yards[[#This Row],[DEVELOPMENT]],Data[],9,FALSE)</f>
        <v>0</v>
      </c>
      <c r="H151" s="66"/>
      <c r="I151" s="67" t="str">
        <f>IFERROR(VLOOKUP(Yards[[#This Row],[DEVELOPMENT]],Data[],4,FALSE),"")</f>
        <v/>
      </c>
      <c r="J151" s="67" t="str">
        <f>IF(Yards[[#This Row],[RAD/PACT]]="","",IF((Yards[[#This Row],[RAD/PACT]]&lt;=2025),"Yes",""))</f>
        <v/>
      </c>
      <c r="K151" s="67" t="str">
        <f ca="1">IF(VLOOKUP(Yards[[#This Row],[DEVELOPMENT]],ExtComp[],8,FALSE)&lt;=5,"new","old")</f>
        <v>old</v>
      </c>
      <c r="L151" s="104">
        <f ca="1">IF(Yards[[#This Row],[RAD/PACT by 2025]]="Yes",0,INDEX(UnitCosts[],MATCH(Yards[[#This Row],[WORK TYPE]],UnitCosts[Work Type],0),2))</f>
        <v>1159792.78</v>
      </c>
      <c r="M151" s="1"/>
      <c r="N151" s="1"/>
      <c r="O151" s="1"/>
      <c r="P151" s="16"/>
    </row>
    <row r="152" spans="1:16" x14ac:dyDescent="0.25">
      <c r="A152" s="13" t="s">
        <v>175</v>
      </c>
      <c r="B152" s="67" t="str">
        <f>VLOOKUP(Yards[[#This Row],[DEVELOPMENT]],Data[],2,FALSE)</f>
        <v>BRONX</v>
      </c>
      <c r="C152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52" s="67">
        <f>VLOOKUP(Yards[[#This Row],[DEVELOPMENT]],Data[],30,FALSE)</f>
        <v>1</v>
      </c>
      <c r="E152" s="67">
        <f>VLOOKUP(Yards[[#This Row],[DEVELOPMENT]],Data[],28,FALSE)</f>
        <v>0</v>
      </c>
      <c r="F152" s="66">
        <f>VLOOKUP(Yards[[#This Row],[DEVELOPMENT]],Data[],8,FALSE)</f>
        <v>0</v>
      </c>
      <c r="G152" s="66">
        <f>VLOOKUP(Yards[[#This Row],[DEVELOPMENT]],Data[],9,FALSE)</f>
        <v>0</v>
      </c>
      <c r="H152" s="66"/>
      <c r="I152" s="67" t="str">
        <f>IFERROR(VLOOKUP(Yards[[#This Row],[DEVELOPMENT]],Data[],4,FALSE),"")</f>
        <v/>
      </c>
      <c r="J152" s="67" t="str">
        <f>IF(Yards[[#This Row],[RAD/PACT]]="","",IF((Yards[[#This Row],[RAD/PACT]]&lt;=2025),"Yes",""))</f>
        <v/>
      </c>
      <c r="K152" s="67" t="str">
        <f ca="1">IF(VLOOKUP(Yards[[#This Row],[DEVELOPMENT]],ExtComp[],8,FALSE)&lt;=5,"new","old")</f>
        <v>old</v>
      </c>
      <c r="L152" s="104">
        <f ca="1">IF(Yards[[#This Row],[RAD/PACT by 2025]]="Yes",0,INDEX(UnitCosts[],MATCH(Yards[[#This Row],[WORK TYPE]],UnitCosts[Work Type],0),2))</f>
        <v>1159792.78</v>
      </c>
      <c r="M152" s="1"/>
      <c r="N152" s="1"/>
      <c r="O152" s="1"/>
      <c r="P152" s="16"/>
    </row>
    <row r="153" spans="1:16" x14ac:dyDescent="0.25">
      <c r="A153" s="13" t="s">
        <v>176</v>
      </c>
      <c r="B153" s="67" t="str">
        <f>VLOOKUP(Yards[[#This Row],[DEVELOPMENT]],Data[],2,FALSE)</f>
        <v>QUEENS</v>
      </c>
      <c r="C15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53" s="67">
        <f>VLOOKUP(Yards[[#This Row],[DEVELOPMENT]],Data[],30,FALSE)</f>
        <v>0</v>
      </c>
      <c r="E153" s="67">
        <f>VLOOKUP(Yards[[#This Row],[DEVELOPMENT]],Data[],28,FALSE)</f>
        <v>0</v>
      </c>
      <c r="F153" s="66">
        <f>VLOOKUP(Yards[[#This Row],[DEVELOPMENT]],Data[],8,FALSE)</f>
        <v>0</v>
      </c>
      <c r="G153" s="66">
        <f>VLOOKUP(Yards[[#This Row],[DEVELOPMENT]],Data[],9,FALSE)</f>
        <v>0</v>
      </c>
      <c r="H153" s="66"/>
      <c r="I153" s="67" t="str">
        <f>IFERROR(VLOOKUP(Yards[[#This Row],[DEVELOPMENT]],Data[],4,FALSE),"")</f>
        <v/>
      </c>
      <c r="J153" s="67" t="str">
        <f>IF(Yards[[#This Row],[RAD/PACT]]="","",IF((Yards[[#This Row],[RAD/PACT]]&lt;=2025),"Yes",""))</f>
        <v/>
      </c>
      <c r="K153" s="67" t="str">
        <f ca="1">IF(VLOOKUP(Yards[[#This Row],[DEVELOPMENT]],ExtComp[],8,FALSE)&lt;=5,"new","old")</f>
        <v>old</v>
      </c>
      <c r="L153" s="104">
        <f>IF(Yards[[#This Row],[RAD/PACT by 2025]]="Yes",0,INDEX(UnitCosts[],MATCH(Yards[[#This Row],[WORK TYPE]],UnitCosts[Work Type],0),2))</f>
        <v>1159792.78</v>
      </c>
      <c r="M153" s="1"/>
      <c r="N153" s="1"/>
      <c r="O153" s="1"/>
      <c r="P153" s="16"/>
    </row>
    <row r="154" spans="1:16" x14ac:dyDescent="0.25">
      <c r="A154" s="13" t="s">
        <v>177</v>
      </c>
      <c r="B154" s="67" t="str">
        <f>VLOOKUP(Yards[[#This Row],[DEVELOPMENT]],Data[],2,FALSE)</f>
        <v>BROOKLYN</v>
      </c>
      <c r="C154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154" s="67">
        <f>VLOOKUP(Yards[[#This Row],[DEVELOPMENT]],Data[],30,FALSE)</f>
        <v>4</v>
      </c>
      <c r="E154" s="67">
        <f>VLOOKUP(Yards[[#This Row],[DEVELOPMENT]],Data[],28,FALSE)</f>
        <v>0</v>
      </c>
      <c r="F154" s="66">
        <f>VLOOKUP(Yards[[#This Row],[DEVELOPMENT]],Data[],8,FALSE)</f>
        <v>0</v>
      </c>
      <c r="G154" s="66">
        <f>VLOOKUP(Yards[[#This Row],[DEVELOPMENT]],Data[],9,FALSE)</f>
        <v>0</v>
      </c>
      <c r="H154" s="66"/>
      <c r="I154" s="67" t="str">
        <f>IFERROR(VLOOKUP(Yards[[#This Row],[DEVELOPMENT]],Data[],4,FALSE),"")</f>
        <v/>
      </c>
      <c r="J154" s="67" t="str">
        <f>IF(Yards[[#This Row],[RAD/PACT]]="","",IF((Yards[[#This Row],[RAD/PACT]]&lt;=2025),"Yes",""))</f>
        <v/>
      </c>
      <c r="K154" s="67" t="str">
        <f ca="1">IF(VLOOKUP(Yards[[#This Row],[DEVELOPMENT]],ExtComp[],8,FALSE)&lt;=5,"new","old")</f>
        <v>old</v>
      </c>
      <c r="L154" s="104">
        <f ca="1">IF(Yards[[#This Row],[RAD/PACT by 2025]]="Yes",0,INDEX(UnitCosts[],MATCH(Yards[[#This Row],[WORK TYPE]],UnitCosts[Work Type],0),2))</f>
        <v>2453564.4999999995</v>
      </c>
      <c r="M154" s="1"/>
      <c r="N154" s="1"/>
      <c r="O154" s="1"/>
      <c r="P154" s="16"/>
    </row>
    <row r="155" spans="1:16" x14ac:dyDescent="0.25">
      <c r="A155" s="13" t="s">
        <v>178</v>
      </c>
      <c r="B155" s="67" t="str">
        <f>VLOOKUP(Yards[[#This Row],[DEVELOPMENT]],Data[],2,FALSE)</f>
        <v>QUEENS</v>
      </c>
      <c r="C15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55" s="67">
        <f>VLOOKUP(Yards[[#This Row],[DEVELOPMENT]],Data[],30,FALSE)</f>
        <v>1</v>
      </c>
      <c r="E155" s="67">
        <f>VLOOKUP(Yards[[#This Row],[DEVELOPMENT]],Data[],28,FALSE)</f>
        <v>0</v>
      </c>
      <c r="F155" s="66">
        <f>VLOOKUP(Yards[[#This Row],[DEVELOPMENT]],Data[],8,FALSE)</f>
        <v>0</v>
      </c>
      <c r="G155" s="66">
        <f>VLOOKUP(Yards[[#This Row],[DEVELOPMENT]],Data[],9,FALSE)</f>
        <v>0</v>
      </c>
      <c r="H155" s="66"/>
      <c r="I155" s="67" t="str">
        <f>IFERROR(VLOOKUP(Yards[[#This Row],[DEVELOPMENT]],Data[],4,FALSE),"")</f>
        <v/>
      </c>
      <c r="J155" s="67" t="str">
        <f>IF(Yards[[#This Row],[RAD/PACT]]="","",IF((Yards[[#This Row],[RAD/PACT]]&lt;=2025),"Yes",""))</f>
        <v/>
      </c>
      <c r="K155" s="67" t="str">
        <f ca="1">IF(VLOOKUP(Yards[[#This Row],[DEVELOPMENT]],ExtComp[],8,FALSE)&lt;=5,"new","old")</f>
        <v>old</v>
      </c>
      <c r="L155" s="104">
        <f ca="1">IF(Yards[[#This Row],[RAD/PACT by 2025]]="Yes",0,INDEX(UnitCosts[],MATCH(Yards[[#This Row],[WORK TYPE]],UnitCosts[Work Type],0),2))</f>
        <v>1159792.78</v>
      </c>
      <c r="M155" s="1"/>
      <c r="N155" s="1"/>
      <c r="O155" s="1"/>
      <c r="P155" s="16"/>
    </row>
    <row r="156" spans="1:16" x14ac:dyDescent="0.25">
      <c r="A156" s="13" t="s">
        <v>179</v>
      </c>
      <c r="B156" s="67" t="str">
        <f>VLOOKUP(Yards[[#This Row],[DEVELOPMENT]],Data[],2,FALSE)</f>
        <v>BROOKLYN</v>
      </c>
      <c r="C15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56" s="67">
        <f>VLOOKUP(Yards[[#This Row],[DEVELOPMENT]],Data[],30,FALSE)</f>
        <v>0</v>
      </c>
      <c r="E156" s="67">
        <f>VLOOKUP(Yards[[#This Row],[DEVELOPMENT]],Data[],28,FALSE)</f>
        <v>0</v>
      </c>
      <c r="F156" s="66">
        <f>VLOOKUP(Yards[[#This Row],[DEVELOPMENT]],Data[],8,FALSE)</f>
        <v>0</v>
      </c>
      <c r="G156" s="66">
        <f>VLOOKUP(Yards[[#This Row],[DEVELOPMENT]],Data[],9,FALSE)</f>
        <v>0</v>
      </c>
      <c r="H156" s="66"/>
      <c r="I156" s="67" t="str">
        <f>IFERROR(VLOOKUP(Yards[[#This Row],[DEVELOPMENT]],Data[],4,FALSE),"")</f>
        <v/>
      </c>
      <c r="J156" s="67" t="str">
        <f>IF(Yards[[#This Row],[RAD/PACT]]="","",IF((Yards[[#This Row],[RAD/PACT]]&lt;=2025),"Yes",""))</f>
        <v/>
      </c>
      <c r="K156" s="67" t="str">
        <f ca="1">IF(VLOOKUP(Yards[[#This Row],[DEVELOPMENT]],ExtComp[],8,FALSE)&lt;=5,"new","old")</f>
        <v>old</v>
      </c>
      <c r="L156" s="104">
        <f>IF(Yards[[#This Row],[RAD/PACT by 2025]]="Yes",0,INDEX(UnitCosts[],MATCH(Yards[[#This Row],[WORK TYPE]],UnitCosts[Work Type],0),2))</f>
        <v>1159792.78</v>
      </c>
      <c r="M156" s="1"/>
      <c r="N156" s="1"/>
      <c r="O156" s="1"/>
      <c r="P156" s="16"/>
    </row>
    <row r="157" spans="1:16" x14ac:dyDescent="0.25">
      <c r="A157" s="13" t="s">
        <v>180</v>
      </c>
      <c r="B157" s="67" t="str">
        <f>VLOOKUP(Yards[[#This Row],[DEVELOPMENT]],Data[],2,FALSE)</f>
        <v>STATEN ISLAND</v>
      </c>
      <c r="C157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57" s="67">
        <f>VLOOKUP(Yards[[#This Row],[DEVELOPMENT]],Data[],30,FALSE)</f>
        <v>1</v>
      </c>
      <c r="E157" s="67">
        <f>VLOOKUP(Yards[[#This Row],[DEVELOPMENT]],Data[],28,FALSE)</f>
        <v>0</v>
      </c>
      <c r="F157" s="66">
        <f>VLOOKUP(Yards[[#This Row],[DEVELOPMENT]],Data[],8,FALSE)</f>
        <v>0</v>
      </c>
      <c r="G157" s="66">
        <f>VLOOKUP(Yards[[#This Row],[DEVELOPMENT]],Data[],9,FALSE)</f>
        <v>0</v>
      </c>
      <c r="H157" s="66"/>
      <c r="I157" s="67" t="str">
        <f>IFERROR(VLOOKUP(Yards[[#This Row],[DEVELOPMENT]],Data[],4,FALSE),"")</f>
        <v/>
      </c>
      <c r="J157" s="67" t="str">
        <f>IF(Yards[[#This Row],[RAD/PACT]]="","",IF((Yards[[#This Row],[RAD/PACT]]&lt;=2025),"Yes",""))</f>
        <v/>
      </c>
      <c r="K157" s="67" t="str">
        <f ca="1">IF(VLOOKUP(Yards[[#This Row],[DEVELOPMENT]],ExtComp[],8,FALSE)&lt;=5,"new","old")</f>
        <v>old</v>
      </c>
      <c r="L157" s="104">
        <f ca="1">IF(Yards[[#This Row],[RAD/PACT by 2025]]="Yes",0,INDEX(UnitCosts[],MATCH(Yards[[#This Row],[WORK TYPE]],UnitCosts[Work Type],0),2))</f>
        <v>1159792.78</v>
      </c>
      <c r="M157" s="1"/>
      <c r="N157" s="1"/>
      <c r="O157" s="1"/>
      <c r="P157" s="16"/>
    </row>
    <row r="158" spans="1:16" x14ac:dyDescent="0.25">
      <c r="A158" s="13" t="s">
        <v>181</v>
      </c>
      <c r="B158" s="67" t="str">
        <f>VLOOKUP(Yards[[#This Row],[DEVELOPMENT]],Data[],2,FALSE)</f>
        <v>BROOKLYN</v>
      </c>
      <c r="C158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58" s="67">
        <f>VLOOKUP(Yards[[#This Row],[DEVELOPMENT]],Data[],30,FALSE)</f>
        <v>1</v>
      </c>
      <c r="E158" s="67">
        <f>VLOOKUP(Yards[[#This Row],[DEVELOPMENT]],Data[],28,FALSE)</f>
        <v>0</v>
      </c>
      <c r="F158" s="66">
        <f>VLOOKUP(Yards[[#This Row],[DEVELOPMENT]],Data[],8,FALSE)</f>
        <v>0</v>
      </c>
      <c r="G158" s="66">
        <f>VLOOKUP(Yards[[#This Row],[DEVELOPMENT]],Data[],9,FALSE)</f>
        <v>0</v>
      </c>
      <c r="H158" s="66"/>
      <c r="I158" s="67" t="str">
        <f>IFERROR(VLOOKUP(Yards[[#This Row],[DEVELOPMENT]],Data[],4,FALSE),"")</f>
        <v/>
      </c>
      <c r="J158" s="67" t="str">
        <f>IF(Yards[[#This Row],[RAD/PACT]]="","",IF((Yards[[#This Row],[RAD/PACT]]&lt;=2025),"Yes",""))</f>
        <v/>
      </c>
      <c r="K158" s="67" t="str">
        <f ca="1">IF(VLOOKUP(Yards[[#This Row],[DEVELOPMENT]],ExtComp[],8,FALSE)&lt;=5,"new","old")</f>
        <v>old</v>
      </c>
      <c r="L158" s="104">
        <f ca="1">IF(Yards[[#This Row],[RAD/PACT by 2025]]="Yes",0,INDEX(UnitCosts[],MATCH(Yards[[#This Row],[WORK TYPE]],UnitCosts[Work Type],0),2))</f>
        <v>1159792.78</v>
      </c>
      <c r="M158" s="1"/>
      <c r="N158" s="1"/>
      <c r="O158" s="1"/>
      <c r="P158" s="16"/>
    </row>
    <row r="159" spans="1:16" x14ac:dyDescent="0.25">
      <c r="A159" s="13" t="s">
        <v>182</v>
      </c>
      <c r="B159" s="67" t="str">
        <f>VLOOKUP(Yards[[#This Row],[DEVELOPMENT]],Data[],2,FALSE)</f>
        <v>QUEENS</v>
      </c>
      <c r="C15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59" s="67">
        <f>VLOOKUP(Yards[[#This Row],[DEVELOPMENT]],Data[],30,FALSE)</f>
        <v>0</v>
      </c>
      <c r="E159" s="67">
        <f>VLOOKUP(Yards[[#This Row],[DEVELOPMENT]],Data[],28,FALSE)</f>
        <v>0</v>
      </c>
      <c r="F159" s="66">
        <f>VLOOKUP(Yards[[#This Row],[DEVELOPMENT]],Data[],8,FALSE)</f>
        <v>0</v>
      </c>
      <c r="G159" s="66">
        <f>VLOOKUP(Yards[[#This Row],[DEVELOPMENT]],Data[],9,FALSE)</f>
        <v>0</v>
      </c>
      <c r="H159" s="66"/>
      <c r="I159" s="67" t="str">
        <f>IFERROR(VLOOKUP(Yards[[#This Row],[DEVELOPMENT]],Data[],4,FALSE),"")</f>
        <v/>
      </c>
      <c r="J159" s="67" t="str">
        <f>IF(Yards[[#This Row],[RAD/PACT]]="","",IF((Yards[[#This Row],[RAD/PACT]]&lt;=2025),"Yes",""))</f>
        <v/>
      </c>
      <c r="K159" s="67" t="str">
        <f ca="1">IF(VLOOKUP(Yards[[#This Row],[DEVELOPMENT]],ExtComp[],8,FALSE)&lt;=5,"new","old")</f>
        <v>old</v>
      </c>
      <c r="L159" s="104">
        <f>IF(Yards[[#This Row],[RAD/PACT by 2025]]="Yes",0,INDEX(UnitCosts[],MATCH(Yards[[#This Row],[WORK TYPE]],UnitCosts[Work Type],0),2))</f>
        <v>1159792.78</v>
      </c>
      <c r="M159" s="1"/>
      <c r="N159" s="1"/>
      <c r="O159" s="1"/>
      <c r="P159" s="16"/>
    </row>
    <row r="160" spans="1:16" x14ac:dyDescent="0.25">
      <c r="A160" s="13" t="s">
        <v>183</v>
      </c>
      <c r="B160" s="67" t="str">
        <f>VLOOKUP(Yards[[#This Row],[DEVELOPMENT]],Data[],2,FALSE)</f>
        <v>BRONX</v>
      </c>
      <c r="C16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60" s="67">
        <f>VLOOKUP(Yards[[#This Row],[DEVELOPMENT]],Data[],30,FALSE)</f>
        <v>0</v>
      </c>
      <c r="E160" s="67">
        <f>VLOOKUP(Yards[[#This Row],[DEVELOPMENT]],Data[],28,FALSE)</f>
        <v>0</v>
      </c>
      <c r="F160" s="66">
        <f>VLOOKUP(Yards[[#This Row],[DEVELOPMENT]],Data[],8,FALSE)</f>
        <v>0</v>
      </c>
      <c r="G160" s="66">
        <f>VLOOKUP(Yards[[#This Row],[DEVELOPMENT]],Data[],9,FALSE)</f>
        <v>0</v>
      </c>
      <c r="H160" s="66"/>
      <c r="I160" s="67">
        <f>IFERROR(VLOOKUP(Yards[[#This Row],[DEVELOPMENT]],Data[],4,FALSE),"")</f>
        <v>2022</v>
      </c>
      <c r="J160" s="67" t="str">
        <f>IF(Yards[[#This Row],[RAD/PACT]]="","",IF((Yards[[#This Row],[RAD/PACT]]&lt;=2025),"Yes",""))</f>
        <v>Yes</v>
      </c>
      <c r="K160" s="67" t="str">
        <f ca="1">IF(VLOOKUP(Yards[[#This Row],[DEVELOPMENT]],ExtComp[],8,FALSE)&lt;=5,"new","old")</f>
        <v>old</v>
      </c>
      <c r="L160" s="104">
        <f>IF(Yards[[#This Row],[RAD/PACT by 2025]]="Yes",0,INDEX(UnitCosts[],MATCH(Yards[[#This Row],[WORK TYPE]],UnitCosts[Work Type],0),2))</f>
        <v>0</v>
      </c>
      <c r="M160" s="1"/>
      <c r="N160" s="1"/>
      <c r="O160" s="1"/>
      <c r="P160" s="16"/>
    </row>
    <row r="161" spans="1:16" x14ac:dyDescent="0.25">
      <c r="A161" s="13" t="s">
        <v>184</v>
      </c>
      <c r="B161" s="67" t="str">
        <f>VLOOKUP(Yards[[#This Row],[DEVELOPMENT]],Data[],2,FALSE)</f>
        <v>BRONX</v>
      </c>
      <c r="C16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61" s="67">
        <f>VLOOKUP(Yards[[#This Row],[DEVELOPMENT]],Data[],30,FALSE)</f>
        <v>2</v>
      </c>
      <c r="E161" s="67">
        <f>VLOOKUP(Yards[[#This Row],[DEVELOPMENT]],Data[],28,FALSE)</f>
        <v>0</v>
      </c>
      <c r="F161" s="66">
        <f>VLOOKUP(Yards[[#This Row],[DEVELOPMENT]],Data[],8,FALSE)</f>
        <v>0</v>
      </c>
      <c r="G161" s="66">
        <f>VLOOKUP(Yards[[#This Row],[DEVELOPMENT]],Data[],9,FALSE)</f>
        <v>0</v>
      </c>
      <c r="H161" s="66"/>
      <c r="I161" s="67" t="str">
        <f>IFERROR(VLOOKUP(Yards[[#This Row],[DEVELOPMENT]],Data[],4,FALSE),"")</f>
        <v/>
      </c>
      <c r="J161" s="67" t="str">
        <f>IF(Yards[[#This Row],[RAD/PACT]]="","",IF((Yards[[#This Row],[RAD/PACT]]&lt;=2025),"Yes",""))</f>
        <v/>
      </c>
      <c r="K161" s="67" t="str">
        <f ca="1">IF(VLOOKUP(Yards[[#This Row],[DEVELOPMENT]],ExtComp[],8,FALSE)&lt;=5,"new","old")</f>
        <v>old</v>
      </c>
      <c r="L161" s="104">
        <f ca="1">IF(Yards[[#This Row],[RAD/PACT by 2025]]="Yes",0,INDEX(UnitCosts[],MATCH(Yards[[#This Row],[WORK TYPE]],UnitCosts[Work Type],0),2))</f>
        <v>1591050.0199999998</v>
      </c>
      <c r="M161" s="1"/>
      <c r="N161" s="1"/>
      <c r="O161" s="1"/>
      <c r="P161" s="16"/>
    </row>
    <row r="162" spans="1:16" x14ac:dyDescent="0.25">
      <c r="A162" s="13" t="s">
        <v>185</v>
      </c>
      <c r="B162" s="67" t="str">
        <f>VLOOKUP(Yards[[#This Row],[DEVELOPMENT]],Data[],2,FALSE)</f>
        <v>BROOKLYN</v>
      </c>
      <c r="C16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62" s="67">
        <f>VLOOKUP(Yards[[#This Row],[DEVELOPMENT]],Data[],30,FALSE)</f>
        <v>0</v>
      </c>
      <c r="E162" s="67">
        <f>VLOOKUP(Yards[[#This Row],[DEVELOPMENT]],Data[],28,FALSE)</f>
        <v>0</v>
      </c>
      <c r="F162" s="66">
        <f>VLOOKUP(Yards[[#This Row],[DEVELOPMENT]],Data[],8,FALSE)</f>
        <v>0</v>
      </c>
      <c r="G162" s="66">
        <f>VLOOKUP(Yards[[#This Row],[DEVELOPMENT]],Data[],9,FALSE)</f>
        <v>0</v>
      </c>
      <c r="H162" s="66"/>
      <c r="I162" s="67">
        <f>IFERROR(VLOOKUP(Yards[[#This Row],[DEVELOPMENT]],Data[],4,FALSE),"")</f>
        <v>2020</v>
      </c>
      <c r="J162" s="67" t="str">
        <f>IF(Yards[[#This Row],[RAD/PACT]]="","",IF((Yards[[#This Row],[RAD/PACT]]&lt;=2025),"Yes",""))</f>
        <v>Yes</v>
      </c>
      <c r="K162" s="67" t="str">
        <f ca="1">IF(VLOOKUP(Yards[[#This Row],[DEVELOPMENT]],ExtComp[],8,FALSE)&lt;=5,"new","old")</f>
        <v>old</v>
      </c>
      <c r="L162" s="104">
        <f>IF(Yards[[#This Row],[RAD/PACT by 2025]]="Yes",0,INDEX(UnitCosts[],MATCH(Yards[[#This Row],[WORK TYPE]],UnitCosts[Work Type],0),2))</f>
        <v>0</v>
      </c>
      <c r="M162" s="1"/>
      <c r="N162" s="1"/>
      <c r="O162" s="1"/>
      <c r="P162" s="16"/>
    </row>
    <row r="163" spans="1:16" x14ac:dyDescent="0.25">
      <c r="A163" s="13" t="s">
        <v>186</v>
      </c>
      <c r="B163" s="67" t="str">
        <f>VLOOKUP(Yards[[#This Row],[DEVELOPMENT]],Data[],2,FALSE)</f>
        <v>BRONX</v>
      </c>
      <c r="C16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63" s="67">
        <f>VLOOKUP(Yards[[#This Row],[DEVELOPMENT]],Data[],30,FALSE)</f>
        <v>0</v>
      </c>
      <c r="E163" s="67">
        <f>VLOOKUP(Yards[[#This Row],[DEVELOPMENT]],Data[],28,FALSE)</f>
        <v>0</v>
      </c>
      <c r="F163" s="66">
        <f>VLOOKUP(Yards[[#This Row],[DEVELOPMENT]],Data[],8,FALSE)</f>
        <v>0</v>
      </c>
      <c r="G163" s="66">
        <f>VLOOKUP(Yards[[#This Row],[DEVELOPMENT]],Data[],9,FALSE)</f>
        <v>0</v>
      </c>
      <c r="H163" s="66"/>
      <c r="I163" s="67" t="str">
        <f>IFERROR(VLOOKUP(Yards[[#This Row],[DEVELOPMENT]],Data[],4,FALSE),"")</f>
        <v/>
      </c>
      <c r="J163" s="67" t="str">
        <f>IF(Yards[[#This Row],[RAD/PACT]]="","",IF((Yards[[#This Row],[RAD/PACT]]&lt;=2025),"Yes",""))</f>
        <v/>
      </c>
      <c r="K163" s="67" t="str">
        <f ca="1">IF(VLOOKUP(Yards[[#This Row],[DEVELOPMENT]],ExtComp[],8,FALSE)&lt;=5,"new","old")</f>
        <v>old</v>
      </c>
      <c r="L163" s="104">
        <f>IF(Yards[[#This Row],[RAD/PACT by 2025]]="Yes",0,INDEX(UnitCosts[],MATCH(Yards[[#This Row],[WORK TYPE]],UnitCosts[Work Type],0),2))</f>
        <v>1159792.78</v>
      </c>
      <c r="M163" s="1"/>
      <c r="N163" s="1"/>
      <c r="O163" s="1"/>
      <c r="P163" s="16"/>
    </row>
    <row r="164" spans="1:16" x14ac:dyDescent="0.25">
      <c r="A164" s="13" t="s">
        <v>187</v>
      </c>
      <c r="B164" s="67" t="str">
        <f>VLOOKUP(Yards[[#This Row],[DEVELOPMENT]],Data[],2,FALSE)</f>
        <v>BROOKLYN</v>
      </c>
      <c r="C164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164" s="67">
        <f>VLOOKUP(Yards[[#This Row],[DEVELOPMENT]],Data[],30,FALSE)</f>
        <v>4</v>
      </c>
      <c r="E164" s="67">
        <f>VLOOKUP(Yards[[#This Row],[DEVELOPMENT]],Data[],28,FALSE)</f>
        <v>0</v>
      </c>
      <c r="F164" s="66">
        <f>VLOOKUP(Yards[[#This Row],[DEVELOPMENT]],Data[],8,FALSE)</f>
        <v>0</v>
      </c>
      <c r="G164" s="66">
        <f>VLOOKUP(Yards[[#This Row],[DEVELOPMENT]],Data[],9,FALSE)</f>
        <v>0</v>
      </c>
      <c r="H164" s="66"/>
      <c r="I164" s="67">
        <f>IFERROR(VLOOKUP(Yards[[#This Row],[DEVELOPMENT]],Data[],4,FALSE),"")</f>
        <v>2021</v>
      </c>
      <c r="J164" s="67" t="str">
        <f>IF(Yards[[#This Row],[RAD/PACT]]="","",IF((Yards[[#This Row],[RAD/PACT]]&lt;=2025),"Yes",""))</f>
        <v>Yes</v>
      </c>
      <c r="K164" s="67" t="str">
        <f ca="1">IF(VLOOKUP(Yards[[#This Row],[DEVELOPMENT]],ExtComp[],8,FALSE)&lt;=5,"new","old")</f>
        <v>old</v>
      </c>
      <c r="L164" s="104">
        <f>IF(Yards[[#This Row],[RAD/PACT by 2025]]="Yes",0,INDEX(UnitCosts[],MATCH(Yards[[#This Row],[WORK TYPE]],UnitCosts[Work Type],0),2))</f>
        <v>0</v>
      </c>
      <c r="M164" s="1"/>
      <c r="N164" s="1"/>
      <c r="O164" s="1"/>
      <c r="P164" s="16"/>
    </row>
    <row r="165" spans="1:16" x14ac:dyDescent="0.25">
      <c r="A165" s="13" t="s">
        <v>188</v>
      </c>
      <c r="B165" s="67" t="str">
        <f>VLOOKUP(Yards[[#This Row],[DEVELOPMENT]],Data[],2,FALSE)</f>
        <v>BROOKLYN</v>
      </c>
      <c r="C16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65" s="67">
        <f>VLOOKUP(Yards[[#This Row],[DEVELOPMENT]],Data[],30,FALSE)</f>
        <v>2</v>
      </c>
      <c r="E165" s="67">
        <f>VLOOKUP(Yards[[#This Row],[DEVELOPMENT]],Data[],28,FALSE)</f>
        <v>0</v>
      </c>
      <c r="F165" s="66">
        <f>VLOOKUP(Yards[[#This Row],[DEVELOPMENT]],Data[],8,FALSE)</f>
        <v>0</v>
      </c>
      <c r="G165" s="66">
        <f>VLOOKUP(Yards[[#This Row],[DEVELOPMENT]],Data[],9,FALSE)</f>
        <v>0</v>
      </c>
      <c r="H165" s="66"/>
      <c r="I165" s="67" t="str">
        <f>IFERROR(VLOOKUP(Yards[[#This Row],[DEVELOPMENT]],Data[],4,FALSE),"")</f>
        <v/>
      </c>
      <c r="J165" s="67" t="str">
        <f>IF(Yards[[#This Row],[RAD/PACT]]="","",IF((Yards[[#This Row],[RAD/PACT]]&lt;=2025),"Yes",""))</f>
        <v/>
      </c>
      <c r="K165" s="67" t="str">
        <f ca="1">IF(VLOOKUP(Yards[[#This Row],[DEVELOPMENT]],ExtComp[],8,FALSE)&lt;=5,"new","old")</f>
        <v>old</v>
      </c>
      <c r="L165" s="104">
        <f ca="1">IF(Yards[[#This Row],[RAD/PACT by 2025]]="Yes",0,INDEX(UnitCosts[],MATCH(Yards[[#This Row],[WORK TYPE]],UnitCosts[Work Type],0),2))</f>
        <v>1591050.0199999998</v>
      </c>
      <c r="M165" s="1"/>
      <c r="N165" s="1"/>
      <c r="O165" s="1"/>
      <c r="P165" s="16"/>
    </row>
    <row r="166" spans="1:16" x14ac:dyDescent="0.25">
      <c r="A166" s="13" t="s">
        <v>189</v>
      </c>
      <c r="B166" s="67" t="str">
        <f>VLOOKUP(Yards[[#This Row],[DEVELOPMENT]],Data[],2,FALSE)</f>
        <v>BRONX</v>
      </c>
      <c r="C16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66" s="67">
        <f>VLOOKUP(Yards[[#This Row],[DEVELOPMENT]],Data[],30,FALSE)</f>
        <v>0</v>
      </c>
      <c r="E166" s="67">
        <f>VLOOKUP(Yards[[#This Row],[DEVELOPMENT]],Data[],28,FALSE)</f>
        <v>0</v>
      </c>
      <c r="F166" s="66">
        <f>VLOOKUP(Yards[[#This Row],[DEVELOPMENT]],Data[],8,FALSE)</f>
        <v>0</v>
      </c>
      <c r="G166" s="66">
        <f>VLOOKUP(Yards[[#This Row],[DEVELOPMENT]],Data[],9,FALSE)</f>
        <v>0</v>
      </c>
      <c r="H166" s="66"/>
      <c r="I166" s="67" t="str">
        <f>IFERROR(VLOOKUP(Yards[[#This Row],[DEVELOPMENT]],Data[],4,FALSE),"")</f>
        <v/>
      </c>
      <c r="J166" s="67" t="str">
        <f>IF(Yards[[#This Row],[RAD/PACT]]="","",IF((Yards[[#This Row],[RAD/PACT]]&lt;=2025),"Yes",""))</f>
        <v/>
      </c>
      <c r="K166" s="67" t="str">
        <f ca="1">IF(VLOOKUP(Yards[[#This Row],[DEVELOPMENT]],ExtComp[],8,FALSE)&lt;=5,"new","old")</f>
        <v>old</v>
      </c>
      <c r="L166" s="104">
        <f>IF(Yards[[#This Row],[RAD/PACT by 2025]]="Yes",0,INDEX(UnitCosts[],MATCH(Yards[[#This Row],[WORK TYPE]],UnitCosts[Work Type],0),2))</f>
        <v>1159792.78</v>
      </c>
      <c r="M166" s="1"/>
      <c r="N166" s="1"/>
      <c r="O166" s="1"/>
      <c r="P166" s="16"/>
    </row>
    <row r="167" spans="1:16" x14ac:dyDescent="0.25">
      <c r="A167" s="13" t="s">
        <v>190</v>
      </c>
      <c r="B167" s="67" t="str">
        <f>VLOOKUP(Yards[[#This Row],[DEVELOPMENT]],Data[],2,FALSE)</f>
        <v>BROOKLYN</v>
      </c>
      <c r="C16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67" s="67">
        <f>VLOOKUP(Yards[[#This Row],[DEVELOPMENT]],Data[],30,FALSE)</f>
        <v>0</v>
      </c>
      <c r="E167" s="67">
        <f>VLOOKUP(Yards[[#This Row],[DEVELOPMENT]],Data[],28,FALSE)</f>
        <v>0</v>
      </c>
      <c r="F167" s="66">
        <f>VLOOKUP(Yards[[#This Row],[DEVELOPMENT]],Data[],8,FALSE)</f>
        <v>0</v>
      </c>
      <c r="G167" s="66">
        <f>VLOOKUP(Yards[[#This Row],[DEVELOPMENT]],Data[],9,FALSE)</f>
        <v>0</v>
      </c>
      <c r="H167" s="66"/>
      <c r="I167" s="67" t="str">
        <f>IFERROR(VLOOKUP(Yards[[#This Row],[DEVELOPMENT]],Data[],4,FALSE),"")</f>
        <v/>
      </c>
      <c r="J167" s="67" t="str">
        <f>IF(Yards[[#This Row],[RAD/PACT]]="","",IF((Yards[[#This Row],[RAD/PACT]]&lt;=2025),"Yes",""))</f>
        <v/>
      </c>
      <c r="K167" s="67" t="str">
        <f ca="1">IF(VLOOKUP(Yards[[#This Row],[DEVELOPMENT]],ExtComp[],8,FALSE)&lt;=5,"new","old")</f>
        <v>old</v>
      </c>
      <c r="L167" s="104">
        <f>IF(Yards[[#This Row],[RAD/PACT by 2025]]="Yes",0,INDEX(UnitCosts[],MATCH(Yards[[#This Row],[WORK TYPE]],UnitCosts[Work Type],0),2))</f>
        <v>1159792.78</v>
      </c>
      <c r="M167" s="1"/>
      <c r="N167" s="1"/>
      <c r="O167" s="1"/>
      <c r="P167" s="16"/>
    </row>
    <row r="168" spans="1:16" x14ac:dyDescent="0.25">
      <c r="A168" s="13" t="s">
        <v>191</v>
      </c>
      <c r="B168" s="67" t="str">
        <f>VLOOKUP(Yards[[#This Row],[DEVELOPMENT]],Data[],2,FALSE)</f>
        <v>BROOKLYN</v>
      </c>
      <c r="C168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168" s="67">
        <f>VLOOKUP(Yards[[#This Row],[DEVELOPMENT]],Data[],30,FALSE)</f>
        <v>3</v>
      </c>
      <c r="E168" s="67">
        <f>VLOOKUP(Yards[[#This Row],[DEVELOPMENT]],Data[],28,FALSE)</f>
        <v>0</v>
      </c>
      <c r="F168" s="66">
        <f>VLOOKUP(Yards[[#This Row],[DEVELOPMENT]],Data[],8,FALSE)</f>
        <v>0</v>
      </c>
      <c r="G168" s="66">
        <f>VLOOKUP(Yards[[#This Row],[DEVELOPMENT]],Data[],9,FALSE)</f>
        <v>0</v>
      </c>
      <c r="H168" s="66"/>
      <c r="I168" s="67" t="str">
        <f>IFERROR(VLOOKUP(Yards[[#This Row],[DEVELOPMENT]],Data[],4,FALSE),"")</f>
        <v/>
      </c>
      <c r="J168" s="67" t="str">
        <f>IF(Yards[[#This Row],[RAD/PACT]]="","",IF((Yards[[#This Row],[RAD/PACT]]&lt;=2025),"Yes",""))</f>
        <v/>
      </c>
      <c r="K168" s="67" t="str">
        <f ca="1">IF(VLOOKUP(Yards[[#This Row],[DEVELOPMENT]],ExtComp[],8,FALSE)&lt;=5,"new","old")</f>
        <v>old</v>
      </c>
      <c r="L168" s="104">
        <f ca="1">IF(Yards[[#This Row],[RAD/PACT by 2025]]="Yes",0,INDEX(UnitCosts[],MATCH(Yards[[#This Row],[WORK TYPE]],UnitCosts[Work Type],0),2))</f>
        <v>2022307.2600000005</v>
      </c>
      <c r="M168" s="1"/>
      <c r="N168" s="1"/>
      <c r="O168" s="1"/>
      <c r="P168" s="16"/>
    </row>
    <row r="169" spans="1:16" x14ac:dyDescent="0.25">
      <c r="A169" s="13" t="s">
        <v>192</v>
      </c>
      <c r="B169" s="67" t="str">
        <f>VLOOKUP(Yards[[#This Row],[DEVELOPMENT]],Data[],2,FALSE)</f>
        <v>BRONX</v>
      </c>
      <c r="C16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69" s="67">
        <f>VLOOKUP(Yards[[#This Row],[DEVELOPMENT]],Data[],30,FALSE)</f>
        <v>0</v>
      </c>
      <c r="E169" s="67">
        <f>VLOOKUP(Yards[[#This Row],[DEVELOPMENT]],Data[],28,FALSE)</f>
        <v>0</v>
      </c>
      <c r="F169" s="66">
        <f>VLOOKUP(Yards[[#This Row],[DEVELOPMENT]],Data[],8,FALSE)</f>
        <v>0</v>
      </c>
      <c r="G169" s="66">
        <f>VLOOKUP(Yards[[#This Row],[DEVELOPMENT]],Data[],9,FALSE)</f>
        <v>0</v>
      </c>
      <c r="H169" s="66"/>
      <c r="I169" s="67" t="str">
        <f>IFERROR(VLOOKUP(Yards[[#This Row],[DEVELOPMENT]],Data[],4,FALSE),"")</f>
        <v/>
      </c>
      <c r="J169" s="67" t="str">
        <f>IF(Yards[[#This Row],[RAD/PACT]]="","",IF((Yards[[#This Row],[RAD/PACT]]&lt;=2025),"Yes",""))</f>
        <v/>
      </c>
      <c r="K169" s="67" t="str">
        <f ca="1">IF(VLOOKUP(Yards[[#This Row],[DEVELOPMENT]],ExtComp[],8,FALSE)&lt;=5,"new","old")</f>
        <v>old</v>
      </c>
      <c r="L169" s="104">
        <f>IF(Yards[[#This Row],[RAD/PACT by 2025]]="Yes",0,INDEX(UnitCosts[],MATCH(Yards[[#This Row],[WORK TYPE]],UnitCosts[Work Type],0),2))</f>
        <v>1159792.78</v>
      </c>
      <c r="M169" s="1"/>
      <c r="N169" s="1"/>
      <c r="O169" s="1"/>
      <c r="P169" s="16"/>
    </row>
    <row r="170" spans="1:16" x14ac:dyDescent="0.25">
      <c r="A170" s="13" t="s">
        <v>379</v>
      </c>
      <c r="B170" s="67" t="str">
        <f>VLOOKUP(Yards[[#This Row],[DEVELOPMENT]],Data[],2,FALSE)</f>
        <v>BROOKLYN</v>
      </c>
      <c r="C17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70" s="67">
        <f>VLOOKUP(Yards[[#This Row],[DEVELOPMENT]],Data[],30,FALSE)</f>
        <v>0</v>
      </c>
      <c r="E170" s="67">
        <f>VLOOKUP(Yards[[#This Row],[DEVELOPMENT]],Data[],28,FALSE)</f>
        <v>0</v>
      </c>
      <c r="F170" s="66">
        <f>VLOOKUP(Yards[[#This Row],[DEVELOPMENT]],Data[],8,FALSE)</f>
        <v>0</v>
      </c>
      <c r="G170" s="66">
        <f>VLOOKUP(Yards[[#This Row],[DEVELOPMENT]],Data[],9,FALSE)</f>
        <v>0</v>
      </c>
      <c r="H170" s="66"/>
      <c r="I170" s="67" t="str">
        <f>IFERROR(VLOOKUP(Yards[[#This Row],[DEVELOPMENT]],Data[],4,FALSE),"")</f>
        <v/>
      </c>
      <c r="J170" s="67" t="str">
        <f>IF(Yards[[#This Row],[RAD/PACT]]="","",IF((Yards[[#This Row],[RAD/PACT]]&lt;=2025),"Yes",""))</f>
        <v/>
      </c>
      <c r="K170" s="67" t="str">
        <f ca="1">IF(VLOOKUP(Yards[[#This Row],[DEVELOPMENT]],ExtComp[],8,FALSE)&lt;=5,"new","old")</f>
        <v>old</v>
      </c>
      <c r="L170" s="104">
        <f>IF(Yards[[#This Row],[RAD/PACT by 2025]]="Yes",0,INDEX(UnitCosts[],MATCH(Yards[[#This Row],[WORK TYPE]],UnitCosts[Work Type],0),2))</f>
        <v>1159792.78</v>
      </c>
      <c r="M170" s="1"/>
      <c r="N170" s="1"/>
      <c r="O170" s="1"/>
      <c r="P170" s="16"/>
    </row>
    <row r="171" spans="1:16" x14ac:dyDescent="0.25">
      <c r="A171" s="13" t="s">
        <v>193</v>
      </c>
      <c r="B171" s="67" t="str">
        <f>VLOOKUP(Yards[[#This Row],[DEVELOPMENT]],Data[],2,FALSE)</f>
        <v>BROOKLYN</v>
      </c>
      <c r="C17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71" s="67">
        <f>VLOOKUP(Yards[[#This Row],[DEVELOPMENT]],Data[],30,FALSE)</f>
        <v>2</v>
      </c>
      <c r="E171" s="67">
        <f>VLOOKUP(Yards[[#This Row],[DEVELOPMENT]],Data[],28,FALSE)</f>
        <v>0</v>
      </c>
      <c r="F171" s="66">
        <f>VLOOKUP(Yards[[#This Row],[DEVELOPMENT]],Data[],8,FALSE)</f>
        <v>0</v>
      </c>
      <c r="G171" s="66">
        <f>VLOOKUP(Yards[[#This Row],[DEVELOPMENT]],Data[],9,FALSE)</f>
        <v>0</v>
      </c>
      <c r="H171" s="66"/>
      <c r="I171" s="67" t="str">
        <f>IFERROR(VLOOKUP(Yards[[#This Row],[DEVELOPMENT]],Data[],4,FALSE),"")</f>
        <v/>
      </c>
      <c r="J171" s="67" t="str">
        <f>IF(Yards[[#This Row],[RAD/PACT]]="","",IF((Yards[[#This Row],[RAD/PACT]]&lt;=2025),"Yes",""))</f>
        <v/>
      </c>
      <c r="K171" s="67" t="str">
        <f ca="1">IF(VLOOKUP(Yards[[#This Row],[DEVELOPMENT]],ExtComp[],8,FALSE)&lt;=5,"new","old")</f>
        <v>old</v>
      </c>
      <c r="L171" s="104">
        <f ca="1">IF(Yards[[#This Row],[RAD/PACT by 2025]]="Yes",0,INDEX(UnitCosts[],MATCH(Yards[[#This Row],[WORK TYPE]],UnitCosts[Work Type],0),2))</f>
        <v>1591050.0199999998</v>
      </c>
      <c r="M171" s="1"/>
      <c r="N171" s="1"/>
      <c r="O171" s="1"/>
      <c r="P171" s="16"/>
    </row>
    <row r="172" spans="1:16" x14ac:dyDescent="0.25">
      <c r="A172" s="13" t="s">
        <v>194</v>
      </c>
      <c r="B172" s="67" t="str">
        <f>VLOOKUP(Yards[[#This Row],[DEVELOPMENT]],Data[],2,FALSE)</f>
        <v>QUEENS</v>
      </c>
      <c r="C17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72" s="67">
        <f>VLOOKUP(Yards[[#This Row],[DEVELOPMENT]],Data[],30,FALSE)</f>
        <v>0</v>
      </c>
      <c r="E172" s="67">
        <f>VLOOKUP(Yards[[#This Row],[DEVELOPMENT]],Data[],28,FALSE)</f>
        <v>0</v>
      </c>
      <c r="F172" s="66">
        <f>VLOOKUP(Yards[[#This Row],[DEVELOPMENT]],Data[],8,FALSE)</f>
        <v>0</v>
      </c>
      <c r="G172" s="66">
        <f>VLOOKUP(Yards[[#This Row],[DEVELOPMENT]],Data[],9,FALSE)</f>
        <v>0</v>
      </c>
      <c r="H172" s="66"/>
      <c r="I172" s="67" t="str">
        <f>IFERROR(VLOOKUP(Yards[[#This Row],[DEVELOPMENT]],Data[],4,FALSE),"")</f>
        <v/>
      </c>
      <c r="J172" s="67" t="str">
        <f>IF(Yards[[#This Row],[RAD/PACT]]="","",IF((Yards[[#This Row],[RAD/PACT]]&lt;=2025),"Yes",""))</f>
        <v/>
      </c>
      <c r="K172" s="67" t="str">
        <f ca="1">IF(VLOOKUP(Yards[[#This Row],[DEVELOPMENT]],ExtComp[],8,FALSE)&lt;=5,"new","old")</f>
        <v>old</v>
      </c>
      <c r="L172" s="104">
        <f>IF(Yards[[#This Row],[RAD/PACT by 2025]]="Yes",0,INDEX(UnitCosts[],MATCH(Yards[[#This Row],[WORK TYPE]],UnitCosts[Work Type],0),2))</f>
        <v>1159792.78</v>
      </c>
      <c r="M172" s="1"/>
      <c r="N172" s="1"/>
      <c r="O172" s="1"/>
      <c r="P172" s="16"/>
    </row>
    <row r="173" spans="1:16" x14ac:dyDescent="0.25">
      <c r="A173" s="13" t="s">
        <v>195</v>
      </c>
      <c r="B173" s="67" t="str">
        <f>VLOOKUP(Yards[[#This Row],[DEVELOPMENT]],Data[],2,FALSE)</f>
        <v>STATEN ISLAND</v>
      </c>
      <c r="C17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73" s="67">
        <f>VLOOKUP(Yards[[#This Row],[DEVELOPMENT]],Data[],30,FALSE)</f>
        <v>1</v>
      </c>
      <c r="E173" s="67">
        <f>VLOOKUP(Yards[[#This Row],[DEVELOPMENT]],Data[],28,FALSE)</f>
        <v>0</v>
      </c>
      <c r="F173" s="66">
        <f>VLOOKUP(Yards[[#This Row],[DEVELOPMENT]],Data[],8,FALSE)</f>
        <v>0</v>
      </c>
      <c r="G173" s="66">
        <f>VLOOKUP(Yards[[#This Row],[DEVELOPMENT]],Data[],9,FALSE)</f>
        <v>0</v>
      </c>
      <c r="H173" s="66"/>
      <c r="I173" s="67" t="str">
        <f>IFERROR(VLOOKUP(Yards[[#This Row],[DEVELOPMENT]],Data[],4,FALSE),"")</f>
        <v/>
      </c>
      <c r="J173" s="67" t="str">
        <f>IF(Yards[[#This Row],[RAD/PACT]]="","",IF((Yards[[#This Row],[RAD/PACT]]&lt;=2025),"Yes",""))</f>
        <v/>
      </c>
      <c r="K173" s="67" t="str">
        <f ca="1">IF(VLOOKUP(Yards[[#This Row],[DEVELOPMENT]],ExtComp[],8,FALSE)&lt;=5,"new","old")</f>
        <v>old</v>
      </c>
      <c r="L173" s="104">
        <f ca="1">IF(Yards[[#This Row],[RAD/PACT by 2025]]="Yes",0,INDEX(UnitCosts[],MATCH(Yards[[#This Row],[WORK TYPE]],UnitCosts[Work Type],0),2))</f>
        <v>1159792.78</v>
      </c>
      <c r="M173" s="1"/>
      <c r="N173" s="1"/>
      <c r="O173" s="1"/>
      <c r="P173" s="16"/>
    </row>
    <row r="174" spans="1:16" x14ac:dyDescent="0.25">
      <c r="A174" s="13" t="s">
        <v>196</v>
      </c>
      <c r="B174" s="67" t="str">
        <f>VLOOKUP(Yards[[#This Row],[DEVELOPMENT]],Data[],2,FALSE)</f>
        <v>BRONX</v>
      </c>
      <c r="C174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174" s="67">
        <f>VLOOKUP(Yards[[#This Row],[DEVELOPMENT]],Data[],30,FALSE)</f>
        <v>4</v>
      </c>
      <c r="E174" s="67">
        <f>VLOOKUP(Yards[[#This Row],[DEVELOPMENT]],Data[],28,FALSE)</f>
        <v>0</v>
      </c>
      <c r="F174" s="66">
        <f>VLOOKUP(Yards[[#This Row],[DEVELOPMENT]],Data[],8,FALSE)</f>
        <v>0</v>
      </c>
      <c r="G174" s="66">
        <f>VLOOKUP(Yards[[#This Row],[DEVELOPMENT]],Data[],9,FALSE)</f>
        <v>0</v>
      </c>
      <c r="H174" s="66"/>
      <c r="I174" s="67" t="str">
        <f>IFERROR(VLOOKUP(Yards[[#This Row],[DEVELOPMENT]],Data[],4,FALSE),"")</f>
        <v/>
      </c>
      <c r="J174" s="67" t="str">
        <f>IF(Yards[[#This Row],[RAD/PACT]]="","",IF((Yards[[#This Row],[RAD/PACT]]&lt;=2025),"Yes",""))</f>
        <v/>
      </c>
      <c r="K174" s="67" t="str">
        <f ca="1">IF(VLOOKUP(Yards[[#This Row],[DEVELOPMENT]],ExtComp[],8,FALSE)&lt;=5,"new","old")</f>
        <v>old</v>
      </c>
      <c r="L174" s="104">
        <f ca="1">IF(Yards[[#This Row],[RAD/PACT by 2025]]="Yes",0,INDEX(UnitCosts[],MATCH(Yards[[#This Row],[WORK TYPE]],UnitCosts[Work Type],0),2))</f>
        <v>2453564.4999999995</v>
      </c>
      <c r="M174" s="1"/>
      <c r="N174" s="1"/>
      <c r="O174" s="1"/>
      <c r="P174" s="16"/>
    </row>
    <row r="175" spans="1:16" x14ac:dyDescent="0.25">
      <c r="A175" s="13" t="s">
        <v>197</v>
      </c>
      <c r="B175" s="67" t="str">
        <f>VLOOKUP(Yards[[#This Row],[DEVELOPMENT]],Data[],2,FALSE)</f>
        <v>MANHATTAN</v>
      </c>
      <c r="C17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75" s="67">
        <f>VLOOKUP(Yards[[#This Row],[DEVELOPMENT]],Data[],30,FALSE)</f>
        <v>0</v>
      </c>
      <c r="E175" s="67">
        <f>VLOOKUP(Yards[[#This Row],[DEVELOPMENT]],Data[],28,FALSE)</f>
        <v>0</v>
      </c>
      <c r="F175" s="66">
        <f>VLOOKUP(Yards[[#This Row],[DEVELOPMENT]],Data[],8,FALSE)</f>
        <v>0</v>
      </c>
      <c r="G175" s="66">
        <f>VLOOKUP(Yards[[#This Row],[DEVELOPMENT]],Data[],9,FALSE)</f>
        <v>0</v>
      </c>
      <c r="H175" s="66"/>
      <c r="I175" s="67" t="str">
        <f>IFERROR(VLOOKUP(Yards[[#This Row],[DEVELOPMENT]],Data[],4,FALSE),"")</f>
        <v/>
      </c>
      <c r="J175" s="67" t="str">
        <f>IF(Yards[[#This Row],[RAD/PACT]]="","",IF((Yards[[#This Row],[RAD/PACT]]&lt;=2025),"Yes",""))</f>
        <v/>
      </c>
      <c r="K175" s="67" t="str">
        <f ca="1">IF(VLOOKUP(Yards[[#This Row],[DEVELOPMENT]],ExtComp[],8,FALSE)&lt;=5,"new","old")</f>
        <v>old</v>
      </c>
      <c r="L175" s="104">
        <f>IF(Yards[[#This Row],[RAD/PACT by 2025]]="Yes",0,INDEX(UnitCosts[],MATCH(Yards[[#This Row],[WORK TYPE]],UnitCosts[Work Type],0),2))</f>
        <v>1159792.78</v>
      </c>
      <c r="M175" s="1"/>
      <c r="N175" s="1"/>
      <c r="O175" s="1"/>
      <c r="P175" s="16"/>
    </row>
    <row r="176" spans="1:16" x14ac:dyDescent="0.25">
      <c r="A176" s="13" t="s">
        <v>198</v>
      </c>
      <c r="B176" s="67" t="str">
        <f>VLOOKUP(Yards[[#This Row],[DEVELOPMENT]],Data[],2,FALSE)</f>
        <v>MANHATTAN</v>
      </c>
      <c r="C17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76" s="67">
        <f>VLOOKUP(Yards[[#This Row],[DEVELOPMENT]],Data[],30,FALSE)</f>
        <v>0</v>
      </c>
      <c r="E176" s="67">
        <f>VLOOKUP(Yards[[#This Row],[DEVELOPMENT]],Data[],28,FALSE)</f>
        <v>0</v>
      </c>
      <c r="F176" s="66">
        <f>VLOOKUP(Yards[[#This Row],[DEVELOPMENT]],Data[],8,FALSE)</f>
        <v>0</v>
      </c>
      <c r="G176" s="66">
        <f>VLOOKUP(Yards[[#This Row],[DEVELOPMENT]],Data[],9,FALSE)</f>
        <v>0</v>
      </c>
      <c r="H176" s="66"/>
      <c r="I176" s="67" t="str">
        <f>IFERROR(VLOOKUP(Yards[[#This Row],[DEVELOPMENT]],Data[],4,FALSE),"")</f>
        <v/>
      </c>
      <c r="J176" s="67" t="str">
        <f>IF(Yards[[#This Row],[RAD/PACT]]="","",IF((Yards[[#This Row],[RAD/PACT]]&lt;=2025),"Yes",""))</f>
        <v/>
      </c>
      <c r="K176" s="67" t="str">
        <f ca="1">IF(VLOOKUP(Yards[[#This Row],[DEVELOPMENT]],ExtComp[],8,FALSE)&lt;=5,"new","old")</f>
        <v>old</v>
      </c>
      <c r="L176" s="104">
        <f>IF(Yards[[#This Row],[RAD/PACT by 2025]]="Yes",0,INDEX(UnitCosts[],MATCH(Yards[[#This Row],[WORK TYPE]],UnitCosts[Work Type],0),2))</f>
        <v>1159792.78</v>
      </c>
      <c r="M176" s="1"/>
      <c r="N176" s="1"/>
      <c r="O176" s="1"/>
      <c r="P176" s="16"/>
    </row>
    <row r="177" spans="1:16" x14ac:dyDescent="0.25">
      <c r="A177" s="13" t="s">
        <v>199</v>
      </c>
      <c r="B177" s="67" t="str">
        <f>VLOOKUP(Yards[[#This Row],[DEVELOPMENT]],Data[],2,FALSE)</f>
        <v>BRONX</v>
      </c>
      <c r="C17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77" s="67">
        <f>VLOOKUP(Yards[[#This Row],[DEVELOPMENT]],Data[],30,FALSE)</f>
        <v>0</v>
      </c>
      <c r="E177" s="67">
        <f>VLOOKUP(Yards[[#This Row],[DEVELOPMENT]],Data[],28,FALSE)</f>
        <v>0</v>
      </c>
      <c r="F177" s="66">
        <f>VLOOKUP(Yards[[#This Row],[DEVELOPMENT]],Data[],8,FALSE)</f>
        <v>0</v>
      </c>
      <c r="G177" s="66">
        <f>VLOOKUP(Yards[[#This Row],[DEVELOPMENT]],Data[],9,FALSE)</f>
        <v>0</v>
      </c>
      <c r="H177" s="66"/>
      <c r="I177" s="67">
        <f>IFERROR(VLOOKUP(Yards[[#This Row],[DEVELOPMENT]],Data[],4,FALSE),"")</f>
        <v>2024</v>
      </c>
      <c r="J177" s="67" t="str">
        <f>IF(Yards[[#This Row],[RAD/PACT]]="","",IF((Yards[[#This Row],[RAD/PACT]]&lt;=2025),"Yes",""))</f>
        <v>Yes</v>
      </c>
      <c r="K177" s="67" t="str">
        <f ca="1">IF(VLOOKUP(Yards[[#This Row],[DEVELOPMENT]],ExtComp[],8,FALSE)&lt;=5,"new","old")</f>
        <v>old</v>
      </c>
      <c r="L177" s="104">
        <f>IF(Yards[[#This Row],[RAD/PACT by 2025]]="Yes",0,INDEX(UnitCosts[],MATCH(Yards[[#This Row],[WORK TYPE]],UnitCosts[Work Type],0),2))</f>
        <v>0</v>
      </c>
      <c r="M177" s="1"/>
      <c r="N177" s="1"/>
      <c r="O177" s="1"/>
      <c r="P177" s="16"/>
    </row>
    <row r="178" spans="1:16" x14ac:dyDescent="0.25">
      <c r="A178" s="13" t="s">
        <v>200</v>
      </c>
      <c r="B178" s="67" t="str">
        <f>VLOOKUP(Yards[[#This Row],[DEVELOPMENT]],Data[],2,FALSE)</f>
        <v>BROOKLYN</v>
      </c>
      <c r="C17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78" s="67">
        <f>VLOOKUP(Yards[[#This Row],[DEVELOPMENT]],Data[],30,FALSE)</f>
        <v>0</v>
      </c>
      <c r="E178" s="67">
        <f>VLOOKUP(Yards[[#This Row],[DEVELOPMENT]],Data[],28,FALSE)</f>
        <v>0</v>
      </c>
      <c r="F178" s="66">
        <f>VLOOKUP(Yards[[#This Row],[DEVELOPMENT]],Data[],8,FALSE)</f>
        <v>0</v>
      </c>
      <c r="G178" s="66">
        <f>VLOOKUP(Yards[[#This Row],[DEVELOPMENT]],Data[],9,FALSE)</f>
        <v>0</v>
      </c>
      <c r="H178" s="66">
        <v>1</v>
      </c>
      <c r="I178" s="67" t="str">
        <f>IFERROR(VLOOKUP(Yards[[#This Row],[DEVELOPMENT]],Data[],4,FALSE),"")</f>
        <v/>
      </c>
      <c r="J178" s="67" t="str">
        <f>IF(Yards[[#This Row],[RAD/PACT]]="","",IF((Yards[[#This Row],[RAD/PACT]]&lt;=2025),"Yes",""))</f>
        <v/>
      </c>
      <c r="K178" s="67" t="str">
        <f ca="1">IF(VLOOKUP(Yards[[#This Row],[DEVELOPMENT]],ExtComp[],8,FALSE)&lt;=5,"new","old")</f>
        <v>old</v>
      </c>
      <c r="L178" s="104">
        <f>IF(Yards[[#This Row],[RAD/PACT by 2025]]="Yes",0,INDEX(UnitCosts[],MATCH(Yards[[#This Row],[WORK TYPE]],UnitCosts[Work Type],0),2))</f>
        <v>1159792.78</v>
      </c>
      <c r="M178" s="1"/>
      <c r="N178" s="1"/>
      <c r="O178" s="1"/>
      <c r="P178" s="16"/>
    </row>
    <row r="179" spans="1:16" x14ac:dyDescent="0.25">
      <c r="A179" s="13" t="s">
        <v>201</v>
      </c>
      <c r="B179" s="67" t="str">
        <f>VLOOKUP(Yards[[#This Row],[DEVELOPMENT]],Data[],2,FALSE)</f>
        <v>BROOKLYN</v>
      </c>
      <c r="C17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79" s="67">
        <f>VLOOKUP(Yards[[#This Row],[DEVELOPMENT]],Data[],30,FALSE)</f>
        <v>0</v>
      </c>
      <c r="E179" s="67">
        <f>VLOOKUP(Yards[[#This Row],[DEVELOPMENT]],Data[],28,FALSE)</f>
        <v>0</v>
      </c>
      <c r="F179" s="66">
        <f>VLOOKUP(Yards[[#This Row],[DEVELOPMENT]],Data[],8,FALSE)</f>
        <v>0</v>
      </c>
      <c r="G179" s="66">
        <f>VLOOKUP(Yards[[#This Row],[DEVELOPMENT]],Data[],9,FALSE)</f>
        <v>0</v>
      </c>
      <c r="H179" s="66"/>
      <c r="I179" s="67" t="str">
        <f>IFERROR(VLOOKUP(Yards[[#This Row],[DEVELOPMENT]],Data[],4,FALSE),"")</f>
        <v/>
      </c>
      <c r="J179" s="67" t="str">
        <f>IF(Yards[[#This Row],[RAD/PACT]]="","",IF((Yards[[#This Row],[RAD/PACT]]&lt;=2025),"Yes",""))</f>
        <v/>
      </c>
      <c r="K179" s="67" t="str">
        <f ca="1">IF(VLOOKUP(Yards[[#This Row],[DEVELOPMENT]],ExtComp[],8,FALSE)&lt;=5,"new","old")</f>
        <v>old</v>
      </c>
      <c r="L179" s="104">
        <f>IF(Yards[[#This Row],[RAD/PACT by 2025]]="Yes",0,INDEX(UnitCosts[],MATCH(Yards[[#This Row],[WORK TYPE]],UnitCosts[Work Type],0),2))</f>
        <v>1159792.78</v>
      </c>
      <c r="M179" s="1"/>
      <c r="N179" s="1"/>
      <c r="O179" s="1"/>
      <c r="P179" s="16"/>
    </row>
    <row r="180" spans="1:16" x14ac:dyDescent="0.25">
      <c r="A180" s="13" t="s">
        <v>202</v>
      </c>
      <c r="B180" s="67" t="str">
        <f>VLOOKUP(Yards[[#This Row],[DEVELOPMENT]],Data[],2,FALSE)</f>
        <v>BROOKLYN</v>
      </c>
      <c r="C18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80" s="67">
        <f>VLOOKUP(Yards[[#This Row],[DEVELOPMENT]],Data[],30,FALSE)</f>
        <v>0</v>
      </c>
      <c r="E180" s="67">
        <f>VLOOKUP(Yards[[#This Row],[DEVELOPMENT]],Data[],28,FALSE)</f>
        <v>0</v>
      </c>
      <c r="F180" s="66">
        <f>VLOOKUP(Yards[[#This Row],[DEVELOPMENT]],Data[],8,FALSE)</f>
        <v>0</v>
      </c>
      <c r="G180" s="66">
        <f>VLOOKUP(Yards[[#This Row],[DEVELOPMENT]],Data[],9,FALSE)</f>
        <v>0</v>
      </c>
      <c r="H180" s="66"/>
      <c r="I180" s="67" t="str">
        <f>IFERROR(VLOOKUP(Yards[[#This Row],[DEVELOPMENT]],Data[],4,FALSE),"")</f>
        <v/>
      </c>
      <c r="J180" s="67" t="str">
        <f>IF(Yards[[#This Row],[RAD/PACT]]="","",IF((Yards[[#This Row],[RAD/PACT]]&lt;=2025),"Yes",""))</f>
        <v/>
      </c>
      <c r="K180" s="67" t="str">
        <f ca="1">IF(VLOOKUP(Yards[[#This Row],[DEVELOPMENT]],ExtComp[],8,FALSE)&lt;=5,"new","old")</f>
        <v>old</v>
      </c>
      <c r="L180" s="104">
        <f>IF(Yards[[#This Row],[RAD/PACT by 2025]]="Yes",0,INDEX(UnitCosts[],MATCH(Yards[[#This Row],[WORK TYPE]],UnitCosts[Work Type],0),2))</f>
        <v>1159792.78</v>
      </c>
      <c r="M180" s="1"/>
      <c r="N180" s="1"/>
      <c r="O180" s="1"/>
      <c r="P180" s="16"/>
    </row>
    <row r="181" spans="1:16" x14ac:dyDescent="0.25">
      <c r="A181" s="13" t="s">
        <v>203</v>
      </c>
      <c r="B181" s="67" t="str">
        <f>VLOOKUP(Yards[[#This Row],[DEVELOPMENT]],Data[],2,FALSE)</f>
        <v>BROOKLYN</v>
      </c>
      <c r="C18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81" s="67">
        <f>VLOOKUP(Yards[[#This Row],[DEVELOPMENT]],Data[],30,FALSE)</f>
        <v>1</v>
      </c>
      <c r="E181" s="67">
        <f>VLOOKUP(Yards[[#This Row],[DEVELOPMENT]],Data[],28,FALSE)</f>
        <v>1</v>
      </c>
      <c r="F181" s="66">
        <f>VLOOKUP(Yards[[#This Row],[DEVELOPMENT]],Data[],8,FALSE)</f>
        <v>0</v>
      </c>
      <c r="G181" s="66">
        <f>VLOOKUP(Yards[[#This Row],[DEVELOPMENT]],Data[],9,FALSE)</f>
        <v>0</v>
      </c>
      <c r="H181" s="66"/>
      <c r="I181" s="67" t="str">
        <f>IFERROR(VLOOKUP(Yards[[#This Row],[DEVELOPMENT]],Data[],4,FALSE),"")</f>
        <v/>
      </c>
      <c r="J181" s="67" t="str">
        <f>IF(Yards[[#This Row],[RAD/PACT]]="","",IF((Yards[[#This Row],[RAD/PACT]]&lt;=2025),"Yes",""))</f>
        <v/>
      </c>
      <c r="K181" s="67" t="str">
        <f ca="1">IF(VLOOKUP(Yards[[#This Row],[DEVELOPMENT]],ExtComp[],8,FALSE)&lt;=5,"new","old")</f>
        <v>old</v>
      </c>
      <c r="L181" s="104">
        <f ca="1">IF(Yards[[#This Row],[RAD/PACT by 2025]]="Yes",0,INDEX(UnitCosts[],MATCH(Yards[[#This Row],[WORK TYPE]],UnitCosts[Work Type],0),2))</f>
        <v>1159792.78</v>
      </c>
      <c r="M181" s="1"/>
      <c r="N181" s="1"/>
      <c r="O181" s="1"/>
      <c r="P181" s="16"/>
    </row>
    <row r="182" spans="1:16" x14ac:dyDescent="0.25">
      <c r="A182" s="13" t="s">
        <v>204</v>
      </c>
      <c r="B182" s="67" t="str">
        <f>VLOOKUP(Yards[[#This Row],[DEVELOPMENT]],Data[],2,FALSE)</f>
        <v>QUEENS</v>
      </c>
      <c r="C182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82" s="67">
        <f>VLOOKUP(Yards[[#This Row],[DEVELOPMENT]],Data[],30,FALSE)</f>
        <v>2</v>
      </c>
      <c r="E182" s="67">
        <f>VLOOKUP(Yards[[#This Row],[DEVELOPMENT]],Data[],28,FALSE)</f>
        <v>0</v>
      </c>
      <c r="F182" s="66">
        <f>VLOOKUP(Yards[[#This Row],[DEVELOPMENT]],Data[],8,FALSE)</f>
        <v>0</v>
      </c>
      <c r="G182" s="66">
        <f>VLOOKUP(Yards[[#This Row],[DEVELOPMENT]],Data[],9,FALSE)</f>
        <v>0</v>
      </c>
      <c r="H182" s="66"/>
      <c r="I182" s="67" t="str">
        <f>IFERROR(VLOOKUP(Yards[[#This Row],[DEVELOPMENT]],Data[],4,FALSE),"")</f>
        <v/>
      </c>
      <c r="J182" s="67" t="str">
        <f>IF(Yards[[#This Row],[RAD/PACT]]="","",IF((Yards[[#This Row],[RAD/PACT]]&lt;=2025),"Yes",""))</f>
        <v/>
      </c>
      <c r="K182" s="67" t="str">
        <f ca="1">IF(VLOOKUP(Yards[[#This Row],[DEVELOPMENT]],ExtComp[],8,FALSE)&lt;=5,"new","old")</f>
        <v>old</v>
      </c>
      <c r="L182" s="104">
        <f ca="1">IF(Yards[[#This Row],[RAD/PACT by 2025]]="Yes",0,INDEX(UnitCosts[],MATCH(Yards[[#This Row],[WORK TYPE]],UnitCosts[Work Type],0),2))</f>
        <v>1591050.0199999998</v>
      </c>
      <c r="M182" s="1"/>
      <c r="N182" s="1"/>
      <c r="O182" s="1"/>
      <c r="P182" s="16"/>
    </row>
    <row r="183" spans="1:16" x14ac:dyDescent="0.25">
      <c r="A183" s="13" t="s">
        <v>205</v>
      </c>
      <c r="B183" s="67" t="str">
        <f>VLOOKUP(Yards[[#This Row],[DEVELOPMENT]],Data[],2,FALSE)</f>
        <v>BROOKLYN</v>
      </c>
      <c r="C18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83" s="67">
        <f>VLOOKUP(Yards[[#This Row],[DEVELOPMENT]],Data[],30,FALSE)</f>
        <v>2</v>
      </c>
      <c r="E183" s="67">
        <f>VLOOKUP(Yards[[#This Row],[DEVELOPMENT]],Data[],28,FALSE)</f>
        <v>0</v>
      </c>
      <c r="F183" s="66">
        <f>VLOOKUP(Yards[[#This Row],[DEVELOPMENT]],Data[],8,FALSE)</f>
        <v>0</v>
      </c>
      <c r="G183" s="66">
        <f>VLOOKUP(Yards[[#This Row],[DEVELOPMENT]],Data[],9,FALSE)</f>
        <v>0</v>
      </c>
      <c r="H183" s="66"/>
      <c r="I183" s="67" t="str">
        <f>IFERROR(VLOOKUP(Yards[[#This Row],[DEVELOPMENT]],Data[],4,FALSE),"")</f>
        <v/>
      </c>
      <c r="J183" s="67" t="str">
        <f>IF(Yards[[#This Row],[RAD/PACT]]="","",IF((Yards[[#This Row],[RAD/PACT]]&lt;=2025),"Yes",""))</f>
        <v/>
      </c>
      <c r="K183" s="67" t="str">
        <f ca="1">IF(VLOOKUP(Yards[[#This Row],[DEVELOPMENT]],ExtComp[],8,FALSE)&lt;=5,"new","old")</f>
        <v>old</v>
      </c>
      <c r="L183" s="104">
        <f ca="1">IF(Yards[[#This Row],[RAD/PACT by 2025]]="Yes",0,INDEX(UnitCosts[],MATCH(Yards[[#This Row],[WORK TYPE]],UnitCosts[Work Type],0),2))</f>
        <v>1591050.0199999998</v>
      </c>
      <c r="M183" s="1"/>
      <c r="N183" s="1"/>
      <c r="O183" s="1"/>
      <c r="P183" s="16"/>
    </row>
    <row r="184" spans="1:16" x14ac:dyDescent="0.25">
      <c r="A184" s="13" t="s">
        <v>207</v>
      </c>
      <c r="B184" s="67" t="str">
        <f>VLOOKUP(Yards[[#This Row],[DEVELOPMENT]],Data[],2,FALSE)</f>
        <v>BROOKLYN</v>
      </c>
      <c r="C18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84" s="67">
        <f>VLOOKUP(Yards[[#This Row],[DEVELOPMENT]],Data[],30,FALSE)</f>
        <v>0</v>
      </c>
      <c r="E184" s="67">
        <f>VLOOKUP(Yards[[#This Row],[DEVELOPMENT]],Data[],28,FALSE)</f>
        <v>0</v>
      </c>
      <c r="F184" s="66">
        <f>VLOOKUP(Yards[[#This Row],[DEVELOPMENT]],Data[],8,FALSE)</f>
        <v>0</v>
      </c>
      <c r="G184" s="66">
        <f>VLOOKUP(Yards[[#This Row],[DEVELOPMENT]],Data[],9,FALSE)</f>
        <v>0</v>
      </c>
      <c r="H184" s="66"/>
      <c r="I184" s="67">
        <f>IFERROR(VLOOKUP(Yards[[#This Row],[DEVELOPMENT]],Data[],4,FALSE),"")</f>
        <v>2023</v>
      </c>
      <c r="J184" s="67" t="str">
        <f>IF(Yards[[#This Row],[RAD/PACT]]="","",IF((Yards[[#This Row],[RAD/PACT]]&lt;=2025),"Yes",""))</f>
        <v>Yes</v>
      </c>
      <c r="K184" s="67" t="str">
        <f ca="1">IF(VLOOKUP(Yards[[#This Row],[DEVELOPMENT]],ExtComp[],8,FALSE)&lt;=5,"new","old")</f>
        <v>old</v>
      </c>
      <c r="L184" s="104">
        <f>IF(Yards[[#This Row],[RAD/PACT by 2025]]="Yes",0,INDEX(UnitCosts[],MATCH(Yards[[#This Row],[WORK TYPE]],UnitCosts[Work Type],0),2))</f>
        <v>0</v>
      </c>
      <c r="M184" s="1"/>
      <c r="N184" s="1"/>
      <c r="O184" s="1"/>
      <c r="P184" s="16"/>
    </row>
    <row r="185" spans="1:16" x14ac:dyDescent="0.25">
      <c r="A185" s="13" t="s">
        <v>208</v>
      </c>
      <c r="B185" s="67" t="str">
        <f>VLOOKUP(Yards[[#This Row],[DEVELOPMENT]],Data[],2,FALSE)</f>
        <v>MANHATTAN</v>
      </c>
      <c r="C18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85" s="67">
        <f>VLOOKUP(Yards[[#This Row],[DEVELOPMENT]],Data[],30,FALSE)</f>
        <v>0</v>
      </c>
      <c r="E185" s="67">
        <f>VLOOKUP(Yards[[#This Row],[DEVELOPMENT]],Data[],28,FALSE)</f>
        <v>0</v>
      </c>
      <c r="F185" s="66">
        <f>VLOOKUP(Yards[[#This Row],[DEVELOPMENT]],Data[],8,FALSE)</f>
        <v>0</v>
      </c>
      <c r="G185" s="66">
        <f>VLOOKUP(Yards[[#This Row],[DEVELOPMENT]],Data[],9,FALSE)</f>
        <v>0</v>
      </c>
      <c r="H185" s="66"/>
      <c r="I185" s="67" t="str">
        <f>IFERROR(VLOOKUP(Yards[[#This Row],[DEVELOPMENT]],Data[],4,FALSE),"")</f>
        <v/>
      </c>
      <c r="J185" s="67" t="str">
        <f>IF(Yards[[#This Row],[RAD/PACT]]="","",IF((Yards[[#This Row],[RAD/PACT]]&lt;=2025),"Yes",""))</f>
        <v/>
      </c>
      <c r="K185" s="67" t="str">
        <f ca="1">IF(VLOOKUP(Yards[[#This Row],[DEVELOPMENT]],ExtComp[],8,FALSE)&lt;=5,"new","old")</f>
        <v>old</v>
      </c>
      <c r="L185" s="104">
        <f>IF(Yards[[#This Row],[RAD/PACT by 2025]]="Yes",0,INDEX(UnitCosts[],MATCH(Yards[[#This Row],[WORK TYPE]],UnitCosts[Work Type],0),2))</f>
        <v>1159792.78</v>
      </c>
      <c r="M185" s="1"/>
      <c r="N185" s="1"/>
      <c r="O185" s="1"/>
      <c r="P185" s="16"/>
    </row>
    <row r="186" spans="1:16" x14ac:dyDescent="0.25">
      <c r="A186" s="13" t="s">
        <v>385</v>
      </c>
      <c r="B186" s="67" t="str">
        <f>VLOOKUP(Yards[[#This Row],[DEVELOPMENT]],Data[],2,FALSE)</f>
        <v>MANHATTAN</v>
      </c>
      <c r="C18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86" s="67">
        <f>VLOOKUP(Yards[[#This Row],[DEVELOPMENT]],Data[],30,FALSE)</f>
        <v>0</v>
      </c>
      <c r="E186" s="67">
        <f>VLOOKUP(Yards[[#This Row],[DEVELOPMENT]],Data[],28,FALSE)</f>
        <v>0</v>
      </c>
      <c r="F186" s="66">
        <f>VLOOKUP(Yards[[#This Row],[DEVELOPMENT]],Data[],8,FALSE)</f>
        <v>0</v>
      </c>
      <c r="G186" s="66">
        <f>VLOOKUP(Yards[[#This Row],[DEVELOPMENT]],Data[],9,FALSE)</f>
        <v>0</v>
      </c>
      <c r="H186" s="66"/>
      <c r="I186" s="67" t="str">
        <f>IFERROR(VLOOKUP(Yards[[#This Row],[DEVELOPMENT]],Data[],4,FALSE),"")</f>
        <v/>
      </c>
      <c r="J186" s="67" t="str">
        <f>IF(Yards[[#This Row],[RAD/PACT]]="","",IF((Yards[[#This Row],[RAD/PACT]]&lt;=2025),"Yes",""))</f>
        <v/>
      </c>
      <c r="K186" s="67" t="str">
        <f ca="1">IF(VLOOKUP(Yards[[#This Row],[DEVELOPMENT]],ExtComp[],8,FALSE)&lt;=5,"new","old")</f>
        <v>old</v>
      </c>
      <c r="L186" s="104">
        <f>IF(Yards[[#This Row],[RAD/PACT by 2025]]="Yes",0,INDEX(UnitCosts[],MATCH(Yards[[#This Row],[WORK TYPE]],UnitCosts[Work Type],0),2))</f>
        <v>1159792.78</v>
      </c>
      <c r="M186" s="1"/>
      <c r="N186" s="1"/>
      <c r="O186" s="1"/>
      <c r="P186" s="16"/>
    </row>
    <row r="187" spans="1:16" x14ac:dyDescent="0.25">
      <c r="A187" s="13" t="s">
        <v>209</v>
      </c>
      <c r="B187" s="67" t="str">
        <f>VLOOKUP(Yards[[#This Row],[DEVELOPMENT]],Data[],2,FALSE)</f>
        <v>MANHATTAN</v>
      </c>
      <c r="C18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87" s="67">
        <f>VLOOKUP(Yards[[#This Row],[DEVELOPMENT]],Data[],30,FALSE)</f>
        <v>0</v>
      </c>
      <c r="E187" s="67">
        <f>VLOOKUP(Yards[[#This Row],[DEVELOPMENT]],Data[],28,FALSE)</f>
        <v>0</v>
      </c>
      <c r="F187" s="66">
        <f>VLOOKUP(Yards[[#This Row],[DEVELOPMENT]],Data[],8,FALSE)</f>
        <v>0</v>
      </c>
      <c r="G187" s="66">
        <f>VLOOKUP(Yards[[#This Row],[DEVELOPMENT]],Data[],9,FALSE)</f>
        <v>0</v>
      </c>
      <c r="H187" s="66"/>
      <c r="I187" s="67" t="str">
        <f>IFERROR(VLOOKUP(Yards[[#This Row],[DEVELOPMENT]],Data[],4,FALSE),"")</f>
        <v/>
      </c>
      <c r="J187" s="67" t="str">
        <f>IF(Yards[[#This Row],[RAD/PACT]]="","",IF((Yards[[#This Row],[RAD/PACT]]&lt;=2025),"Yes",""))</f>
        <v/>
      </c>
      <c r="K187" s="67" t="str">
        <f ca="1">IF(VLOOKUP(Yards[[#This Row],[DEVELOPMENT]],ExtComp[],8,FALSE)&lt;=5,"new","old")</f>
        <v>old</v>
      </c>
      <c r="L187" s="104">
        <f>IF(Yards[[#This Row],[RAD/PACT by 2025]]="Yes",0,INDEX(UnitCosts[],MATCH(Yards[[#This Row],[WORK TYPE]],UnitCosts[Work Type],0),2))</f>
        <v>1159792.78</v>
      </c>
      <c r="M187" s="1"/>
      <c r="N187" s="1"/>
      <c r="O187" s="1"/>
      <c r="P187" s="16"/>
    </row>
    <row r="188" spans="1:16" x14ac:dyDescent="0.25">
      <c r="A188" s="13" t="s">
        <v>210</v>
      </c>
      <c r="B188" s="67" t="str">
        <f>VLOOKUP(Yards[[#This Row],[DEVELOPMENT]],Data[],2,FALSE)</f>
        <v>BRONX</v>
      </c>
      <c r="C18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88" s="67">
        <f>VLOOKUP(Yards[[#This Row],[DEVELOPMENT]],Data[],30,FALSE)</f>
        <v>0</v>
      </c>
      <c r="E188" s="67">
        <f>VLOOKUP(Yards[[#This Row],[DEVELOPMENT]],Data[],28,FALSE)</f>
        <v>0</v>
      </c>
      <c r="F188" s="66">
        <f>VLOOKUP(Yards[[#This Row],[DEVELOPMENT]],Data[],8,FALSE)</f>
        <v>0</v>
      </c>
      <c r="G188" s="66">
        <f>VLOOKUP(Yards[[#This Row],[DEVELOPMENT]],Data[],9,FALSE)</f>
        <v>0</v>
      </c>
      <c r="H188" s="66"/>
      <c r="I188" s="67" t="str">
        <f>IFERROR(VLOOKUP(Yards[[#This Row],[DEVELOPMENT]],Data[],4,FALSE),"")</f>
        <v/>
      </c>
      <c r="J188" s="67" t="str">
        <f>IF(Yards[[#This Row],[RAD/PACT]]="","",IF((Yards[[#This Row],[RAD/PACT]]&lt;=2025),"Yes",""))</f>
        <v/>
      </c>
      <c r="K188" s="67" t="str">
        <f ca="1">IF(VLOOKUP(Yards[[#This Row],[DEVELOPMENT]],ExtComp[],8,FALSE)&lt;=5,"new","old")</f>
        <v>old</v>
      </c>
      <c r="L188" s="104">
        <f>IF(Yards[[#This Row],[RAD/PACT by 2025]]="Yes",0,INDEX(UnitCosts[],MATCH(Yards[[#This Row],[WORK TYPE]],UnitCosts[Work Type],0),2))</f>
        <v>1159792.78</v>
      </c>
      <c r="M188" s="1"/>
      <c r="N188" s="1"/>
      <c r="O188" s="1"/>
      <c r="P188" s="16"/>
    </row>
    <row r="189" spans="1:16" x14ac:dyDescent="0.25">
      <c r="A189" s="13" t="s">
        <v>211</v>
      </c>
      <c r="B189" s="67" t="str">
        <f>VLOOKUP(Yards[[#This Row],[DEVELOPMENT]],Data[],2,FALSE)</f>
        <v>BRONX</v>
      </c>
      <c r="C18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89" s="67">
        <f>VLOOKUP(Yards[[#This Row],[DEVELOPMENT]],Data[],30,FALSE)</f>
        <v>1</v>
      </c>
      <c r="E189" s="67">
        <f>VLOOKUP(Yards[[#This Row],[DEVELOPMENT]],Data[],28,FALSE)</f>
        <v>0</v>
      </c>
      <c r="F189" s="66">
        <f>VLOOKUP(Yards[[#This Row],[DEVELOPMENT]],Data[],8,FALSE)</f>
        <v>0</v>
      </c>
      <c r="G189" s="66">
        <f>VLOOKUP(Yards[[#This Row],[DEVELOPMENT]],Data[],9,FALSE)</f>
        <v>0</v>
      </c>
      <c r="H189" s="66"/>
      <c r="I189" s="67">
        <f>IFERROR(VLOOKUP(Yards[[#This Row],[DEVELOPMENT]],Data[],4,FALSE),"")</f>
        <v>2023</v>
      </c>
      <c r="J189" s="67" t="str">
        <f>IF(Yards[[#This Row],[RAD/PACT]]="","",IF((Yards[[#This Row],[RAD/PACT]]&lt;=2025),"Yes",""))</f>
        <v>Yes</v>
      </c>
      <c r="K189" s="67" t="str">
        <f ca="1">IF(VLOOKUP(Yards[[#This Row],[DEVELOPMENT]],ExtComp[],8,FALSE)&lt;=5,"new","old")</f>
        <v>old</v>
      </c>
      <c r="L189" s="104">
        <f>IF(Yards[[#This Row],[RAD/PACT by 2025]]="Yes",0,INDEX(UnitCosts[],MATCH(Yards[[#This Row],[WORK TYPE]],UnitCosts[Work Type],0),2))</f>
        <v>0</v>
      </c>
      <c r="M189" s="1"/>
      <c r="N189" s="1"/>
      <c r="O189" s="1"/>
      <c r="P189" s="16"/>
    </row>
    <row r="190" spans="1:16" x14ac:dyDescent="0.25">
      <c r="A190" s="13" t="s">
        <v>214</v>
      </c>
      <c r="B190" s="67" t="str">
        <f>VLOOKUP(Yards[[#This Row],[DEVELOPMENT]],Data[],2,FALSE)</f>
        <v>BROOKLYN</v>
      </c>
      <c r="C19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0" s="67">
        <f>VLOOKUP(Yards[[#This Row],[DEVELOPMENT]],Data[],30,FALSE)</f>
        <v>0</v>
      </c>
      <c r="E190" s="67">
        <f>VLOOKUP(Yards[[#This Row],[DEVELOPMENT]],Data[],28,FALSE)</f>
        <v>0</v>
      </c>
      <c r="F190" s="66">
        <f>VLOOKUP(Yards[[#This Row],[DEVELOPMENT]],Data[],8,FALSE)</f>
        <v>0</v>
      </c>
      <c r="G190" s="66">
        <f>VLOOKUP(Yards[[#This Row],[DEVELOPMENT]],Data[],9,FALSE)</f>
        <v>0</v>
      </c>
      <c r="H190" s="66"/>
      <c r="I190" s="67">
        <f>IFERROR(VLOOKUP(Yards[[#This Row],[DEVELOPMENT]],Data[],4,FALSE),"")</f>
        <v>2023</v>
      </c>
      <c r="J190" s="67" t="str">
        <f>IF(Yards[[#This Row],[RAD/PACT]]="","",IF((Yards[[#This Row],[RAD/PACT]]&lt;=2025),"Yes",""))</f>
        <v>Yes</v>
      </c>
      <c r="K190" s="67" t="str">
        <f ca="1">IF(VLOOKUP(Yards[[#This Row],[DEVELOPMENT]],ExtComp[],8,FALSE)&lt;=5,"new","old")</f>
        <v>old</v>
      </c>
      <c r="L190" s="104">
        <f>IF(Yards[[#This Row],[RAD/PACT by 2025]]="Yes",0,INDEX(UnitCosts[],MATCH(Yards[[#This Row],[WORK TYPE]],UnitCosts[Work Type],0),2))</f>
        <v>0</v>
      </c>
      <c r="M190" s="1"/>
      <c r="N190" s="1"/>
      <c r="O190" s="1"/>
      <c r="P190" s="16"/>
    </row>
    <row r="191" spans="1:16" x14ac:dyDescent="0.25">
      <c r="A191" s="13" t="s">
        <v>215</v>
      </c>
      <c r="B191" s="67" t="str">
        <f>VLOOKUP(Yards[[#This Row],[DEVELOPMENT]],Data[],2,FALSE)</f>
        <v>BRONX</v>
      </c>
      <c r="C19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191" s="67">
        <f>VLOOKUP(Yards[[#This Row],[DEVELOPMENT]],Data[],30,FALSE)</f>
        <v>2</v>
      </c>
      <c r="E191" s="67">
        <f>VLOOKUP(Yards[[#This Row],[DEVELOPMENT]],Data[],28,FALSE)</f>
        <v>0</v>
      </c>
      <c r="F191" s="66">
        <f>VLOOKUP(Yards[[#This Row],[DEVELOPMENT]],Data[],8,FALSE)</f>
        <v>0</v>
      </c>
      <c r="G191" s="66">
        <f>VLOOKUP(Yards[[#This Row],[DEVELOPMENT]],Data[],9,FALSE)</f>
        <v>0</v>
      </c>
      <c r="H191" s="66"/>
      <c r="I191" s="67">
        <f>IFERROR(VLOOKUP(Yards[[#This Row],[DEVELOPMENT]],Data[],4,FALSE),"")</f>
        <v>2026</v>
      </c>
      <c r="J191" s="67" t="str">
        <f>IF(Yards[[#This Row],[RAD/PACT]]="","",IF((Yards[[#This Row],[RAD/PACT]]&lt;=2025),"Yes",""))</f>
        <v/>
      </c>
      <c r="K191" s="67" t="str">
        <f ca="1">IF(VLOOKUP(Yards[[#This Row],[DEVELOPMENT]],ExtComp[],8,FALSE)&lt;=5,"new","old")</f>
        <v>old</v>
      </c>
      <c r="L191" s="104">
        <f ca="1">IF(Yards[[#This Row],[RAD/PACT by 2025]]="Yes",0,INDEX(UnitCosts[],MATCH(Yards[[#This Row],[WORK TYPE]],UnitCosts[Work Type],0),2))</f>
        <v>1591050.0199999998</v>
      </c>
      <c r="M191" s="1"/>
      <c r="N191" s="1"/>
      <c r="O191" s="1"/>
      <c r="P191" s="16"/>
    </row>
    <row r="192" spans="1:16" x14ac:dyDescent="0.25">
      <c r="A192" s="13" t="s">
        <v>216</v>
      </c>
      <c r="B192" s="67" t="str">
        <f>VLOOKUP(Yards[[#This Row],[DEVELOPMENT]],Data[],2,FALSE)</f>
        <v>BRONX</v>
      </c>
      <c r="C19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2" s="67">
        <f>VLOOKUP(Yards[[#This Row],[DEVELOPMENT]],Data[],30,FALSE)</f>
        <v>0</v>
      </c>
      <c r="E192" s="67">
        <f>VLOOKUP(Yards[[#This Row],[DEVELOPMENT]],Data[],28,FALSE)</f>
        <v>0</v>
      </c>
      <c r="F192" s="66">
        <f>VLOOKUP(Yards[[#This Row],[DEVELOPMENT]],Data[],8,FALSE)</f>
        <v>0</v>
      </c>
      <c r="G192" s="66">
        <f>VLOOKUP(Yards[[#This Row],[DEVELOPMENT]],Data[],9,FALSE)</f>
        <v>0</v>
      </c>
      <c r="H192" s="66"/>
      <c r="I192" s="67">
        <f>IFERROR(VLOOKUP(Yards[[#This Row],[DEVELOPMENT]],Data[],4,FALSE),"")</f>
        <v>2022</v>
      </c>
      <c r="J192" s="67" t="str">
        <f>IF(Yards[[#This Row],[RAD/PACT]]="","",IF((Yards[[#This Row],[RAD/PACT]]&lt;=2025),"Yes",""))</f>
        <v>Yes</v>
      </c>
      <c r="K192" s="67" t="str">
        <f ca="1">IF(VLOOKUP(Yards[[#This Row],[DEVELOPMENT]],ExtComp[],8,FALSE)&lt;=5,"new","old")</f>
        <v>old</v>
      </c>
      <c r="L192" s="104">
        <f>IF(Yards[[#This Row],[RAD/PACT by 2025]]="Yes",0,INDEX(UnitCosts[],MATCH(Yards[[#This Row],[WORK TYPE]],UnitCosts[Work Type],0),2))</f>
        <v>0</v>
      </c>
      <c r="M192" s="1"/>
      <c r="N192" s="1"/>
      <c r="O192" s="1"/>
      <c r="P192" s="16"/>
    </row>
    <row r="193" spans="1:16" x14ac:dyDescent="0.25">
      <c r="A193" s="13" t="s">
        <v>217</v>
      </c>
      <c r="B193" s="67" t="str">
        <f>VLOOKUP(Yards[[#This Row],[DEVELOPMENT]],Data[],2,FALSE)</f>
        <v>MANHATTAN</v>
      </c>
      <c r="C19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3" s="67">
        <f>VLOOKUP(Yards[[#This Row],[DEVELOPMENT]],Data[],30,FALSE)</f>
        <v>0</v>
      </c>
      <c r="E193" s="67">
        <f>VLOOKUP(Yards[[#This Row],[DEVELOPMENT]],Data[],28,FALSE)</f>
        <v>0</v>
      </c>
      <c r="F193" s="66">
        <f>VLOOKUP(Yards[[#This Row],[DEVELOPMENT]],Data[],8,FALSE)</f>
        <v>0</v>
      </c>
      <c r="G193" s="66">
        <f>VLOOKUP(Yards[[#This Row],[DEVELOPMENT]],Data[],9,FALSE)</f>
        <v>0</v>
      </c>
      <c r="H193" s="66"/>
      <c r="I193" s="67" t="str">
        <f>IFERROR(VLOOKUP(Yards[[#This Row],[DEVELOPMENT]],Data[],4,FALSE),"")</f>
        <v/>
      </c>
      <c r="J193" s="67" t="str">
        <f>IF(Yards[[#This Row],[RAD/PACT]]="","",IF((Yards[[#This Row],[RAD/PACT]]&lt;=2025),"Yes",""))</f>
        <v/>
      </c>
      <c r="K193" s="67" t="str">
        <f ca="1">IF(VLOOKUP(Yards[[#This Row],[DEVELOPMENT]],ExtComp[],8,FALSE)&lt;=5,"new","old")</f>
        <v>old</v>
      </c>
      <c r="L193" s="104">
        <f>IF(Yards[[#This Row],[RAD/PACT by 2025]]="Yes",0,INDEX(UnitCosts[],MATCH(Yards[[#This Row],[WORK TYPE]],UnitCosts[Work Type],0),2))</f>
        <v>1159792.78</v>
      </c>
      <c r="M193" s="1"/>
      <c r="N193" s="1"/>
      <c r="O193" s="1"/>
      <c r="P193" s="16"/>
    </row>
    <row r="194" spans="1:16" x14ac:dyDescent="0.25">
      <c r="A194" s="13" t="s">
        <v>218</v>
      </c>
      <c r="B194" s="67" t="str">
        <f>VLOOKUP(Yards[[#This Row],[DEVELOPMENT]],Data[],2,FALSE)</f>
        <v>BROOKLYN</v>
      </c>
      <c r="C194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4" s="67">
        <f>VLOOKUP(Yards[[#This Row],[DEVELOPMENT]],Data[],30,FALSE)</f>
        <v>1</v>
      </c>
      <c r="E194" s="67">
        <f>VLOOKUP(Yards[[#This Row],[DEVELOPMENT]],Data[],28,FALSE)</f>
        <v>0</v>
      </c>
      <c r="F194" s="66">
        <f>VLOOKUP(Yards[[#This Row],[DEVELOPMENT]],Data[],8,FALSE)</f>
        <v>0</v>
      </c>
      <c r="G194" s="66">
        <f>VLOOKUP(Yards[[#This Row],[DEVELOPMENT]],Data[],9,FALSE)</f>
        <v>0</v>
      </c>
      <c r="H194" s="66"/>
      <c r="I194" s="67">
        <f>IFERROR(VLOOKUP(Yards[[#This Row],[DEVELOPMENT]],Data[],4,FALSE),"")</f>
        <v>2027</v>
      </c>
      <c r="J194" s="67" t="str">
        <f>IF(Yards[[#This Row],[RAD/PACT]]="","",IF((Yards[[#This Row],[RAD/PACT]]&lt;=2025),"Yes",""))</f>
        <v/>
      </c>
      <c r="K194" s="67" t="str">
        <f ca="1">IF(VLOOKUP(Yards[[#This Row],[DEVELOPMENT]],ExtComp[],8,FALSE)&lt;=5,"new","old")</f>
        <v>old</v>
      </c>
      <c r="L194" s="104">
        <f ca="1">IF(Yards[[#This Row],[RAD/PACT by 2025]]="Yes",0,INDEX(UnitCosts[],MATCH(Yards[[#This Row],[WORK TYPE]],UnitCosts[Work Type],0),2))</f>
        <v>1159792.78</v>
      </c>
      <c r="M194" s="1"/>
      <c r="N194" s="1"/>
      <c r="O194" s="1"/>
      <c r="P194" s="16"/>
    </row>
    <row r="195" spans="1:16" x14ac:dyDescent="0.25">
      <c r="A195" s="13" t="s">
        <v>219</v>
      </c>
      <c r="B195" s="67" t="str">
        <f>VLOOKUP(Yards[[#This Row],[DEVELOPMENT]],Data[],2,FALSE)</f>
        <v>BROOKLYN</v>
      </c>
      <c r="C19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5" s="67">
        <f>VLOOKUP(Yards[[#This Row],[DEVELOPMENT]],Data[],30,FALSE)</f>
        <v>0</v>
      </c>
      <c r="E195" s="67">
        <f>VLOOKUP(Yards[[#This Row],[DEVELOPMENT]],Data[],28,FALSE)</f>
        <v>0</v>
      </c>
      <c r="F195" s="66">
        <f>VLOOKUP(Yards[[#This Row],[DEVELOPMENT]],Data[],8,FALSE)</f>
        <v>0</v>
      </c>
      <c r="G195" s="66">
        <f>VLOOKUP(Yards[[#This Row],[DEVELOPMENT]],Data[],9,FALSE)</f>
        <v>0</v>
      </c>
      <c r="H195" s="66"/>
      <c r="I195" s="67">
        <f>IFERROR(VLOOKUP(Yards[[#This Row],[DEVELOPMENT]],Data[],4,FALSE),"")</f>
        <v>2021</v>
      </c>
      <c r="J195" s="67" t="str">
        <f>IF(Yards[[#This Row],[RAD/PACT]]="","",IF((Yards[[#This Row],[RAD/PACT]]&lt;=2025),"Yes",""))</f>
        <v>Yes</v>
      </c>
      <c r="K195" s="67" t="str">
        <f ca="1">IF(VLOOKUP(Yards[[#This Row],[DEVELOPMENT]],ExtComp[],8,FALSE)&lt;=5,"new","old")</f>
        <v>old</v>
      </c>
      <c r="L195" s="104">
        <f>IF(Yards[[#This Row],[RAD/PACT by 2025]]="Yes",0,INDEX(UnitCosts[],MATCH(Yards[[#This Row],[WORK TYPE]],UnitCosts[Work Type],0),2))</f>
        <v>0</v>
      </c>
      <c r="M195" s="1"/>
      <c r="N195" s="1"/>
      <c r="O195" s="1"/>
      <c r="P195" s="16"/>
    </row>
    <row r="196" spans="1:16" x14ac:dyDescent="0.25">
      <c r="A196" s="13" t="s">
        <v>220</v>
      </c>
      <c r="B196" s="67">
        <f>VLOOKUP(Yards[[#This Row],[DEVELOPMENT]],Data[],2,FALSE)</f>
        <v>0</v>
      </c>
      <c r="C19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6" s="67">
        <f>VLOOKUP(Yards[[#This Row],[DEVELOPMENT]],Data[],30,FALSE)</f>
        <v>0</v>
      </c>
      <c r="E196" s="67">
        <f>VLOOKUP(Yards[[#This Row],[DEVELOPMENT]],Data[],28,FALSE)</f>
        <v>0</v>
      </c>
      <c r="F196" s="66">
        <f>VLOOKUP(Yards[[#This Row],[DEVELOPMENT]],Data[],8,FALSE)</f>
        <v>0</v>
      </c>
      <c r="G196" s="66">
        <f>VLOOKUP(Yards[[#This Row],[DEVELOPMENT]],Data[],9,FALSE)</f>
        <v>0</v>
      </c>
      <c r="H196" s="66"/>
      <c r="I196" s="67" t="str">
        <f>IFERROR(VLOOKUP(Yards[[#This Row],[DEVELOPMENT]],Data[],4,FALSE),"")</f>
        <v/>
      </c>
      <c r="J196" s="67" t="str">
        <f>IF(Yards[[#This Row],[RAD/PACT]]="","",IF((Yards[[#This Row],[RAD/PACT]]&lt;=2025),"Yes",""))</f>
        <v/>
      </c>
      <c r="K196" s="67" t="str">
        <f ca="1">IF(VLOOKUP(Yards[[#This Row],[DEVELOPMENT]],ExtComp[],8,FALSE)&lt;=5,"new","old")</f>
        <v>old</v>
      </c>
      <c r="L196" s="104"/>
      <c r="M196" s="1"/>
      <c r="N196" s="1"/>
      <c r="O196" s="1"/>
      <c r="P196" s="16" t="s">
        <v>395</v>
      </c>
    </row>
    <row r="197" spans="1:16" x14ac:dyDescent="0.25">
      <c r="A197" s="13" t="s">
        <v>221</v>
      </c>
      <c r="B197" s="67">
        <f>VLOOKUP(Yards[[#This Row],[DEVELOPMENT]],Data[],2,FALSE)</f>
        <v>0</v>
      </c>
      <c r="C19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7" s="67">
        <f>VLOOKUP(Yards[[#This Row],[DEVELOPMENT]],Data[],30,FALSE)</f>
        <v>0</v>
      </c>
      <c r="E197" s="67">
        <f>VLOOKUP(Yards[[#This Row],[DEVELOPMENT]],Data[],28,FALSE)</f>
        <v>0</v>
      </c>
      <c r="F197" s="66">
        <f>VLOOKUP(Yards[[#This Row],[DEVELOPMENT]],Data[],8,FALSE)</f>
        <v>0</v>
      </c>
      <c r="G197" s="66">
        <f>VLOOKUP(Yards[[#This Row],[DEVELOPMENT]],Data[],9,FALSE)</f>
        <v>0</v>
      </c>
      <c r="H197" s="66"/>
      <c r="I197" s="67" t="str">
        <f>IFERROR(VLOOKUP(Yards[[#This Row],[DEVELOPMENT]],Data[],4,FALSE),"")</f>
        <v/>
      </c>
      <c r="J197" s="67" t="str">
        <f>IF(Yards[[#This Row],[RAD/PACT]]="","",IF((Yards[[#This Row],[RAD/PACT]]&lt;=2025),"Yes",""))</f>
        <v/>
      </c>
      <c r="K197" s="67" t="str">
        <f ca="1">IF(VLOOKUP(Yards[[#This Row],[DEVELOPMENT]],ExtComp[],8,FALSE)&lt;=5,"new","old")</f>
        <v>old</v>
      </c>
      <c r="L197" s="104"/>
      <c r="M197" s="1"/>
      <c r="N197" s="1"/>
      <c r="O197" s="1"/>
      <c r="P197" s="16" t="s">
        <v>395</v>
      </c>
    </row>
    <row r="198" spans="1:16" x14ac:dyDescent="0.25">
      <c r="A198" s="13" t="s">
        <v>222</v>
      </c>
      <c r="B198" s="67">
        <f>VLOOKUP(Yards[[#This Row],[DEVELOPMENT]],Data[],2,FALSE)</f>
        <v>0</v>
      </c>
      <c r="C19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8" s="67">
        <f>VLOOKUP(Yards[[#This Row],[DEVELOPMENT]],Data[],30,FALSE)</f>
        <v>0</v>
      </c>
      <c r="E198" s="67">
        <f>VLOOKUP(Yards[[#This Row],[DEVELOPMENT]],Data[],28,FALSE)</f>
        <v>0</v>
      </c>
      <c r="F198" s="66">
        <f>VLOOKUP(Yards[[#This Row],[DEVELOPMENT]],Data[],8,FALSE)</f>
        <v>0</v>
      </c>
      <c r="G198" s="66">
        <f>VLOOKUP(Yards[[#This Row],[DEVELOPMENT]],Data[],9,FALSE)</f>
        <v>0</v>
      </c>
      <c r="H198" s="66"/>
      <c r="I198" s="67" t="str">
        <f>IFERROR(VLOOKUP(Yards[[#This Row],[DEVELOPMENT]],Data[],4,FALSE),"")</f>
        <v/>
      </c>
      <c r="J198" s="67" t="str">
        <f>IF(Yards[[#This Row],[RAD/PACT]]="","",IF((Yards[[#This Row],[RAD/PACT]]&lt;=2025),"Yes",""))</f>
        <v/>
      </c>
      <c r="K198" s="67" t="str">
        <f ca="1">IF(VLOOKUP(Yards[[#This Row],[DEVELOPMENT]],ExtComp[],8,FALSE)&lt;=5,"new","old")</f>
        <v>old</v>
      </c>
      <c r="L198" s="104"/>
      <c r="M198" s="1"/>
      <c r="N198" s="1"/>
      <c r="O198" s="1"/>
      <c r="P198" s="16" t="s">
        <v>395</v>
      </c>
    </row>
    <row r="199" spans="1:16" x14ac:dyDescent="0.25">
      <c r="A199" s="13" t="s">
        <v>223</v>
      </c>
      <c r="B199" s="67">
        <f>VLOOKUP(Yards[[#This Row],[DEVELOPMENT]],Data[],2,FALSE)</f>
        <v>0</v>
      </c>
      <c r="C19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199" s="67">
        <f>VLOOKUP(Yards[[#This Row],[DEVELOPMENT]],Data[],30,FALSE)</f>
        <v>0</v>
      </c>
      <c r="E199" s="67">
        <f>VLOOKUP(Yards[[#This Row],[DEVELOPMENT]],Data[],28,FALSE)</f>
        <v>0</v>
      </c>
      <c r="F199" s="66">
        <f>VLOOKUP(Yards[[#This Row],[DEVELOPMENT]],Data[],8,FALSE)</f>
        <v>0</v>
      </c>
      <c r="G199" s="66">
        <f>VLOOKUP(Yards[[#This Row],[DEVELOPMENT]],Data[],9,FALSE)</f>
        <v>0</v>
      </c>
      <c r="H199" s="66"/>
      <c r="I199" s="67" t="str">
        <f>IFERROR(VLOOKUP(Yards[[#This Row],[DEVELOPMENT]],Data[],4,FALSE),"")</f>
        <v/>
      </c>
      <c r="J199" s="67" t="str">
        <f>IF(Yards[[#This Row],[RAD/PACT]]="","",IF((Yards[[#This Row],[RAD/PACT]]&lt;=2025),"Yes",""))</f>
        <v/>
      </c>
      <c r="K199" s="67" t="str">
        <f ca="1">IF(VLOOKUP(Yards[[#This Row],[DEVELOPMENT]],ExtComp[],8,FALSE)&lt;=5,"new","old")</f>
        <v>old</v>
      </c>
      <c r="L199" s="104"/>
      <c r="M199" s="1"/>
      <c r="N199" s="1"/>
      <c r="O199" s="1"/>
      <c r="P199" s="16" t="s">
        <v>395</v>
      </c>
    </row>
    <row r="200" spans="1:16" x14ac:dyDescent="0.25">
      <c r="A200" s="13" t="s">
        <v>225</v>
      </c>
      <c r="B200" s="67">
        <f>VLOOKUP(Yards[[#This Row],[DEVELOPMENT]],Data[],2,FALSE)</f>
        <v>0</v>
      </c>
      <c r="C20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0" s="67">
        <f>VLOOKUP(Yards[[#This Row],[DEVELOPMENT]],Data[],30,FALSE)</f>
        <v>0</v>
      </c>
      <c r="E200" s="67">
        <f>VLOOKUP(Yards[[#This Row],[DEVELOPMENT]],Data[],28,FALSE)</f>
        <v>0</v>
      </c>
      <c r="F200" s="66">
        <f>VLOOKUP(Yards[[#This Row],[DEVELOPMENT]],Data[],8,FALSE)</f>
        <v>0</v>
      </c>
      <c r="G200" s="66">
        <f>VLOOKUP(Yards[[#This Row],[DEVELOPMENT]],Data[],9,FALSE)</f>
        <v>0</v>
      </c>
      <c r="H200" s="66"/>
      <c r="I200" s="67" t="str">
        <f>IFERROR(VLOOKUP(Yards[[#This Row],[DEVELOPMENT]],Data[],4,FALSE),"")</f>
        <v/>
      </c>
      <c r="J200" s="67" t="str">
        <f>IF(Yards[[#This Row],[RAD/PACT]]="","",IF((Yards[[#This Row],[RAD/PACT]]&lt;=2025),"Yes",""))</f>
        <v/>
      </c>
      <c r="K200" s="67" t="str">
        <f ca="1">IF(VLOOKUP(Yards[[#This Row],[DEVELOPMENT]],ExtComp[],8,FALSE)&lt;=5,"new","old")</f>
        <v>old</v>
      </c>
      <c r="L200" s="104"/>
      <c r="M200" s="1"/>
      <c r="N200" s="1"/>
      <c r="O200" s="1"/>
      <c r="P200" s="16" t="s">
        <v>395</v>
      </c>
    </row>
    <row r="201" spans="1:16" x14ac:dyDescent="0.25">
      <c r="A201" s="13" t="s">
        <v>226</v>
      </c>
      <c r="B201" s="67">
        <f>VLOOKUP(Yards[[#This Row],[DEVELOPMENT]],Data[],2,FALSE)</f>
        <v>0</v>
      </c>
      <c r="C20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1" s="67">
        <f>VLOOKUP(Yards[[#This Row],[DEVELOPMENT]],Data[],30,FALSE)</f>
        <v>0</v>
      </c>
      <c r="E201" s="67">
        <f>VLOOKUP(Yards[[#This Row],[DEVELOPMENT]],Data[],28,FALSE)</f>
        <v>0</v>
      </c>
      <c r="F201" s="66">
        <f>VLOOKUP(Yards[[#This Row],[DEVELOPMENT]],Data[],8,FALSE)</f>
        <v>0</v>
      </c>
      <c r="G201" s="66">
        <f>VLOOKUP(Yards[[#This Row],[DEVELOPMENT]],Data[],9,FALSE)</f>
        <v>0</v>
      </c>
      <c r="H201" s="66"/>
      <c r="I201" s="67" t="str">
        <f>IFERROR(VLOOKUP(Yards[[#This Row],[DEVELOPMENT]],Data[],4,FALSE),"")</f>
        <v/>
      </c>
      <c r="J201" s="67" t="str">
        <f>IF(Yards[[#This Row],[RAD/PACT]]="","",IF((Yards[[#This Row],[RAD/PACT]]&lt;=2025),"Yes",""))</f>
        <v/>
      </c>
      <c r="K201" s="67" t="str">
        <f ca="1">IF(VLOOKUP(Yards[[#This Row],[DEVELOPMENT]],ExtComp[],8,FALSE)&lt;=5,"new","old")</f>
        <v>old</v>
      </c>
      <c r="L201" s="104"/>
      <c r="M201" s="1"/>
      <c r="N201" s="1"/>
      <c r="O201" s="1"/>
      <c r="P201" s="16" t="s">
        <v>395</v>
      </c>
    </row>
    <row r="202" spans="1:16" x14ac:dyDescent="0.25">
      <c r="A202" s="13" t="s">
        <v>227</v>
      </c>
      <c r="B202" s="67">
        <f>VLOOKUP(Yards[[#This Row],[DEVELOPMENT]],Data[],2,FALSE)</f>
        <v>0</v>
      </c>
      <c r="C20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2" s="67">
        <f>VLOOKUP(Yards[[#This Row],[DEVELOPMENT]],Data[],30,FALSE)</f>
        <v>0</v>
      </c>
      <c r="E202" s="67">
        <f>VLOOKUP(Yards[[#This Row],[DEVELOPMENT]],Data[],28,FALSE)</f>
        <v>0</v>
      </c>
      <c r="F202" s="66">
        <f>VLOOKUP(Yards[[#This Row],[DEVELOPMENT]],Data[],8,FALSE)</f>
        <v>0</v>
      </c>
      <c r="G202" s="66">
        <f>VLOOKUP(Yards[[#This Row],[DEVELOPMENT]],Data[],9,FALSE)</f>
        <v>0</v>
      </c>
      <c r="H202" s="66"/>
      <c r="I202" s="67" t="str">
        <f>IFERROR(VLOOKUP(Yards[[#This Row],[DEVELOPMENT]],Data[],4,FALSE),"")</f>
        <v/>
      </c>
      <c r="J202" s="67" t="str">
        <f>IF(Yards[[#This Row],[RAD/PACT]]="","",IF((Yards[[#This Row],[RAD/PACT]]&lt;=2025),"Yes",""))</f>
        <v/>
      </c>
      <c r="K202" s="67" t="str">
        <f ca="1">IF(VLOOKUP(Yards[[#This Row],[DEVELOPMENT]],ExtComp[],8,FALSE)&lt;=5,"new","old")</f>
        <v>old</v>
      </c>
      <c r="L202" s="104"/>
      <c r="M202" s="1"/>
      <c r="N202" s="1"/>
      <c r="O202" s="1"/>
      <c r="P202" s="16" t="s">
        <v>395</v>
      </c>
    </row>
    <row r="203" spans="1:16" x14ac:dyDescent="0.25">
      <c r="A203" s="13" t="s">
        <v>228</v>
      </c>
      <c r="B203" s="67">
        <f>VLOOKUP(Yards[[#This Row],[DEVELOPMENT]],Data[],2,FALSE)</f>
        <v>0</v>
      </c>
      <c r="C20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3" s="67">
        <f>VLOOKUP(Yards[[#This Row],[DEVELOPMENT]],Data[],30,FALSE)</f>
        <v>0</v>
      </c>
      <c r="E203" s="67">
        <f>VLOOKUP(Yards[[#This Row],[DEVELOPMENT]],Data[],28,FALSE)</f>
        <v>0</v>
      </c>
      <c r="F203" s="66">
        <f>VLOOKUP(Yards[[#This Row],[DEVELOPMENT]],Data[],8,FALSE)</f>
        <v>0</v>
      </c>
      <c r="G203" s="66">
        <f>VLOOKUP(Yards[[#This Row],[DEVELOPMENT]],Data[],9,FALSE)</f>
        <v>0</v>
      </c>
      <c r="H203" s="66"/>
      <c r="I203" s="67" t="str">
        <f>IFERROR(VLOOKUP(Yards[[#This Row],[DEVELOPMENT]],Data[],4,FALSE),"")</f>
        <v/>
      </c>
      <c r="J203" s="67" t="str">
        <f>IF(Yards[[#This Row],[RAD/PACT]]="","",IF((Yards[[#This Row],[RAD/PACT]]&lt;=2025),"Yes",""))</f>
        <v/>
      </c>
      <c r="K203" s="67" t="str">
        <f ca="1">IF(VLOOKUP(Yards[[#This Row],[DEVELOPMENT]],ExtComp[],8,FALSE)&lt;=5,"new","old")</f>
        <v>old</v>
      </c>
      <c r="L203" s="104"/>
      <c r="M203" s="1"/>
      <c r="N203" s="1"/>
      <c r="O203" s="1"/>
      <c r="P203" s="16" t="s">
        <v>395</v>
      </c>
    </row>
    <row r="204" spans="1:16" x14ac:dyDescent="0.25">
      <c r="A204" s="13" t="s">
        <v>229</v>
      </c>
      <c r="B204" s="67">
        <f>VLOOKUP(Yards[[#This Row],[DEVELOPMENT]],Data[],2,FALSE)</f>
        <v>0</v>
      </c>
      <c r="C20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4" s="67">
        <f>VLOOKUP(Yards[[#This Row],[DEVELOPMENT]],Data[],30,FALSE)</f>
        <v>0</v>
      </c>
      <c r="E204" s="67">
        <f>VLOOKUP(Yards[[#This Row],[DEVELOPMENT]],Data[],28,FALSE)</f>
        <v>0</v>
      </c>
      <c r="F204" s="66">
        <f>VLOOKUP(Yards[[#This Row],[DEVELOPMENT]],Data[],8,FALSE)</f>
        <v>0</v>
      </c>
      <c r="G204" s="66">
        <f>VLOOKUP(Yards[[#This Row],[DEVELOPMENT]],Data[],9,FALSE)</f>
        <v>0</v>
      </c>
      <c r="H204" s="66"/>
      <c r="I204" s="67" t="str">
        <f>IFERROR(VLOOKUP(Yards[[#This Row],[DEVELOPMENT]],Data[],4,FALSE),"")</f>
        <v/>
      </c>
      <c r="J204" s="67" t="str">
        <f>IF(Yards[[#This Row],[RAD/PACT]]="","",IF((Yards[[#This Row],[RAD/PACT]]&lt;=2025),"Yes",""))</f>
        <v/>
      </c>
      <c r="K204" s="67" t="str">
        <f ca="1">IF(VLOOKUP(Yards[[#This Row],[DEVELOPMENT]],ExtComp[],8,FALSE)&lt;=5,"new","old")</f>
        <v>old</v>
      </c>
      <c r="L204" s="104"/>
      <c r="M204" s="1"/>
      <c r="N204" s="1"/>
      <c r="O204" s="1"/>
      <c r="P204" s="16" t="s">
        <v>395</v>
      </c>
    </row>
    <row r="205" spans="1:16" x14ac:dyDescent="0.25">
      <c r="A205" s="13" t="s">
        <v>230</v>
      </c>
      <c r="B205" s="67" t="str">
        <f>VLOOKUP(Yards[[#This Row],[DEVELOPMENT]],Data[],2,FALSE)</f>
        <v>BROOKLYN</v>
      </c>
      <c r="C20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5" s="67">
        <f>VLOOKUP(Yards[[#This Row],[DEVELOPMENT]],Data[],30,FALSE)</f>
        <v>0</v>
      </c>
      <c r="E205" s="67">
        <f>VLOOKUP(Yards[[#This Row],[DEVELOPMENT]],Data[],28,FALSE)</f>
        <v>0</v>
      </c>
      <c r="F205" s="66">
        <f>VLOOKUP(Yards[[#This Row],[DEVELOPMENT]],Data[],8,FALSE)</f>
        <v>0</v>
      </c>
      <c r="G205" s="66">
        <f>VLOOKUP(Yards[[#This Row],[DEVELOPMENT]],Data[],9,FALSE)</f>
        <v>0</v>
      </c>
      <c r="H205" s="66"/>
      <c r="I205" s="67">
        <f>IFERROR(VLOOKUP(Yards[[#This Row],[DEVELOPMENT]],Data[],4,FALSE),"")</f>
        <v>2026</v>
      </c>
      <c r="J205" s="67" t="str">
        <f>IF(Yards[[#This Row],[RAD/PACT]]="","",IF((Yards[[#This Row],[RAD/PACT]]&lt;=2025),"Yes",""))</f>
        <v/>
      </c>
      <c r="K205" s="67" t="str">
        <f ca="1">IF(VLOOKUP(Yards[[#This Row],[DEVELOPMENT]],ExtComp[],8,FALSE)&lt;=5,"new","old")</f>
        <v>old</v>
      </c>
      <c r="L205" s="104">
        <f>IF(Yards[[#This Row],[RAD/PACT by 2025]]="Yes",0,INDEX(UnitCosts[],MATCH(Yards[[#This Row],[WORK TYPE]],UnitCosts[Work Type],0),2))</f>
        <v>1159792.78</v>
      </c>
      <c r="M205" s="1"/>
      <c r="N205" s="1"/>
      <c r="O205" s="1"/>
      <c r="P205" s="16"/>
    </row>
    <row r="206" spans="1:16" x14ac:dyDescent="0.25">
      <c r="A206" s="13" t="s">
        <v>233</v>
      </c>
      <c r="B206" s="67" t="str">
        <f>VLOOKUP(Yards[[#This Row],[DEVELOPMENT]],Data[],2,FALSE)</f>
        <v>BRONX</v>
      </c>
      <c r="C20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6" s="67">
        <f>VLOOKUP(Yards[[#This Row],[DEVELOPMENT]],Data[],30,FALSE)</f>
        <v>1</v>
      </c>
      <c r="E206" s="67">
        <f>VLOOKUP(Yards[[#This Row],[DEVELOPMENT]],Data[],28,FALSE)</f>
        <v>0</v>
      </c>
      <c r="F206" s="66">
        <f>VLOOKUP(Yards[[#This Row],[DEVELOPMENT]],Data[],8,FALSE)</f>
        <v>0</v>
      </c>
      <c r="G206" s="66">
        <f>VLOOKUP(Yards[[#This Row],[DEVELOPMENT]],Data[],9,FALSE)</f>
        <v>0</v>
      </c>
      <c r="H206" s="66"/>
      <c r="I206" s="67" t="str">
        <f>IFERROR(VLOOKUP(Yards[[#This Row],[DEVELOPMENT]],Data[],4,FALSE),"")</f>
        <v/>
      </c>
      <c r="J206" s="67" t="str">
        <f>IF(Yards[[#This Row],[RAD/PACT]]="","",IF((Yards[[#This Row],[RAD/PACT]]&lt;=2025),"Yes",""))</f>
        <v/>
      </c>
      <c r="K206" s="67" t="str">
        <f ca="1">IF(VLOOKUP(Yards[[#This Row],[DEVELOPMENT]],ExtComp[],8,FALSE)&lt;=5,"new","old")</f>
        <v>old</v>
      </c>
      <c r="L206" s="104">
        <f ca="1">IF(Yards[[#This Row],[RAD/PACT by 2025]]="Yes",0,INDEX(UnitCosts[],MATCH(Yards[[#This Row],[WORK TYPE]],UnitCosts[Work Type],0),2))</f>
        <v>1159792.78</v>
      </c>
      <c r="M206" s="1"/>
      <c r="N206" s="1"/>
      <c r="O206" s="1"/>
      <c r="P206" s="16"/>
    </row>
    <row r="207" spans="1:16" x14ac:dyDescent="0.25">
      <c r="A207" s="13" t="s">
        <v>234</v>
      </c>
      <c r="B207" s="67" t="str">
        <f>VLOOKUP(Yards[[#This Row],[DEVELOPMENT]],Data[],2,FALSE)</f>
        <v>BROOKLYN</v>
      </c>
      <c r="C20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7" s="67">
        <f>VLOOKUP(Yards[[#This Row],[DEVELOPMENT]],Data[],30,FALSE)</f>
        <v>0</v>
      </c>
      <c r="E207" s="67">
        <f>VLOOKUP(Yards[[#This Row],[DEVELOPMENT]],Data[],28,FALSE)</f>
        <v>0</v>
      </c>
      <c r="F207" s="66">
        <f>VLOOKUP(Yards[[#This Row],[DEVELOPMENT]],Data[],8,FALSE)</f>
        <v>0</v>
      </c>
      <c r="G207" s="66">
        <f>VLOOKUP(Yards[[#This Row],[DEVELOPMENT]],Data[],9,FALSE)</f>
        <v>0</v>
      </c>
      <c r="H207" s="66"/>
      <c r="I207" s="67" t="str">
        <f>IFERROR(VLOOKUP(Yards[[#This Row],[DEVELOPMENT]],Data[],4,FALSE),"")</f>
        <v/>
      </c>
      <c r="J207" s="67" t="str">
        <f>IF(Yards[[#This Row],[RAD/PACT]]="","",IF((Yards[[#This Row],[RAD/PACT]]&lt;=2025),"Yes",""))</f>
        <v/>
      </c>
      <c r="K207" s="67" t="str">
        <f ca="1">IF(VLOOKUP(Yards[[#This Row],[DEVELOPMENT]],ExtComp[],8,FALSE)&lt;=5,"new","old")</f>
        <v>old</v>
      </c>
      <c r="L207" s="104">
        <f>IF(Yards[[#This Row],[RAD/PACT by 2025]]="Yes",0,INDEX(UnitCosts[],MATCH(Yards[[#This Row],[WORK TYPE]],UnitCosts[Work Type],0),2))</f>
        <v>1159792.78</v>
      </c>
      <c r="M207" s="1"/>
      <c r="N207" s="1"/>
      <c r="O207" s="1"/>
      <c r="P207" s="16"/>
    </row>
    <row r="208" spans="1:16" x14ac:dyDescent="0.25">
      <c r="A208" s="13" t="s">
        <v>235</v>
      </c>
      <c r="B208" s="67" t="str">
        <f>VLOOKUP(Yards[[#This Row],[DEVELOPMENT]],Data[],2,FALSE)</f>
        <v>BRONX</v>
      </c>
      <c r="C20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8" s="67">
        <f>VLOOKUP(Yards[[#This Row],[DEVELOPMENT]],Data[],30,FALSE)</f>
        <v>0</v>
      </c>
      <c r="E208" s="67">
        <f>VLOOKUP(Yards[[#This Row],[DEVELOPMENT]],Data[],28,FALSE)</f>
        <v>0</v>
      </c>
      <c r="F208" s="66">
        <f>VLOOKUP(Yards[[#This Row],[DEVELOPMENT]],Data[],8,FALSE)</f>
        <v>0</v>
      </c>
      <c r="G208" s="66">
        <f>VLOOKUP(Yards[[#This Row],[DEVELOPMENT]],Data[],9,FALSE)</f>
        <v>0</v>
      </c>
      <c r="H208" s="66"/>
      <c r="I208" s="67">
        <f>IFERROR(VLOOKUP(Yards[[#This Row],[DEVELOPMENT]],Data[],4,FALSE),"")</f>
        <v>2021</v>
      </c>
      <c r="J208" s="67" t="str">
        <f>IF(Yards[[#This Row],[RAD/PACT]]="","",IF((Yards[[#This Row],[RAD/PACT]]&lt;=2025),"Yes",""))</f>
        <v>Yes</v>
      </c>
      <c r="K208" s="67" t="str">
        <f ca="1">IF(VLOOKUP(Yards[[#This Row],[DEVELOPMENT]],ExtComp[],8,FALSE)&lt;=5,"new","old")</f>
        <v>old</v>
      </c>
      <c r="L208" s="104">
        <f>IF(Yards[[#This Row],[RAD/PACT by 2025]]="Yes",0,INDEX(UnitCosts[],MATCH(Yards[[#This Row],[WORK TYPE]],UnitCosts[Work Type],0),2))</f>
        <v>0</v>
      </c>
      <c r="M208" s="1"/>
      <c r="N208" s="1"/>
      <c r="O208" s="1"/>
      <c r="P208" s="16"/>
    </row>
    <row r="209" spans="1:16" x14ac:dyDescent="0.25">
      <c r="A209" s="13" t="s">
        <v>236</v>
      </c>
      <c r="B209" s="67" t="str">
        <f>VLOOKUP(Yards[[#This Row],[DEVELOPMENT]],Data[],2,FALSE)</f>
        <v>BROOKLYN</v>
      </c>
      <c r="C20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09" s="67">
        <f>VLOOKUP(Yards[[#This Row],[DEVELOPMENT]],Data[],30,FALSE)</f>
        <v>0</v>
      </c>
      <c r="E209" s="67">
        <f>VLOOKUP(Yards[[#This Row],[DEVELOPMENT]],Data[],28,FALSE)</f>
        <v>0</v>
      </c>
      <c r="F209" s="66">
        <f>VLOOKUP(Yards[[#This Row],[DEVELOPMENT]],Data[],8,FALSE)</f>
        <v>0</v>
      </c>
      <c r="G209" s="66">
        <f>VLOOKUP(Yards[[#This Row],[DEVELOPMENT]],Data[],9,FALSE)</f>
        <v>0</v>
      </c>
      <c r="H209" s="66"/>
      <c r="I209" s="67" t="str">
        <f>IFERROR(VLOOKUP(Yards[[#This Row],[DEVELOPMENT]],Data[],4,FALSE),"")</f>
        <v/>
      </c>
      <c r="J209" s="67" t="str">
        <f>IF(Yards[[#This Row],[RAD/PACT]]="","",IF((Yards[[#This Row],[RAD/PACT]]&lt;=2025),"Yes",""))</f>
        <v/>
      </c>
      <c r="K209" s="67" t="str">
        <f ca="1">IF(VLOOKUP(Yards[[#This Row],[DEVELOPMENT]],ExtComp[],8,FALSE)&lt;=5,"new","old")</f>
        <v>old</v>
      </c>
      <c r="L209" s="104">
        <f>IF(Yards[[#This Row],[RAD/PACT by 2025]]="Yes",0,INDEX(UnitCosts[],MATCH(Yards[[#This Row],[WORK TYPE]],UnitCosts[Work Type],0),2))</f>
        <v>1159792.78</v>
      </c>
      <c r="M209" s="1"/>
      <c r="N209" s="1"/>
      <c r="O209" s="1"/>
      <c r="P209" s="16"/>
    </row>
    <row r="210" spans="1:16" x14ac:dyDescent="0.25">
      <c r="A210" s="13" t="s">
        <v>237</v>
      </c>
      <c r="B210" s="67" t="str">
        <f>VLOOKUP(Yards[[#This Row],[DEVELOPMENT]],Data[],2,FALSE)</f>
        <v>BROOKLYN</v>
      </c>
      <c r="C21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10" s="67">
        <f>VLOOKUP(Yards[[#This Row],[DEVELOPMENT]],Data[],30,FALSE)</f>
        <v>0</v>
      </c>
      <c r="E210" s="67">
        <f>VLOOKUP(Yards[[#This Row],[DEVELOPMENT]],Data[],28,FALSE)</f>
        <v>0</v>
      </c>
      <c r="F210" s="66">
        <f>VLOOKUP(Yards[[#This Row],[DEVELOPMENT]],Data[],8,FALSE)</f>
        <v>0</v>
      </c>
      <c r="G210" s="66">
        <f>VLOOKUP(Yards[[#This Row],[DEVELOPMENT]],Data[],9,FALSE)</f>
        <v>0</v>
      </c>
      <c r="H210" s="66"/>
      <c r="I210" s="67">
        <f>IFERROR(VLOOKUP(Yards[[#This Row],[DEVELOPMENT]],Data[],4,FALSE),"")</f>
        <v>2028</v>
      </c>
      <c r="J210" s="67" t="str">
        <f>IF(Yards[[#This Row],[RAD/PACT]]="","",IF((Yards[[#This Row],[RAD/PACT]]&lt;=2025),"Yes",""))</f>
        <v/>
      </c>
      <c r="K210" s="67" t="str">
        <f ca="1">IF(VLOOKUP(Yards[[#This Row],[DEVELOPMENT]],ExtComp[],8,FALSE)&lt;=5,"new","old")</f>
        <v>old</v>
      </c>
      <c r="L210" s="104">
        <f>IF(Yards[[#This Row],[RAD/PACT by 2025]]="Yes",0,INDEX(UnitCosts[],MATCH(Yards[[#This Row],[WORK TYPE]],UnitCosts[Work Type],0),2))</f>
        <v>1159792.78</v>
      </c>
      <c r="M210" s="1"/>
      <c r="N210" s="1"/>
      <c r="O210" s="1"/>
      <c r="P210" s="16"/>
    </row>
    <row r="211" spans="1:16" x14ac:dyDescent="0.25">
      <c r="A211" s="13" t="s">
        <v>238</v>
      </c>
      <c r="B211" s="67" t="str">
        <f>VLOOKUP(Yards[[#This Row],[DEVELOPMENT]],Data[],2,FALSE)</f>
        <v>BROOKLYN</v>
      </c>
      <c r="C21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211" s="67">
        <f>VLOOKUP(Yards[[#This Row],[DEVELOPMENT]],Data[],30,FALSE)</f>
        <v>3</v>
      </c>
      <c r="E211" s="67">
        <f>VLOOKUP(Yards[[#This Row],[DEVELOPMENT]],Data[],28,FALSE)</f>
        <v>0</v>
      </c>
      <c r="F211" s="66">
        <f>VLOOKUP(Yards[[#This Row],[DEVELOPMENT]],Data[],8,FALSE)</f>
        <v>0</v>
      </c>
      <c r="G211" s="66">
        <f>VLOOKUP(Yards[[#This Row],[DEVELOPMENT]],Data[],9,FALSE)</f>
        <v>0</v>
      </c>
      <c r="H211" s="66"/>
      <c r="I211" s="67" t="str">
        <f>IFERROR(VLOOKUP(Yards[[#This Row],[DEVELOPMENT]],Data[],4,FALSE),"")</f>
        <v/>
      </c>
      <c r="J211" s="67" t="str">
        <f>IF(Yards[[#This Row],[RAD/PACT]]="","",IF((Yards[[#This Row],[RAD/PACT]]&lt;=2025),"Yes",""))</f>
        <v/>
      </c>
      <c r="K211" s="67" t="str">
        <f ca="1">IF(VLOOKUP(Yards[[#This Row],[DEVELOPMENT]],ExtComp[],8,FALSE)&lt;=5,"new","old")</f>
        <v>old</v>
      </c>
      <c r="L211" s="104">
        <f ca="1">IF(Yards[[#This Row],[RAD/PACT by 2025]]="Yes",0,INDEX(UnitCosts[],MATCH(Yards[[#This Row],[WORK TYPE]],UnitCosts[Work Type],0),2))</f>
        <v>2022307.2600000005</v>
      </c>
      <c r="M211" s="1"/>
      <c r="N211" s="1"/>
      <c r="O211" s="1"/>
      <c r="P211" s="16"/>
    </row>
    <row r="212" spans="1:16" x14ac:dyDescent="0.25">
      <c r="A212" s="13" t="s">
        <v>239</v>
      </c>
      <c r="B212" s="67" t="str">
        <f>VLOOKUP(Yards[[#This Row],[DEVELOPMENT]],Data[],2,FALSE)</f>
        <v>BROOKLYN</v>
      </c>
      <c r="C21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12" s="67">
        <f>VLOOKUP(Yards[[#This Row],[DEVELOPMENT]],Data[],30,FALSE)</f>
        <v>0</v>
      </c>
      <c r="E212" s="67">
        <f>VLOOKUP(Yards[[#This Row],[DEVELOPMENT]],Data[],28,FALSE)</f>
        <v>0</v>
      </c>
      <c r="F212" s="66">
        <f>VLOOKUP(Yards[[#This Row],[DEVELOPMENT]],Data[],8,FALSE)</f>
        <v>0</v>
      </c>
      <c r="G212" s="66">
        <f>VLOOKUP(Yards[[#This Row],[DEVELOPMENT]],Data[],9,FALSE)</f>
        <v>0</v>
      </c>
      <c r="H212" s="66"/>
      <c r="I212" s="67" t="str">
        <f>IFERROR(VLOOKUP(Yards[[#This Row],[DEVELOPMENT]],Data[],4,FALSE),"")</f>
        <v/>
      </c>
      <c r="J212" s="67" t="str">
        <f>IF(Yards[[#This Row],[RAD/PACT]]="","",IF((Yards[[#This Row],[RAD/PACT]]&lt;=2025),"Yes",""))</f>
        <v/>
      </c>
      <c r="K212" s="67" t="str">
        <f ca="1">IF(VLOOKUP(Yards[[#This Row],[DEVELOPMENT]],ExtComp[],8,FALSE)&lt;=5,"new","old")</f>
        <v>old</v>
      </c>
      <c r="L212" s="104">
        <f>IF(Yards[[#This Row],[RAD/PACT by 2025]]="Yes",0,INDEX(UnitCosts[],MATCH(Yards[[#This Row],[WORK TYPE]],UnitCosts[Work Type],0),2))</f>
        <v>1159792.78</v>
      </c>
      <c r="M212" s="1"/>
      <c r="N212" s="1"/>
      <c r="O212" s="1"/>
      <c r="P212" s="16"/>
    </row>
    <row r="213" spans="1:16" x14ac:dyDescent="0.25">
      <c r="A213" s="13" t="s">
        <v>240</v>
      </c>
      <c r="B213" s="67" t="str">
        <f>VLOOKUP(Yards[[#This Row],[DEVELOPMENT]],Data[],2,FALSE)</f>
        <v>BRONX</v>
      </c>
      <c r="C21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13" s="67">
        <f>VLOOKUP(Yards[[#This Row],[DEVELOPMENT]],Data[],30,FALSE)</f>
        <v>2</v>
      </c>
      <c r="E213" s="67">
        <f>VLOOKUP(Yards[[#This Row],[DEVELOPMENT]],Data[],28,FALSE)</f>
        <v>0</v>
      </c>
      <c r="F213" s="66">
        <f>VLOOKUP(Yards[[#This Row],[DEVELOPMENT]],Data[],8,FALSE)</f>
        <v>0</v>
      </c>
      <c r="G213" s="66">
        <f>VLOOKUP(Yards[[#This Row],[DEVELOPMENT]],Data[],9,FALSE)</f>
        <v>0</v>
      </c>
      <c r="H213" s="66"/>
      <c r="I213" s="67" t="str">
        <f>IFERROR(VLOOKUP(Yards[[#This Row],[DEVELOPMENT]],Data[],4,FALSE),"")</f>
        <v/>
      </c>
      <c r="J213" s="67" t="str">
        <f>IF(Yards[[#This Row],[RAD/PACT]]="","",IF((Yards[[#This Row],[RAD/PACT]]&lt;=2025),"Yes",""))</f>
        <v/>
      </c>
      <c r="K213" s="67" t="str">
        <f ca="1">IF(VLOOKUP(Yards[[#This Row],[DEVELOPMENT]],ExtComp[],8,FALSE)&lt;=5,"new","old")</f>
        <v>old</v>
      </c>
      <c r="L213" s="104">
        <f ca="1">IF(Yards[[#This Row],[RAD/PACT by 2025]]="Yes",0,INDEX(UnitCosts[],MATCH(Yards[[#This Row],[WORK TYPE]],UnitCosts[Work Type],0),2))</f>
        <v>1591050.0199999998</v>
      </c>
      <c r="M213" s="1"/>
      <c r="N213" s="1"/>
      <c r="O213" s="1"/>
      <c r="P213" s="16"/>
    </row>
    <row r="214" spans="1:16" x14ac:dyDescent="0.25">
      <c r="A214" s="13" t="s">
        <v>241</v>
      </c>
      <c r="B214" s="67" t="str">
        <f>VLOOKUP(Yards[[#This Row],[DEVELOPMENT]],Data[],2,FALSE)</f>
        <v>BROOKLYN</v>
      </c>
      <c r="C21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14" s="67">
        <f>VLOOKUP(Yards[[#This Row],[DEVELOPMENT]],Data[],30,FALSE)</f>
        <v>0</v>
      </c>
      <c r="E214" s="67">
        <f>VLOOKUP(Yards[[#This Row],[DEVELOPMENT]],Data[],28,FALSE)</f>
        <v>0</v>
      </c>
      <c r="F214" s="66">
        <f>VLOOKUP(Yards[[#This Row],[DEVELOPMENT]],Data[],8,FALSE)</f>
        <v>0</v>
      </c>
      <c r="G214" s="66">
        <f>VLOOKUP(Yards[[#This Row],[DEVELOPMENT]],Data[],9,FALSE)</f>
        <v>0</v>
      </c>
      <c r="H214" s="66"/>
      <c r="I214" s="67" t="str">
        <f>IFERROR(VLOOKUP(Yards[[#This Row],[DEVELOPMENT]],Data[],4,FALSE),"")</f>
        <v/>
      </c>
      <c r="J214" s="67" t="str">
        <f>IF(Yards[[#This Row],[RAD/PACT]]="","",IF((Yards[[#This Row],[RAD/PACT]]&lt;=2025),"Yes",""))</f>
        <v/>
      </c>
      <c r="K214" s="67" t="str">
        <f ca="1">IF(VLOOKUP(Yards[[#This Row],[DEVELOPMENT]],ExtComp[],8,FALSE)&lt;=5,"new","old")</f>
        <v>old</v>
      </c>
      <c r="L214" s="104">
        <f>IF(Yards[[#This Row],[RAD/PACT by 2025]]="Yes",0,INDEX(UnitCosts[],MATCH(Yards[[#This Row],[WORK TYPE]],UnitCosts[Work Type],0),2))</f>
        <v>1159792.78</v>
      </c>
      <c r="M214" s="1"/>
      <c r="N214" s="1"/>
      <c r="O214" s="1"/>
      <c r="P214" s="16"/>
    </row>
    <row r="215" spans="1:16" x14ac:dyDescent="0.25">
      <c r="A215" s="13" t="s">
        <v>242</v>
      </c>
      <c r="B215" s="67" t="str">
        <f>VLOOKUP(Yards[[#This Row],[DEVELOPMENT]],Data[],2,FALSE)</f>
        <v>QUEENS</v>
      </c>
      <c r="C21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15" s="67">
        <f>VLOOKUP(Yards[[#This Row],[DEVELOPMENT]],Data[],30,FALSE)</f>
        <v>2</v>
      </c>
      <c r="E215" s="67">
        <f>VLOOKUP(Yards[[#This Row],[DEVELOPMENT]],Data[],28,FALSE)</f>
        <v>0</v>
      </c>
      <c r="F215" s="66">
        <f>VLOOKUP(Yards[[#This Row],[DEVELOPMENT]],Data[],8,FALSE)</f>
        <v>0</v>
      </c>
      <c r="G215" s="66">
        <f>VLOOKUP(Yards[[#This Row],[DEVELOPMENT]],Data[],9,FALSE)</f>
        <v>0</v>
      </c>
      <c r="H215" s="66"/>
      <c r="I215" s="67" t="str">
        <f>IFERROR(VLOOKUP(Yards[[#This Row],[DEVELOPMENT]],Data[],4,FALSE),"")</f>
        <v/>
      </c>
      <c r="J215" s="67" t="str">
        <f>IF(Yards[[#This Row],[RAD/PACT]]="","",IF((Yards[[#This Row],[RAD/PACT]]&lt;=2025),"Yes",""))</f>
        <v/>
      </c>
      <c r="K215" s="67" t="str">
        <f ca="1">IF(VLOOKUP(Yards[[#This Row],[DEVELOPMENT]],ExtComp[],8,FALSE)&lt;=5,"new","old")</f>
        <v>old</v>
      </c>
      <c r="L215" s="104">
        <f ca="1">IF(Yards[[#This Row],[RAD/PACT by 2025]]="Yes",0,INDEX(UnitCosts[],MATCH(Yards[[#This Row],[WORK TYPE]],UnitCosts[Work Type],0),2))</f>
        <v>1591050.0199999998</v>
      </c>
      <c r="M215" s="1"/>
      <c r="N215" s="1"/>
      <c r="O215" s="1"/>
      <c r="P215" s="16"/>
    </row>
    <row r="216" spans="1:16" x14ac:dyDescent="0.25">
      <c r="A216" s="13" t="s">
        <v>243</v>
      </c>
      <c r="B216" s="67" t="str">
        <f>VLOOKUP(Yards[[#This Row],[DEVELOPMENT]],Data[],2,FALSE)</f>
        <v>MANHATTAN</v>
      </c>
      <c r="C21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16" s="67">
        <f>VLOOKUP(Yards[[#This Row],[DEVELOPMENT]],Data[],30,FALSE)</f>
        <v>1</v>
      </c>
      <c r="E216" s="67">
        <f>VLOOKUP(Yards[[#This Row],[DEVELOPMENT]],Data[],28,FALSE)</f>
        <v>0</v>
      </c>
      <c r="F216" s="66">
        <f>VLOOKUP(Yards[[#This Row],[DEVELOPMENT]],Data[],8,FALSE)</f>
        <v>0</v>
      </c>
      <c r="G216" s="66">
        <f>VLOOKUP(Yards[[#This Row],[DEVELOPMENT]],Data[],9,FALSE)</f>
        <v>0</v>
      </c>
      <c r="H216" s="66"/>
      <c r="I216" s="67" t="str">
        <f>IFERROR(VLOOKUP(Yards[[#This Row],[DEVELOPMENT]],Data[],4,FALSE),"")</f>
        <v/>
      </c>
      <c r="J216" s="67" t="str">
        <f>IF(Yards[[#This Row],[RAD/PACT]]="","",IF((Yards[[#This Row],[RAD/PACT]]&lt;=2025),"Yes",""))</f>
        <v/>
      </c>
      <c r="K216" s="67" t="str">
        <f ca="1">IF(VLOOKUP(Yards[[#This Row],[DEVELOPMENT]],ExtComp[],8,FALSE)&lt;=5,"new","old")</f>
        <v>old</v>
      </c>
      <c r="L216" s="104">
        <f ca="1">IF(Yards[[#This Row],[RAD/PACT by 2025]]="Yes",0,INDEX(UnitCosts[],MATCH(Yards[[#This Row],[WORK TYPE]],UnitCosts[Work Type],0),2))</f>
        <v>1159792.78</v>
      </c>
      <c r="M216" s="1"/>
      <c r="N216" s="1"/>
      <c r="O216" s="1"/>
      <c r="P216" s="16"/>
    </row>
    <row r="217" spans="1:16" x14ac:dyDescent="0.25">
      <c r="A217" s="13" t="s">
        <v>244</v>
      </c>
      <c r="B217" s="67" t="str">
        <f>VLOOKUP(Yards[[#This Row],[DEVELOPMENT]],Data[],2,FALSE)</f>
        <v>BRONX</v>
      </c>
      <c r="C21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17" s="67">
        <f>VLOOKUP(Yards[[#This Row],[DEVELOPMENT]],Data[],30,FALSE)</f>
        <v>0</v>
      </c>
      <c r="E217" s="67">
        <f>VLOOKUP(Yards[[#This Row],[DEVELOPMENT]],Data[],28,FALSE)</f>
        <v>0</v>
      </c>
      <c r="F217" s="66">
        <f>VLOOKUP(Yards[[#This Row],[DEVELOPMENT]],Data[],8,FALSE)</f>
        <v>0</v>
      </c>
      <c r="G217" s="66">
        <f>VLOOKUP(Yards[[#This Row],[DEVELOPMENT]],Data[],9,FALSE)</f>
        <v>0</v>
      </c>
      <c r="H217" s="66"/>
      <c r="I217" s="67" t="str">
        <f>IFERROR(VLOOKUP(Yards[[#This Row],[DEVELOPMENT]],Data[],4,FALSE),"")</f>
        <v/>
      </c>
      <c r="J217" s="67" t="str">
        <f>IF(Yards[[#This Row],[RAD/PACT]]="","",IF((Yards[[#This Row],[RAD/PACT]]&lt;=2025),"Yes",""))</f>
        <v/>
      </c>
      <c r="K217" s="67" t="str">
        <f ca="1">IF(VLOOKUP(Yards[[#This Row],[DEVELOPMENT]],ExtComp[],8,FALSE)&lt;=5,"new","old")</f>
        <v>old</v>
      </c>
      <c r="L217" s="104">
        <f>IF(Yards[[#This Row],[RAD/PACT by 2025]]="Yes",0,INDEX(UnitCosts[],MATCH(Yards[[#This Row],[WORK TYPE]],UnitCosts[Work Type],0),2))</f>
        <v>1159792.78</v>
      </c>
      <c r="M217" s="1"/>
      <c r="N217" s="1"/>
      <c r="O217" s="1"/>
      <c r="P217" s="16"/>
    </row>
    <row r="218" spans="1:16" x14ac:dyDescent="0.25">
      <c r="A218" s="13" t="s">
        <v>245</v>
      </c>
      <c r="B218" s="67" t="str">
        <f>VLOOKUP(Yards[[#This Row],[DEVELOPMENT]],Data[],2,FALSE)</f>
        <v>BRONX</v>
      </c>
      <c r="C21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18" s="67">
        <f>VLOOKUP(Yards[[#This Row],[DEVELOPMENT]],Data[],30,FALSE)</f>
        <v>0</v>
      </c>
      <c r="E218" s="67">
        <f>VLOOKUP(Yards[[#This Row],[DEVELOPMENT]],Data[],28,FALSE)</f>
        <v>0</v>
      </c>
      <c r="F218" s="66">
        <f>VLOOKUP(Yards[[#This Row],[DEVELOPMENT]],Data[],8,FALSE)</f>
        <v>0</v>
      </c>
      <c r="G218" s="66">
        <f>VLOOKUP(Yards[[#This Row],[DEVELOPMENT]],Data[],9,FALSE)</f>
        <v>0</v>
      </c>
      <c r="H218" s="66"/>
      <c r="I218" s="67" t="str">
        <f>IFERROR(VLOOKUP(Yards[[#This Row],[DEVELOPMENT]],Data[],4,FALSE),"")</f>
        <v/>
      </c>
      <c r="J218" s="67" t="str">
        <f>IF(Yards[[#This Row],[RAD/PACT]]="","",IF((Yards[[#This Row],[RAD/PACT]]&lt;=2025),"Yes",""))</f>
        <v/>
      </c>
      <c r="K218" s="67" t="str">
        <f ca="1">IF(VLOOKUP(Yards[[#This Row],[DEVELOPMENT]],ExtComp[],8,FALSE)&lt;=5,"new","old")</f>
        <v>old</v>
      </c>
      <c r="L218" s="104">
        <f>IF(Yards[[#This Row],[RAD/PACT by 2025]]="Yes",0,INDEX(UnitCosts[],MATCH(Yards[[#This Row],[WORK TYPE]],UnitCosts[Work Type],0),2))</f>
        <v>1159792.78</v>
      </c>
      <c r="M218" s="1"/>
      <c r="N218" s="1"/>
      <c r="O218" s="1"/>
      <c r="P218" s="16"/>
    </row>
    <row r="219" spans="1:16" x14ac:dyDescent="0.25">
      <c r="A219" s="13" t="s">
        <v>248</v>
      </c>
      <c r="B219" s="67" t="str">
        <f>VLOOKUP(Yards[[#This Row],[DEVELOPMENT]],Data[],2,FALSE)</f>
        <v>BRONX</v>
      </c>
      <c r="C21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19" s="67">
        <f>VLOOKUP(Yards[[#This Row],[DEVELOPMENT]],Data[],30,FALSE)</f>
        <v>0</v>
      </c>
      <c r="E219" s="67">
        <f>VLOOKUP(Yards[[#This Row],[DEVELOPMENT]],Data[],28,FALSE)</f>
        <v>0</v>
      </c>
      <c r="F219" s="66">
        <f>VLOOKUP(Yards[[#This Row],[DEVELOPMENT]],Data[],8,FALSE)</f>
        <v>0</v>
      </c>
      <c r="G219" s="66">
        <f>VLOOKUP(Yards[[#This Row],[DEVELOPMENT]],Data[],9,FALSE)</f>
        <v>0</v>
      </c>
      <c r="H219" s="66"/>
      <c r="I219" s="67" t="str">
        <f>IFERROR(VLOOKUP(Yards[[#This Row],[DEVELOPMENT]],Data[],4,FALSE),"")</f>
        <v/>
      </c>
      <c r="J219" s="67" t="str">
        <f>IF(Yards[[#This Row],[RAD/PACT]]="","",IF((Yards[[#This Row],[RAD/PACT]]&lt;=2025),"Yes",""))</f>
        <v/>
      </c>
      <c r="K219" s="67" t="str">
        <f ca="1">IF(VLOOKUP(Yards[[#This Row],[DEVELOPMENT]],ExtComp[],8,FALSE)&lt;=5,"new","old")</f>
        <v>old</v>
      </c>
      <c r="L219" s="104">
        <f>IF(Yards[[#This Row],[RAD/PACT by 2025]]="Yes",0,INDEX(UnitCosts[],MATCH(Yards[[#This Row],[WORK TYPE]],UnitCosts[Work Type],0),2))</f>
        <v>1159792.78</v>
      </c>
      <c r="M219" s="1"/>
      <c r="N219" s="1"/>
      <c r="O219" s="1"/>
      <c r="P219" s="16"/>
    </row>
    <row r="220" spans="1:16" x14ac:dyDescent="0.25">
      <c r="A220" s="13" t="s">
        <v>249</v>
      </c>
      <c r="B220" s="67" t="str">
        <f>VLOOKUP(Yards[[#This Row],[DEVELOPMENT]],Data[],2,FALSE)</f>
        <v>MANHATTAN</v>
      </c>
      <c r="C22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20" s="67">
        <f>VLOOKUP(Yards[[#This Row],[DEVELOPMENT]],Data[],30,FALSE)</f>
        <v>0</v>
      </c>
      <c r="E220" s="67">
        <f>VLOOKUP(Yards[[#This Row],[DEVELOPMENT]],Data[],28,FALSE)</f>
        <v>0</v>
      </c>
      <c r="F220" s="66">
        <f>VLOOKUP(Yards[[#This Row],[DEVELOPMENT]],Data[],8,FALSE)</f>
        <v>0</v>
      </c>
      <c r="G220" s="66">
        <f>VLOOKUP(Yards[[#This Row],[DEVELOPMENT]],Data[],9,FALSE)</f>
        <v>0</v>
      </c>
      <c r="H220" s="66"/>
      <c r="I220" s="67" t="str">
        <f>IFERROR(VLOOKUP(Yards[[#This Row],[DEVELOPMENT]],Data[],4,FALSE),"")</f>
        <v/>
      </c>
      <c r="J220" s="67" t="str">
        <f>IF(Yards[[#This Row],[RAD/PACT]]="","",IF((Yards[[#This Row],[RAD/PACT]]&lt;=2025),"Yes",""))</f>
        <v/>
      </c>
      <c r="K220" s="67" t="str">
        <f ca="1">IF(VLOOKUP(Yards[[#This Row],[DEVELOPMENT]],ExtComp[],8,FALSE)&lt;=5,"new","old")</f>
        <v>old</v>
      </c>
      <c r="L220" s="104">
        <f>IF(Yards[[#This Row],[RAD/PACT by 2025]]="Yes",0,INDEX(UnitCosts[],MATCH(Yards[[#This Row],[WORK TYPE]],UnitCosts[Work Type],0),2))</f>
        <v>1159792.78</v>
      </c>
      <c r="M220" s="1"/>
      <c r="N220" s="1"/>
      <c r="O220" s="1"/>
      <c r="P220" s="16"/>
    </row>
    <row r="221" spans="1:16" x14ac:dyDescent="0.25">
      <c r="A221" s="13" t="s">
        <v>250</v>
      </c>
      <c r="B221" s="67" t="str">
        <f>VLOOKUP(Yards[[#This Row],[DEVELOPMENT]],Data[],2,FALSE)</f>
        <v>BROOKLYN</v>
      </c>
      <c r="C22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21" s="67">
        <f>VLOOKUP(Yards[[#This Row],[DEVELOPMENT]],Data[],30,FALSE)</f>
        <v>0</v>
      </c>
      <c r="E221" s="67">
        <f>VLOOKUP(Yards[[#This Row],[DEVELOPMENT]],Data[],28,FALSE)</f>
        <v>0</v>
      </c>
      <c r="F221" s="66">
        <f>VLOOKUP(Yards[[#This Row],[DEVELOPMENT]],Data[],8,FALSE)</f>
        <v>0</v>
      </c>
      <c r="G221" s="66">
        <f>VLOOKUP(Yards[[#This Row],[DEVELOPMENT]],Data[],9,FALSE)</f>
        <v>0</v>
      </c>
      <c r="H221" s="66"/>
      <c r="I221" s="67" t="str">
        <f>IFERROR(VLOOKUP(Yards[[#This Row],[DEVELOPMENT]],Data[],4,FALSE),"")</f>
        <v/>
      </c>
      <c r="J221" s="67" t="str">
        <f>IF(Yards[[#This Row],[RAD/PACT]]="","",IF((Yards[[#This Row],[RAD/PACT]]&lt;=2025),"Yes",""))</f>
        <v/>
      </c>
      <c r="K221" s="67" t="str">
        <f ca="1">IF(VLOOKUP(Yards[[#This Row],[DEVELOPMENT]],ExtComp[],8,FALSE)&lt;=5,"new","old")</f>
        <v>old</v>
      </c>
      <c r="L221" s="104">
        <f>IF(Yards[[#This Row],[RAD/PACT by 2025]]="Yes",0,INDEX(UnitCosts[],MATCH(Yards[[#This Row],[WORK TYPE]],UnitCosts[Work Type],0),2))</f>
        <v>1159792.78</v>
      </c>
      <c r="M221" s="1"/>
      <c r="N221" s="1"/>
      <c r="O221" s="1"/>
      <c r="P221" s="16"/>
    </row>
    <row r="222" spans="1:16" x14ac:dyDescent="0.25">
      <c r="A222" s="13" t="s">
        <v>251</v>
      </c>
      <c r="B222" s="67" t="str">
        <f>VLOOKUP(Yards[[#This Row],[DEVELOPMENT]],Data[],2,FALSE)</f>
        <v>BROOKLYN</v>
      </c>
      <c r="C22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22" s="67">
        <f>VLOOKUP(Yards[[#This Row],[DEVELOPMENT]],Data[],30,FALSE)</f>
        <v>0</v>
      </c>
      <c r="E222" s="67">
        <f>VLOOKUP(Yards[[#This Row],[DEVELOPMENT]],Data[],28,FALSE)</f>
        <v>0</v>
      </c>
      <c r="F222" s="66">
        <f>VLOOKUP(Yards[[#This Row],[DEVELOPMENT]],Data[],8,FALSE)</f>
        <v>0</v>
      </c>
      <c r="G222" s="66">
        <f>VLOOKUP(Yards[[#This Row],[DEVELOPMENT]],Data[],9,FALSE)</f>
        <v>0</v>
      </c>
      <c r="H222" s="66"/>
      <c r="I222" s="67">
        <f>IFERROR(VLOOKUP(Yards[[#This Row],[DEVELOPMENT]],Data[],4,FALSE),"")</f>
        <v>2025</v>
      </c>
      <c r="J222" s="67" t="str">
        <f>IF(Yards[[#This Row],[RAD/PACT]]="","",IF((Yards[[#This Row],[RAD/PACT]]&lt;=2025),"Yes",""))</f>
        <v>Yes</v>
      </c>
      <c r="K222" s="67" t="str">
        <f ca="1">IF(VLOOKUP(Yards[[#This Row],[DEVELOPMENT]],ExtComp[],8,FALSE)&lt;=5,"new","old")</f>
        <v>old</v>
      </c>
      <c r="L222" s="104">
        <f>IF(Yards[[#This Row],[RAD/PACT by 2025]]="Yes",0,INDEX(UnitCosts[],MATCH(Yards[[#This Row],[WORK TYPE]],UnitCosts[Work Type],0),2))</f>
        <v>0</v>
      </c>
      <c r="M222" s="1"/>
      <c r="N222" s="1"/>
      <c r="O222" s="1"/>
      <c r="P222" s="16"/>
    </row>
    <row r="223" spans="1:16" x14ac:dyDescent="0.25">
      <c r="A223" s="13" t="s">
        <v>253</v>
      </c>
      <c r="B223" s="67" t="str">
        <f>VLOOKUP(Yards[[#This Row],[DEVELOPMENT]],Data[],2,FALSE)</f>
        <v>BROOKLYN</v>
      </c>
      <c r="C22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23" s="67">
        <f>VLOOKUP(Yards[[#This Row],[DEVELOPMENT]],Data[],30,FALSE)</f>
        <v>1</v>
      </c>
      <c r="E223" s="67">
        <f>VLOOKUP(Yards[[#This Row],[DEVELOPMENT]],Data[],28,FALSE)</f>
        <v>0</v>
      </c>
      <c r="F223" s="66">
        <f>VLOOKUP(Yards[[#This Row],[DEVELOPMENT]],Data[],8,FALSE)</f>
        <v>0</v>
      </c>
      <c r="G223" s="66">
        <f>VLOOKUP(Yards[[#This Row],[DEVELOPMENT]],Data[],9,FALSE)</f>
        <v>0</v>
      </c>
      <c r="H223" s="66"/>
      <c r="I223" s="67" t="str">
        <f>IFERROR(VLOOKUP(Yards[[#This Row],[DEVELOPMENT]],Data[],4,FALSE),"")</f>
        <v/>
      </c>
      <c r="J223" s="67" t="str">
        <f>IF(Yards[[#This Row],[RAD/PACT]]="","",IF((Yards[[#This Row],[RAD/PACT]]&lt;=2025),"Yes",""))</f>
        <v/>
      </c>
      <c r="K223" s="67" t="str">
        <f ca="1">IF(VLOOKUP(Yards[[#This Row],[DEVELOPMENT]],ExtComp[],8,FALSE)&lt;=5,"new","old")</f>
        <v>old</v>
      </c>
      <c r="L223" s="104">
        <f ca="1">IF(Yards[[#This Row],[RAD/PACT by 2025]]="Yes",0,INDEX(UnitCosts[],MATCH(Yards[[#This Row],[WORK TYPE]],UnitCosts[Work Type],0),2))</f>
        <v>1159792.78</v>
      </c>
      <c r="M223" s="1"/>
      <c r="N223" s="1"/>
      <c r="O223" s="1"/>
      <c r="P223" s="16"/>
    </row>
    <row r="224" spans="1:16" x14ac:dyDescent="0.25">
      <c r="A224" s="13" t="s">
        <v>254</v>
      </c>
      <c r="B224" s="67" t="str">
        <f>VLOOKUP(Yards[[#This Row],[DEVELOPMENT]],Data[],2,FALSE)</f>
        <v>BRONX</v>
      </c>
      <c r="C22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24" s="67">
        <f>VLOOKUP(Yards[[#This Row],[DEVELOPMENT]],Data[],30,FALSE)</f>
        <v>0</v>
      </c>
      <c r="E224" s="67">
        <f>VLOOKUP(Yards[[#This Row],[DEVELOPMENT]],Data[],28,FALSE)</f>
        <v>0</v>
      </c>
      <c r="F224" s="66">
        <f>VLOOKUP(Yards[[#This Row],[DEVELOPMENT]],Data[],8,FALSE)</f>
        <v>0</v>
      </c>
      <c r="G224" s="66">
        <f>VLOOKUP(Yards[[#This Row],[DEVELOPMENT]],Data[],9,FALSE)</f>
        <v>0</v>
      </c>
      <c r="H224" s="66"/>
      <c r="I224" s="67" t="str">
        <f>IFERROR(VLOOKUP(Yards[[#This Row],[DEVELOPMENT]],Data[],4,FALSE),"")</f>
        <v/>
      </c>
      <c r="J224" s="67" t="str">
        <f>IF(Yards[[#This Row],[RAD/PACT]]="","",IF((Yards[[#This Row],[RAD/PACT]]&lt;=2025),"Yes",""))</f>
        <v/>
      </c>
      <c r="K224" s="67" t="str">
        <f ca="1">IF(VLOOKUP(Yards[[#This Row],[DEVELOPMENT]],ExtComp[],8,FALSE)&lt;=5,"new","old")</f>
        <v>old</v>
      </c>
      <c r="L224" s="104">
        <f>IF(Yards[[#This Row],[RAD/PACT by 2025]]="Yes",0,INDEX(UnitCosts[],MATCH(Yards[[#This Row],[WORK TYPE]],UnitCosts[Work Type],0),2))</f>
        <v>1159792.78</v>
      </c>
      <c r="M224" s="1"/>
      <c r="N224" s="1"/>
      <c r="O224" s="1"/>
      <c r="P224" s="16"/>
    </row>
    <row r="225" spans="1:16" x14ac:dyDescent="0.25">
      <c r="A225" s="13" t="s">
        <v>255</v>
      </c>
      <c r="B225" s="67" t="str">
        <f>VLOOKUP(Yards[[#This Row],[DEVELOPMENT]],Data[],2,FALSE)</f>
        <v>BROOKLYN</v>
      </c>
      <c r="C22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25" s="67">
        <f>VLOOKUP(Yards[[#This Row],[DEVELOPMENT]],Data[],30,FALSE)</f>
        <v>2</v>
      </c>
      <c r="E225" s="67">
        <f>VLOOKUP(Yards[[#This Row],[DEVELOPMENT]],Data[],28,FALSE)</f>
        <v>0</v>
      </c>
      <c r="F225" s="66">
        <f>VLOOKUP(Yards[[#This Row],[DEVELOPMENT]],Data[],8,FALSE)</f>
        <v>0</v>
      </c>
      <c r="G225" s="66">
        <f>VLOOKUP(Yards[[#This Row],[DEVELOPMENT]],Data[],9,FALSE)</f>
        <v>0</v>
      </c>
      <c r="H225" s="66"/>
      <c r="I225" s="67">
        <f>IFERROR(VLOOKUP(Yards[[#This Row],[DEVELOPMENT]],Data[],4,FALSE),"")</f>
        <v>2019</v>
      </c>
      <c r="J225" s="67" t="str">
        <f>IF(Yards[[#This Row],[RAD/PACT]]="","",IF((Yards[[#This Row],[RAD/PACT]]&lt;=2025),"Yes",""))</f>
        <v>Yes</v>
      </c>
      <c r="K225" s="67" t="str">
        <f ca="1">IF(VLOOKUP(Yards[[#This Row],[DEVELOPMENT]],ExtComp[],8,FALSE)&lt;=5,"new","old")</f>
        <v>old</v>
      </c>
      <c r="L225" s="104">
        <f>IF(Yards[[#This Row],[RAD/PACT by 2025]]="Yes",0,INDEX(UnitCosts[],MATCH(Yards[[#This Row],[WORK TYPE]],UnitCosts[Work Type],0),2))</f>
        <v>0</v>
      </c>
      <c r="M225" s="1"/>
      <c r="N225" s="1"/>
      <c r="O225" s="1"/>
      <c r="P225" s="16"/>
    </row>
    <row r="226" spans="1:16" x14ac:dyDescent="0.25">
      <c r="A226" s="13" t="s">
        <v>256</v>
      </c>
      <c r="B226" s="67" t="str">
        <f>VLOOKUP(Yards[[#This Row],[DEVELOPMENT]],Data[],2,FALSE)</f>
        <v>BROOKLYN</v>
      </c>
      <c r="C22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26" s="67">
        <f>VLOOKUP(Yards[[#This Row],[DEVELOPMENT]],Data[],30,FALSE)</f>
        <v>2</v>
      </c>
      <c r="E226" s="67">
        <f>VLOOKUP(Yards[[#This Row],[DEVELOPMENT]],Data[],28,FALSE)</f>
        <v>0</v>
      </c>
      <c r="F226" s="66">
        <f>VLOOKUP(Yards[[#This Row],[DEVELOPMENT]],Data[],8,FALSE)</f>
        <v>0</v>
      </c>
      <c r="G226" s="66">
        <f>VLOOKUP(Yards[[#This Row],[DEVELOPMENT]],Data[],9,FALSE)</f>
        <v>0</v>
      </c>
      <c r="H226" s="66"/>
      <c r="I226" s="67" t="str">
        <f>IFERROR(VLOOKUP(Yards[[#This Row],[DEVELOPMENT]],Data[],4,FALSE),"")</f>
        <v/>
      </c>
      <c r="J226" s="67" t="str">
        <f>IF(Yards[[#This Row],[RAD/PACT]]="","",IF((Yards[[#This Row],[RAD/PACT]]&lt;=2025),"Yes",""))</f>
        <v/>
      </c>
      <c r="K226" s="67" t="str">
        <f ca="1">IF(VLOOKUP(Yards[[#This Row],[DEVELOPMENT]],ExtComp[],8,FALSE)&lt;=5,"new","old")</f>
        <v>old</v>
      </c>
      <c r="L226" s="104">
        <f ca="1">IF(Yards[[#This Row],[RAD/PACT by 2025]]="Yes",0,INDEX(UnitCosts[],MATCH(Yards[[#This Row],[WORK TYPE]],UnitCosts[Work Type],0),2))</f>
        <v>1591050.0199999998</v>
      </c>
      <c r="M226" s="1"/>
      <c r="N226" s="1"/>
      <c r="O226" s="1"/>
      <c r="P226" s="16"/>
    </row>
    <row r="227" spans="1:16" x14ac:dyDescent="0.25">
      <c r="A227" s="13" t="s">
        <v>257</v>
      </c>
      <c r="B227" s="67" t="str">
        <f>VLOOKUP(Yards[[#This Row],[DEVELOPMENT]],Data[],2,FALSE)</f>
        <v>QUEENS</v>
      </c>
      <c r="C22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27" s="67">
        <f>VLOOKUP(Yards[[#This Row],[DEVELOPMENT]],Data[],30,FALSE)</f>
        <v>0</v>
      </c>
      <c r="E227" s="67">
        <f>VLOOKUP(Yards[[#This Row],[DEVELOPMENT]],Data[],28,FALSE)</f>
        <v>0</v>
      </c>
      <c r="F227" s="66">
        <f>VLOOKUP(Yards[[#This Row],[DEVELOPMENT]],Data[],8,FALSE)</f>
        <v>0</v>
      </c>
      <c r="G227" s="66">
        <f>VLOOKUP(Yards[[#This Row],[DEVELOPMENT]],Data[],9,FALSE)</f>
        <v>0</v>
      </c>
      <c r="H227" s="66"/>
      <c r="I227" s="67" t="str">
        <f>IFERROR(VLOOKUP(Yards[[#This Row],[DEVELOPMENT]],Data[],4,FALSE),"")</f>
        <v/>
      </c>
      <c r="J227" s="67" t="str">
        <f>IF(Yards[[#This Row],[RAD/PACT]]="","",IF((Yards[[#This Row],[RAD/PACT]]&lt;=2025),"Yes",""))</f>
        <v/>
      </c>
      <c r="K227" s="67" t="str">
        <f ca="1">IF(VLOOKUP(Yards[[#This Row],[DEVELOPMENT]],ExtComp[],8,FALSE)&lt;=5,"new","old")</f>
        <v>old</v>
      </c>
      <c r="L227" s="104">
        <f>IF(Yards[[#This Row],[RAD/PACT by 2025]]="Yes",0,INDEX(UnitCosts[],MATCH(Yards[[#This Row],[WORK TYPE]],UnitCosts[Work Type],0),2))</f>
        <v>1159792.78</v>
      </c>
      <c r="M227" s="1"/>
      <c r="N227" s="1"/>
      <c r="O227" s="1"/>
      <c r="P227" s="16"/>
    </row>
    <row r="228" spans="1:16" x14ac:dyDescent="0.25">
      <c r="A228" s="13" t="s">
        <v>258</v>
      </c>
      <c r="B228" s="67" t="str">
        <f>VLOOKUP(Yards[[#This Row],[DEVELOPMENT]],Data[],2,FALSE)</f>
        <v>MANHATTAN</v>
      </c>
      <c r="C22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28" s="67">
        <f>VLOOKUP(Yards[[#This Row],[DEVELOPMENT]],Data[],30,FALSE)</f>
        <v>0</v>
      </c>
      <c r="E228" s="67">
        <f>VLOOKUP(Yards[[#This Row],[DEVELOPMENT]],Data[],28,FALSE)</f>
        <v>0</v>
      </c>
      <c r="F228" s="66">
        <f>VLOOKUP(Yards[[#This Row],[DEVELOPMENT]],Data[],8,FALSE)</f>
        <v>0</v>
      </c>
      <c r="G228" s="66">
        <f>VLOOKUP(Yards[[#This Row],[DEVELOPMENT]],Data[],9,FALSE)</f>
        <v>0</v>
      </c>
      <c r="H228" s="66"/>
      <c r="I228" s="67" t="str">
        <f>IFERROR(VLOOKUP(Yards[[#This Row],[DEVELOPMENT]],Data[],4,FALSE),"")</f>
        <v/>
      </c>
      <c r="J228" s="67" t="str">
        <f>IF(Yards[[#This Row],[RAD/PACT]]="","",IF((Yards[[#This Row],[RAD/PACT]]&lt;=2025),"Yes",""))</f>
        <v/>
      </c>
      <c r="K228" s="67" t="str">
        <f ca="1">IF(VLOOKUP(Yards[[#This Row],[DEVELOPMENT]],ExtComp[],8,FALSE)&lt;=5,"new","old")</f>
        <v>old</v>
      </c>
      <c r="L228" s="104">
        <f>IF(Yards[[#This Row],[RAD/PACT by 2025]]="Yes",0,INDEX(UnitCosts[],MATCH(Yards[[#This Row],[WORK TYPE]],UnitCosts[Work Type],0),2))</f>
        <v>1159792.78</v>
      </c>
      <c r="M228" s="1"/>
      <c r="N228" s="1"/>
      <c r="O228" s="1"/>
      <c r="P228" s="16"/>
    </row>
    <row r="229" spans="1:16" x14ac:dyDescent="0.25">
      <c r="A229" s="13" t="s">
        <v>260</v>
      </c>
      <c r="B229" s="67" t="str">
        <f>VLOOKUP(Yards[[#This Row],[DEVELOPMENT]],Data[],2,FALSE)</f>
        <v>QUEENS</v>
      </c>
      <c r="C22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29" s="67">
        <f>VLOOKUP(Yards[[#This Row],[DEVELOPMENT]],Data[],30,FALSE)</f>
        <v>1</v>
      </c>
      <c r="E229" s="67">
        <f>VLOOKUP(Yards[[#This Row],[DEVELOPMENT]],Data[],28,FALSE)</f>
        <v>0</v>
      </c>
      <c r="F229" s="66">
        <f>VLOOKUP(Yards[[#This Row],[DEVELOPMENT]],Data[],8,FALSE)</f>
        <v>0</v>
      </c>
      <c r="G229" s="66">
        <f>VLOOKUP(Yards[[#This Row],[DEVELOPMENT]],Data[],9,FALSE)</f>
        <v>0</v>
      </c>
      <c r="H229" s="66"/>
      <c r="I229" s="67" t="str">
        <f>IFERROR(VLOOKUP(Yards[[#This Row],[DEVELOPMENT]],Data[],4,FALSE),"")</f>
        <v/>
      </c>
      <c r="J229" s="67" t="str">
        <f>IF(Yards[[#This Row],[RAD/PACT]]="","",IF((Yards[[#This Row],[RAD/PACT]]&lt;=2025),"Yes",""))</f>
        <v/>
      </c>
      <c r="K229" s="67" t="str">
        <f ca="1">IF(VLOOKUP(Yards[[#This Row],[DEVELOPMENT]],ExtComp[],8,FALSE)&lt;=5,"new","old")</f>
        <v>old</v>
      </c>
      <c r="L229" s="104">
        <f ca="1">IF(Yards[[#This Row],[RAD/PACT by 2025]]="Yes",0,INDEX(UnitCosts[],MATCH(Yards[[#This Row],[WORK TYPE]],UnitCosts[Work Type],0),2))</f>
        <v>1159792.78</v>
      </c>
      <c r="M229" s="1"/>
      <c r="N229" s="1"/>
      <c r="O229" s="1"/>
      <c r="P229" s="16"/>
    </row>
    <row r="230" spans="1:16" x14ac:dyDescent="0.25">
      <c r="A230" s="13" t="s">
        <v>382</v>
      </c>
      <c r="B230" s="67" t="str">
        <f>VLOOKUP(Yards[[#This Row],[DEVELOPMENT]],Data[],2,FALSE)</f>
        <v>MANHATTAN</v>
      </c>
      <c r="C23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30" s="67">
        <f>VLOOKUP(Yards[[#This Row],[DEVELOPMENT]],Data[],30,FALSE)</f>
        <v>0</v>
      </c>
      <c r="E230" s="67">
        <f>VLOOKUP(Yards[[#This Row],[DEVELOPMENT]],Data[],28,FALSE)</f>
        <v>0</v>
      </c>
      <c r="F230" s="66">
        <f>VLOOKUP(Yards[[#This Row],[DEVELOPMENT]],Data[],8,FALSE)</f>
        <v>0</v>
      </c>
      <c r="G230" s="66">
        <f>VLOOKUP(Yards[[#This Row],[DEVELOPMENT]],Data[],9,FALSE)</f>
        <v>0</v>
      </c>
      <c r="H230" s="66"/>
      <c r="I230" s="67" t="str">
        <f>IFERROR(VLOOKUP(Yards[[#This Row],[DEVELOPMENT]],Data[],4,FALSE),"")</f>
        <v/>
      </c>
      <c r="J230" s="67" t="str">
        <f>IF(Yards[[#This Row],[RAD/PACT]]="","",IF((Yards[[#This Row],[RAD/PACT]]&lt;=2025),"Yes",""))</f>
        <v/>
      </c>
      <c r="K230" s="67" t="str">
        <f ca="1">IF(VLOOKUP(Yards[[#This Row],[DEVELOPMENT]],ExtComp[],8,FALSE)&lt;=5,"new","old")</f>
        <v>old</v>
      </c>
      <c r="L230" s="104">
        <f>IF(Yards[[#This Row],[RAD/PACT by 2025]]="Yes",0,INDEX(UnitCosts[],MATCH(Yards[[#This Row],[WORK TYPE]],UnitCosts[Work Type],0),2))</f>
        <v>1159792.78</v>
      </c>
      <c r="M230" s="1"/>
      <c r="N230" s="1"/>
      <c r="O230" s="1"/>
      <c r="P230" s="16"/>
    </row>
    <row r="231" spans="1:16" x14ac:dyDescent="0.25">
      <c r="A231" s="13" t="s">
        <v>261</v>
      </c>
      <c r="B231" s="67" t="str">
        <f>VLOOKUP(Yards[[#This Row],[DEVELOPMENT]],Data[],2,FALSE)</f>
        <v>QUEENS</v>
      </c>
      <c r="C23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31" s="67">
        <f>VLOOKUP(Yards[[#This Row],[DEVELOPMENT]],Data[],30,FALSE)</f>
        <v>0</v>
      </c>
      <c r="E231" s="67">
        <f>VLOOKUP(Yards[[#This Row],[DEVELOPMENT]],Data[],28,FALSE)</f>
        <v>0</v>
      </c>
      <c r="F231" s="66">
        <f>VLOOKUP(Yards[[#This Row],[DEVELOPMENT]],Data[],8,FALSE)</f>
        <v>0</v>
      </c>
      <c r="G231" s="66">
        <f>VLOOKUP(Yards[[#This Row],[DEVELOPMENT]],Data[],9,FALSE)</f>
        <v>0</v>
      </c>
      <c r="H231" s="66"/>
      <c r="I231" s="67" t="str">
        <f>IFERROR(VLOOKUP(Yards[[#This Row],[DEVELOPMENT]],Data[],4,FALSE),"")</f>
        <v/>
      </c>
      <c r="J231" s="67" t="str">
        <f>IF(Yards[[#This Row],[RAD/PACT]]="","",IF((Yards[[#This Row],[RAD/PACT]]&lt;=2025),"Yes",""))</f>
        <v/>
      </c>
      <c r="K231" s="67" t="str">
        <f ca="1">IF(VLOOKUP(Yards[[#This Row],[DEVELOPMENT]],ExtComp[],8,FALSE)&lt;=5,"new","old")</f>
        <v>old</v>
      </c>
      <c r="L231" s="104">
        <f>IF(Yards[[#This Row],[RAD/PACT by 2025]]="Yes",0,INDEX(UnitCosts[],MATCH(Yards[[#This Row],[WORK TYPE]],UnitCosts[Work Type],0),2))</f>
        <v>1159792.78</v>
      </c>
      <c r="M231" s="1"/>
      <c r="N231" s="1"/>
      <c r="O231" s="1"/>
      <c r="P231" s="16"/>
    </row>
    <row r="232" spans="1:16" x14ac:dyDescent="0.25">
      <c r="A232" s="13" t="s">
        <v>146</v>
      </c>
      <c r="B232" s="67" t="str">
        <f>VLOOKUP(Yards[[#This Row],[DEVELOPMENT]],Data[],2,FALSE)</f>
        <v>MANHATTAN</v>
      </c>
      <c r="C232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32" s="67">
        <f>VLOOKUP(Yards[[#This Row],[DEVELOPMENT]],Data[],30,FALSE)</f>
        <v>2</v>
      </c>
      <c r="E232" s="67">
        <f>VLOOKUP(Yards[[#This Row],[DEVELOPMENT]],Data[],28,FALSE)</f>
        <v>0</v>
      </c>
      <c r="F232" s="66">
        <f>VLOOKUP(Yards[[#This Row],[DEVELOPMENT]],Data[],8,FALSE)</f>
        <v>0</v>
      </c>
      <c r="G232" s="66">
        <f>VLOOKUP(Yards[[#This Row],[DEVELOPMENT]],Data[],9,FALSE)</f>
        <v>0</v>
      </c>
      <c r="H232" s="66"/>
      <c r="I232" s="67" t="str">
        <f>IFERROR(VLOOKUP(Yards[[#This Row],[DEVELOPMENT]],Data[],4,FALSE),"")</f>
        <v/>
      </c>
      <c r="J232" s="67" t="str">
        <f>IF(Yards[[#This Row],[RAD/PACT]]="","",IF((Yards[[#This Row],[RAD/PACT]]&lt;=2025),"Yes",""))</f>
        <v/>
      </c>
      <c r="K232" s="67" t="str">
        <f ca="1">IF(VLOOKUP(Yards[[#This Row],[DEVELOPMENT]],ExtComp[],8,FALSE)&lt;=5,"new","old")</f>
        <v>old</v>
      </c>
      <c r="L232" s="104">
        <f ca="1">IF(Yards[[#This Row],[RAD/PACT by 2025]]="Yes",0,INDEX(UnitCosts[],MATCH(Yards[[#This Row],[WORK TYPE]],UnitCosts[Work Type],0),2))</f>
        <v>1591050.0199999998</v>
      </c>
      <c r="M232" s="1"/>
      <c r="N232" s="1"/>
      <c r="O232" s="1"/>
      <c r="P232" s="16"/>
    </row>
    <row r="233" spans="1:16" x14ac:dyDescent="0.25">
      <c r="A233" s="13" t="s">
        <v>262</v>
      </c>
      <c r="B233" s="67" t="str">
        <f>VLOOKUP(Yards[[#This Row],[DEVELOPMENT]],Data[],2,FALSE)</f>
        <v>BROOKLYN</v>
      </c>
      <c r="C23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33" s="67">
        <f>VLOOKUP(Yards[[#This Row],[DEVELOPMENT]],Data[],30,FALSE)</f>
        <v>0</v>
      </c>
      <c r="E233" s="67">
        <f>VLOOKUP(Yards[[#This Row],[DEVELOPMENT]],Data[],28,FALSE)</f>
        <v>0</v>
      </c>
      <c r="F233" s="66">
        <f>VLOOKUP(Yards[[#This Row],[DEVELOPMENT]],Data[],8,FALSE)</f>
        <v>0</v>
      </c>
      <c r="G233" s="66">
        <f>VLOOKUP(Yards[[#This Row],[DEVELOPMENT]],Data[],9,FALSE)</f>
        <v>0</v>
      </c>
      <c r="H233" s="66"/>
      <c r="I233" s="67">
        <f>IFERROR(VLOOKUP(Yards[[#This Row],[DEVELOPMENT]],Data[],4,FALSE),"")</f>
        <v>2021</v>
      </c>
      <c r="J233" s="67" t="str">
        <f>IF(Yards[[#This Row],[RAD/PACT]]="","",IF((Yards[[#This Row],[RAD/PACT]]&lt;=2025),"Yes",""))</f>
        <v>Yes</v>
      </c>
      <c r="K233" s="67" t="str">
        <f ca="1">IF(VLOOKUP(Yards[[#This Row],[DEVELOPMENT]],ExtComp[],8,FALSE)&lt;=5,"new","old")</f>
        <v>old</v>
      </c>
      <c r="L233" s="104">
        <f>IF(Yards[[#This Row],[RAD/PACT by 2025]]="Yes",0,INDEX(UnitCosts[],MATCH(Yards[[#This Row],[WORK TYPE]],UnitCosts[Work Type],0),2))</f>
        <v>0</v>
      </c>
      <c r="M233" s="1"/>
      <c r="N233" s="1"/>
      <c r="O233" s="1"/>
      <c r="P233" s="16"/>
    </row>
    <row r="234" spans="1:16" x14ac:dyDescent="0.25">
      <c r="A234" s="13" t="s">
        <v>263</v>
      </c>
      <c r="B234" s="67" t="str">
        <f>VLOOKUP(Yards[[#This Row],[DEVELOPMENT]],Data[],2,FALSE)</f>
        <v>BROOKLYN</v>
      </c>
      <c r="C23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34" s="67">
        <f>VLOOKUP(Yards[[#This Row],[DEVELOPMENT]],Data[],30,FALSE)</f>
        <v>0</v>
      </c>
      <c r="E234" s="67">
        <f>VLOOKUP(Yards[[#This Row],[DEVELOPMENT]],Data[],28,FALSE)</f>
        <v>1</v>
      </c>
      <c r="F234" s="66">
        <f>VLOOKUP(Yards[[#This Row],[DEVELOPMENT]],Data[],8,FALSE)</f>
        <v>0</v>
      </c>
      <c r="G234" s="66">
        <f>VLOOKUP(Yards[[#This Row],[DEVELOPMENT]],Data[],9,FALSE)</f>
        <v>0</v>
      </c>
      <c r="H234" s="66"/>
      <c r="I234" s="67">
        <f>IFERROR(VLOOKUP(Yards[[#This Row],[DEVELOPMENT]],Data[],4,FALSE),"")</f>
        <v>2020</v>
      </c>
      <c r="J234" s="67" t="str">
        <f>IF(Yards[[#This Row],[RAD/PACT]]="","",IF((Yards[[#This Row],[RAD/PACT]]&lt;=2025),"Yes",""))</f>
        <v>Yes</v>
      </c>
      <c r="K234" s="67" t="str">
        <f ca="1">IF(VLOOKUP(Yards[[#This Row],[DEVELOPMENT]],ExtComp[],8,FALSE)&lt;=5,"new","old")</f>
        <v>old</v>
      </c>
      <c r="L234" s="104">
        <f>IF(Yards[[#This Row],[RAD/PACT by 2025]]="Yes",0,INDEX(UnitCosts[],MATCH(Yards[[#This Row],[WORK TYPE]],UnitCosts[Work Type],0),2))</f>
        <v>0</v>
      </c>
      <c r="M234" s="1"/>
      <c r="N234" s="1"/>
      <c r="O234" s="1"/>
      <c r="P234" s="16"/>
    </row>
    <row r="235" spans="1:16" x14ac:dyDescent="0.25">
      <c r="A235" s="13" t="s">
        <v>264</v>
      </c>
      <c r="B235" s="67" t="str">
        <f>VLOOKUP(Yards[[#This Row],[DEVELOPMENT]],Data[],2,FALSE)</f>
        <v>BROOKLYN</v>
      </c>
      <c r="C23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35" s="67">
        <f>VLOOKUP(Yards[[#This Row],[DEVELOPMENT]],Data[],30,FALSE)</f>
        <v>0</v>
      </c>
      <c r="E235" s="67">
        <f>VLOOKUP(Yards[[#This Row],[DEVELOPMENT]],Data[],28,FALSE)</f>
        <v>0</v>
      </c>
      <c r="F235" s="66">
        <f>VLOOKUP(Yards[[#This Row],[DEVELOPMENT]],Data[],8,FALSE)</f>
        <v>0</v>
      </c>
      <c r="G235" s="66">
        <f>VLOOKUP(Yards[[#This Row],[DEVELOPMENT]],Data[],9,FALSE)</f>
        <v>0</v>
      </c>
      <c r="H235" s="66"/>
      <c r="I235" s="67">
        <f>IFERROR(VLOOKUP(Yards[[#This Row],[DEVELOPMENT]],Data[],4,FALSE),"")</f>
        <v>2026</v>
      </c>
      <c r="J235" s="67" t="str">
        <f>IF(Yards[[#This Row],[RAD/PACT]]="","",IF((Yards[[#This Row],[RAD/PACT]]&lt;=2025),"Yes",""))</f>
        <v/>
      </c>
      <c r="K235" s="67" t="str">
        <f ca="1">IF(VLOOKUP(Yards[[#This Row],[DEVELOPMENT]],ExtComp[],8,FALSE)&lt;=5,"new","old")</f>
        <v>old</v>
      </c>
      <c r="L235" s="104">
        <f>IF(Yards[[#This Row],[RAD/PACT by 2025]]="Yes",0,INDEX(UnitCosts[],MATCH(Yards[[#This Row],[WORK TYPE]],UnitCosts[Work Type],0),2))</f>
        <v>1159792.78</v>
      </c>
      <c r="M235" s="1"/>
      <c r="N235" s="1"/>
      <c r="O235" s="1"/>
      <c r="P235" s="16"/>
    </row>
    <row r="236" spans="1:16" x14ac:dyDescent="0.25">
      <c r="A236" s="13" t="s">
        <v>265</v>
      </c>
      <c r="B236" s="67" t="str">
        <f>VLOOKUP(Yards[[#This Row],[DEVELOPMENT]],Data[],2,FALSE)</f>
        <v>BRONX</v>
      </c>
      <c r="C23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36" s="67">
        <f>VLOOKUP(Yards[[#This Row],[DEVELOPMENT]],Data[],30,FALSE)</f>
        <v>0</v>
      </c>
      <c r="E236" s="67">
        <f>VLOOKUP(Yards[[#This Row],[DEVELOPMENT]],Data[],28,FALSE)</f>
        <v>0</v>
      </c>
      <c r="F236" s="66">
        <f>VLOOKUP(Yards[[#This Row],[DEVELOPMENT]],Data[],8,FALSE)</f>
        <v>0</v>
      </c>
      <c r="G236" s="66">
        <f>VLOOKUP(Yards[[#This Row],[DEVELOPMENT]],Data[],9,FALSE)</f>
        <v>0</v>
      </c>
      <c r="H236" s="66"/>
      <c r="I236" s="67" t="str">
        <f>IFERROR(VLOOKUP(Yards[[#This Row],[DEVELOPMENT]],Data[],4,FALSE),"")</f>
        <v/>
      </c>
      <c r="J236" s="67" t="str">
        <f>IF(Yards[[#This Row],[RAD/PACT]]="","",IF((Yards[[#This Row],[RAD/PACT]]&lt;=2025),"Yes",""))</f>
        <v/>
      </c>
      <c r="K236" s="67" t="str">
        <f ca="1">IF(VLOOKUP(Yards[[#This Row],[DEVELOPMENT]],ExtComp[],8,FALSE)&lt;=5,"new","old")</f>
        <v>old</v>
      </c>
      <c r="L236" s="104">
        <f>IF(Yards[[#This Row],[RAD/PACT by 2025]]="Yes",0,INDEX(UnitCosts[],MATCH(Yards[[#This Row],[WORK TYPE]],UnitCosts[Work Type],0),2))</f>
        <v>1159792.78</v>
      </c>
      <c r="M236" s="1"/>
      <c r="N236" s="1"/>
      <c r="O236" s="1"/>
      <c r="P236" s="16"/>
    </row>
    <row r="237" spans="1:16" x14ac:dyDescent="0.25">
      <c r="A237" s="13" t="s">
        <v>266</v>
      </c>
      <c r="B237" s="67" t="str">
        <f>VLOOKUP(Yards[[#This Row],[DEVELOPMENT]],Data[],2,FALSE)</f>
        <v>BROOKLYN</v>
      </c>
      <c r="C23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37" s="67">
        <f>VLOOKUP(Yards[[#This Row],[DEVELOPMENT]],Data[],30,FALSE)</f>
        <v>0</v>
      </c>
      <c r="E237" s="67">
        <f>VLOOKUP(Yards[[#This Row],[DEVELOPMENT]],Data[],28,FALSE)</f>
        <v>0</v>
      </c>
      <c r="F237" s="66">
        <f>VLOOKUP(Yards[[#This Row],[DEVELOPMENT]],Data[],8,FALSE)</f>
        <v>0</v>
      </c>
      <c r="G237" s="66">
        <f>VLOOKUP(Yards[[#This Row],[DEVELOPMENT]],Data[],9,FALSE)</f>
        <v>0</v>
      </c>
      <c r="H237" s="66">
        <v>1</v>
      </c>
      <c r="I237" s="67" t="str">
        <f>IFERROR(VLOOKUP(Yards[[#This Row],[DEVELOPMENT]],Data[],4,FALSE),"")</f>
        <v/>
      </c>
      <c r="J237" s="67" t="str">
        <f>IF(Yards[[#This Row],[RAD/PACT]]="","",IF((Yards[[#This Row],[RAD/PACT]]&lt;=2025),"Yes",""))</f>
        <v/>
      </c>
      <c r="K237" s="67" t="str">
        <f ca="1">IF(VLOOKUP(Yards[[#This Row],[DEVELOPMENT]],ExtComp[],8,FALSE)&lt;=5,"new","old")</f>
        <v>old</v>
      </c>
      <c r="L237" s="104">
        <f>IF(Yards[[#This Row],[RAD/PACT by 2025]]="Yes",0,INDEX(UnitCosts[],MATCH(Yards[[#This Row],[WORK TYPE]],UnitCosts[Work Type],0),2))</f>
        <v>1159792.78</v>
      </c>
      <c r="M237" s="1"/>
      <c r="N237" s="1"/>
      <c r="O237" s="1"/>
      <c r="P237" s="16"/>
    </row>
    <row r="238" spans="1:16" x14ac:dyDescent="0.25">
      <c r="A238" s="13" t="s">
        <v>268</v>
      </c>
      <c r="B238" s="67" t="str">
        <f>VLOOKUP(Yards[[#This Row],[DEVELOPMENT]],Data[],2,FALSE)</f>
        <v>BRONX</v>
      </c>
      <c r="C238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238" s="67">
        <f>VLOOKUP(Yards[[#This Row],[DEVELOPMENT]],Data[],30,FALSE)</f>
        <v>3</v>
      </c>
      <c r="E238" s="67">
        <f>VLOOKUP(Yards[[#This Row],[DEVELOPMENT]],Data[],28,FALSE)</f>
        <v>0</v>
      </c>
      <c r="F238" s="66">
        <f>VLOOKUP(Yards[[#This Row],[DEVELOPMENT]],Data[],8,FALSE)</f>
        <v>0</v>
      </c>
      <c r="G238" s="66">
        <f>VLOOKUP(Yards[[#This Row],[DEVELOPMENT]],Data[],9,FALSE)</f>
        <v>0</v>
      </c>
      <c r="H238" s="66"/>
      <c r="I238" s="67" t="str">
        <f>IFERROR(VLOOKUP(Yards[[#This Row],[DEVELOPMENT]],Data[],4,FALSE),"")</f>
        <v/>
      </c>
      <c r="J238" s="67" t="str">
        <f>IF(Yards[[#This Row],[RAD/PACT]]="","",IF((Yards[[#This Row],[RAD/PACT]]&lt;=2025),"Yes",""))</f>
        <v/>
      </c>
      <c r="K238" s="67" t="str">
        <f ca="1">IF(VLOOKUP(Yards[[#This Row],[DEVELOPMENT]],ExtComp[],8,FALSE)&lt;=5,"new","old")</f>
        <v>old</v>
      </c>
      <c r="L238" s="104">
        <f ca="1">IF(Yards[[#This Row],[RAD/PACT by 2025]]="Yes",0,INDEX(UnitCosts[],MATCH(Yards[[#This Row],[WORK TYPE]],UnitCosts[Work Type],0),2))</f>
        <v>2022307.2600000005</v>
      </c>
      <c r="M238" s="1"/>
      <c r="N238" s="1"/>
      <c r="O238" s="1"/>
      <c r="P238" s="16"/>
    </row>
    <row r="239" spans="1:16" x14ac:dyDescent="0.25">
      <c r="A239" s="13" t="s">
        <v>270</v>
      </c>
      <c r="B239" s="67" t="str">
        <f>VLOOKUP(Yards[[#This Row],[DEVELOPMENT]],Data[],2,FALSE)</f>
        <v>BROOKLYN</v>
      </c>
      <c r="C23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39" s="67">
        <f>VLOOKUP(Yards[[#This Row],[DEVELOPMENT]],Data[],30,FALSE)</f>
        <v>0</v>
      </c>
      <c r="E239" s="67">
        <f>VLOOKUP(Yards[[#This Row],[DEVELOPMENT]],Data[],28,FALSE)</f>
        <v>0</v>
      </c>
      <c r="F239" s="66">
        <f>VLOOKUP(Yards[[#This Row],[DEVELOPMENT]],Data[],8,FALSE)</f>
        <v>0</v>
      </c>
      <c r="G239" s="66">
        <f>VLOOKUP(Yards[[#This Row],[DEVELOPMENT]],Data[],9,FALSE)</f>
        <v>0</v>
      </c>
      <c r="H239" s="66"/>
      <c r="I239" s="67">
        <f>IFERROR(VLOOKUP(Yards[[#This Row],[DEVELOPMENT]],Data[],4,FALSE),"")</f>
        <v>2019</v>
      </c>
      <c r="J239" s="67" t="str">
        <f>IF(Yards[[#This Row],[RAD/PACT]]="","",IF((Yards[[#This Row],[RAD/PACT]]&lt;=2025),"Yes",""))</f>
        <v>Yes</v>
      </c>
      <c r="K239" s="67" t="str">
        <f ca="1">IF(VLOOKUP(Yards[[#This Row],[DEVELOPMENT]],ExtComp[],8,FALSE)&lt;=5,"new","old")</f>
        <v>old</v>
      </c>
      <c r="L239" s="104">
        <f>IF(Yards[[#This Row],[RAD/PACT by 2025]]="Yes",0,INDEX(UnitCosts[],MATCH(Yards[[#This Row],[WORK TYPE]],UnitCosts[Work Type],0),2))</f>
        <v>0</v>
      </c>
      <c r="M239" s="1"/>
      <c r="N239" s="1"/>
      <c r="O239" s="1"/>
      <c r="P239" s="16"/>
    </row>
    <row r="240" spans="1:16" x14ac:dyDescent="0.25">
      <c r="A240" s="13" t="s">
        <v>271</v>
      </c>
      <c r="B240" s="67" t="str">
        <f>VLOOKUP(Yards[[#This Row],[DEVELOPMENT]],Data[],2,FALSE)</f>
        <v>STATEN ISLAND</v>
      </c>
      <c r="C24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40" s="67">
        <f>VLOOKUP(Yards[[#This Row],[DEVELOPMENT]],Data[],30,FALSE)</f>
        <v>0</v>
      </c>
      <c r="E240" s="67">
        <f>VLOOKUP(Yards[[#This Row],[DEVELOPMENT]],Data[],28,FALSE)</f>
        <v>0</v>
      </c>
      <c r="F240" s="66">
        <f>VLOOKUP(Yards[[#This Row],[DEVELOPMENT]],Data[],8,FALSE)</f>
        <v>0</v>
      </c>
      <c r="G240" s="66">
        <f>VLOOKUP(Yards[[#This Row],[DEVELOPMENT]],Data[],9,FALSE)</f>
        <v>0</v>
      </c>
      <c r="H240" s="66"/>
      <c r="I240" s="67">
        <f>IFERROR(VLOOKUP(Yards[[#This Row],[DEVELOPMENT]],Data[],4,FALSE),"")</f>
        <v>2028</v>
      </c>
      <c r="J240" s="67" t="str">
        <f>IF(Yards[[#This Row],[RAD/PACT]]="","",IF((Yards[[#This Row],[RAD/PACT]]&lt;=2025),"Yes",""))</f>
        <v/>
      </c>
      <c r="K240" s="67" t="str">
        <f ca="1">IF(VLOOKUP(Yards[[#This Row],[DEVELOPMENT]],ExtComp[],8,FALSE)&lt;=5,"new","old")</f>
        <v>old</v>
      </c>
      <c r="L240" s="104">
        <f>IF(Yards[[#This Row],[RAD/PACT by 2025]]="Yes",0,INDEX(UnitCosts[],MATCH(Yards[[#This Row],[WORK TYPE]],UnitCosts[Work Type],0),2))</f>
        <v>1159792.78</v>
      </c>
      <c r="M240" s="1"/>
      <c r="N240" s="1"/>
      <c r="O240" s="1"/>
      <c r="P240" s="16"/>
    </row>
    <row r="241" spans="1:16" x14ac:dyDescent="0.25">
      <c r="A241" s="13" t="s">
        <v>272</v>
      </c>
      <c r="B241" s="67" t="str">
        <f>VLOOKUP(Yards[[#This Row],[DEVELOPMENT]],Data[],2,FALSE)</f>
        <v>BROOKLYN</v>
      </c>
      <c r="C24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41" s="67">
        <f>VLOOKUP(Yards[[#This Row],[DEVELOPMENT]],Data[],30,FALSE)</f>
        <v>0</v>
      </c>
      <c r="E241" s="67">
        <f>VLOOKUP(Yards[[#This Row],[DEVELOPMENT]],Data[],28,FALSE)</f>
        <v>0</v>
      </c>
      <c r="F241" s="66">
        <f>VLOOKUP(Yards[[#This Row],[DEVELOPMENT]],Data[],8,FALSE)</f>
        <v>0</v>
      </c>
      <c r="G241" s="66">
        <f>VLOOKUP(Yards[[#This Row],[DEVELOPMENT]],Data[],9,FALSE)</f>
        <v>0</v>
      </c>
      <c r="H241" s="66"/>
      <c r="I241" s="67" t="str">
        <f>IFERROR(VLOOKUP(Yards[[#This Row],[DEVELOPMENT]],Data[],4,FALSE),"")</f>
        <v/>
      </c>
      <c r="J241" s="67" t="str">
        <f>IF(Yards[[#This Row],[RAD/PACT]]="","",IF((Yards[[#This Row],[RAD/PACT]]&lt;=2025),"Yes",""))</f>
        <v/>
      </c>
      <c r="K241" s="67" t="str">
        <f ca="1">IF(VLOOKUP(Yards[[#This Row],[DEVELOPMENT]],ExtComp[],8,FALSE)&lt;=5,"new","old")</f>
        <v>old</v>
      </c>
      <c r="L241" s="104">
        <f>IF(Yards[[#This Row],[RAD/PACT by 2025]]="Yes",0,INDEX(UnitCosts[],MATCH(Yards[[#This Row],[WORK TYPE]],UnitCosts[Work Type],0),2))</f>
        <v>1159792.78</v>
      </c>
      <c r="M241" s="1"/>
      <c r="N241" s="1"/>
      <c r="O241" s="1"/>
      <c r="P241" s="16"/>
    </row>
    <row r="242" spans="1:16" x14ac:dyDescent="0.25">
      <c r="A242" s="13" t="s">
        <v>274</v>
      </c>
      <c r="B242" s="67" t="str">
        <f>VLOOKUP(Yards[[#This Row],[DEVELOPMENT]],Data[],2,FALSE)</f>
        <v>BRONX</v>
      </c>
      <c r="C24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42" s="67">
        <f>VLOOKUP(Yards[[#This Row],[DEVELOPMENT]],Data[],30,FALSE)</f>
        <v>0</v>
      </c>
      <c r="E242" s="67">
        <f>VLOOKUP(Yards[[#This Row],[DEVELOPMENT]],Data[],28,FALSE)</f>
        <v>0</v>
      </c>
      <c r="F242" s="66">
        <f>VLOOKUP(Yards[[#This Row],[DEVELOPMENT]],Data[],8,FALSE)</f>
        <v>0</v>
      </c>
      <c r="G242" s="66">
        <f>VLOOKUP(Yards[[#This Row],[DEVELOPMENT]],Data[],9,FALSE)</f>
        <v>0</v>
      </c>
      <c r="H242" s="66"/>
      <c r="I242" s="67">
        <f>IFERROR(VLOOKUP(Yards[[#This Row],[DEVELOPMENT]],Data[],4,FALSE),"")</f>
        <v>2026</v>
      </c>
      <c r="J242" s="67" t="str">
        <f>IF(Yards[[#This Row],[RAD/PACT]]="","",IF((Yards[[#This Row],[RAD/PACT]]&lt;=2025),"Yes",""))</f>
        <v/>
      </c>
      <c r="K242" s="67" t="str">
        <f ca="1">IF(VLOOKUP(Yards[[#This Row],[DEVELOPMENT]],ExtComp[],8,FALSE)&lt;=5,"new","old")</f>
        <v>old</v>
      </c>
      <c r="L242" s="104">
        <f>IF(Yards[[#This Row],[RAD/PACT by 2025]]="Yes",0,INDEX(UnitCosts[],MATCH(Yards[[#This Row],[WORK TYPE]],UnitCosts[Work Type],0),2))</f>
        <v>1159792.78</v>
      </c>
      <c r="M242" s="1"/>
      <c r="N242" s="1"/>
      <c r="O242" s="1"/>
      <c r="P242" s="16"/>
    </row>
    <row r="243" spans="1:16" x14ac:dyDescent="0.25">
      <c r="A243" s="13" t="s">
        <v>275</v>
      </c>
      <c r="B243" s="67" t="str">
        <f>VLOOKUP(Yards[[#This Row],[DEVELOPMENT]],Data[],2,FALSE)</f>
        <v>BRONX</v>
      </c>
      <c r="C24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243" s="67">
        <f>VLOOKUP(Yards[[#This Row],[DEVELOPMENT]],Data[],30,FALSE)</f>
        <v>3</v>
      </c>
      <c r="E243" s="67">
        <f>VLOOKUP(Yards[[#This Row],[DEVELOPMENT]],Data[],28,FALSE)</f>
        <v>0</v>
      </c>
      <c r="F243" s="66">
        <f>VLOOKUP(Yards[[#This Row],[DEVELOPMENT]],Data[],8,FALSE)</f>
        <v>0</v>
      </c>
      <c r="G243" s="66">
        <f>VLOOKUP(Yards[[#This Row],[DEVELOPMENT]],Data[],9,FALSE)</f>
        <v>0</v>
      </c>
      <c r="H243" s="66"/>
      <c r="I243" s="67" t="str">
        <f>IFERROR(VLOOKUP(Yards[[#This Row],[DEVELOPMENT]],Data[],4,FALSE),"")</f>
        <v/>
      </c>
      <c r="J243" s="67" t="str">
        <f>IF(Yards[[#This Row],[RAD/PACT]]="","",IF((Yards[[#This Row],[RAD/PACT]]&lt;=2025),"Yes",""))</f>
        <v/>
      </c>
      <c r="K243" s="67" t="str">
        <f ca="1">IF(VLOOKUP(Yards[[#This Row],[DEVELOPMENT]],ExtComp[],8,FALSE)&lt;=5,"new","old")</f>
        <v>old</v>
      </c>
      <c r="L243" s="104">
        <f ca="1">IF(Yards[[#This Row],[RAD/PACT by 2025]]="Yes",0,INDEX(UnitCosts[],MATCH(Yards[[#This Row],[WORK TYPE]],UnitCosts[Work Type],0),2))</f>
        <v>2022307.2600000005</v>
      </c>
      <c r="M243" s="1"/>
      <c r="N243" s="1"/>
      <c r="O243" s="1"/>
      <c r="P243" s="16"/>
    </row>
    <row r="244" spans="1:16" x14ac:dyDescent="0.25">
      <c r="A244" s="13" t="s">
        <v>276</v>
      </c>
      <c r="B244" s="67" t="str">
        <f>VLOOKUP(Yards[[#This Row],[DEVELOPMENT]],Data[],2,FALSE)</f>
        <v>BRONX</v>
      </c>
      <c r="C24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44" s="67">
        <f>VLOOKUP(Yards[[#This Row],[DEVELOPMENT]],Data[],30,FALSE)</f>
        <v>0</v>
      </c>
      <c r="E244" s="67">
        <f>VLOOKUP(Yards[[#This Row],[DEVELOPMENT]],Data[],28,FALSE)</f>
        <v>0</v>
      </c>
      <c r="F244" s="66">
        <f>VLOOKUP(Yards[[#This Row],[DEVELOPMENT]],Data[],8,FALSE)</f>
        <v>0</v>
      </c>
      <c r="G244" s="66">
        <f>VLOOKUP(Yards[[#This Row],[DEVELOPMENT]],Data[],9,FALSE)</f>
        <v>0</v>
      </c>
      <c r="H244" s="66"/>
      <c r="I244" s="67" t="str">
        <f>IFERROR(VLOOKUP(Yards[[#This Row],[DEVELOPMENT]],Data[],4,FALSE),"")</f>
        <v/>
      </c>
      <c r="J244" s="67" t="str">
        <f>IF(Yards[[#This Row],[RAD/PACT]]="","",IF((Yards[[#This Row],[RAD/PACT]]&lt;=2025),"Yes",""))</f>
        <v/>
      </c>
      <c r="K244" s="67" t="str">
        <f ca="1">IF(VLOOKUP(Yards[[#This Row],[DEVELOPMENT]],ExtComp[],8,FALSE)&lt;=5,"new","old")</f>
        <v>old</v>
      </c>
      <c r="L244" s="104">
        <f>IF(Yards[[#This Row],[RAD/PACT by 2025]]="Yes",0,INDEX(UnitCosts[],MATCH(Yards[[#This Row],[WORK TYPE]],UnitCosts[Work Type],0),2))</f>
        <v>1159792.78</v>
      </c>
      <c r="M244" s="1"/>
      <c r="N244" s="1"/>
      <c r="O244" s="1"/>
      <c r="P244" s="16"/>
    </row>
    <row r="245" spans="1:16" x14ac:dyDescent="0.25">
      <c r="A245" s="13" t="s">
        <v>277</v>
      </c>
      <c r="B245" s="67" t="str">
        <f>VLOOKUP(Yards[[#This Row],[DEVELOPMENT]],Data[],2,FALSE)</f>
        <v>BRONX</v>
      </c>
      <c r="C24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245" s="67">
        <f>VLOOKUP(Yards[[#This Row],[DEVELOPMENT]],Data[],30,FALSE)</f>
        <v>4</v>
      </c>
      <c r="E245" s="67">
        <f>VLOOKUP(Yards[[#This Row],[DEVELOPMENT]],Data[],28,FALSE)</f>
        <v>0</v>
      </c>
      <c r="F245" s="66">
        <f>VLOOKUP(Yards[[#This Row],[DEVELOPMENT]],Data[],8,FALSE)</f>
        <v>0</v>
      </c>
      <c r="G245" s="66">
        <f>VLOOKUP(Yards[[#This Row],[DEVELOPMENT]],Data[],9,FALSE)</f>
        <v>0</v>
      </c>
      <c r="H245" s="66"/>
      <c r="I245" s="67" t="str">
        <f>IFERROR(VLOOKUP(Yards[[#This Row],[DEVELOPMENT]],Data[],4,FALSE),"")</f>
        <v/>
      </c>
      <c r="J245" s="67" t="str">
        <f>IF(Yards[[#This Row],[RAD/PACT]]="","",IF((Yards[[#This Row],[RAD/PACT]]&lt;=2025),"Yes",""))</f>
        <v/>
      </c>
      <c r="K245" s="67" t="str">
        <f ca="1">IF(VLOOKUP(Yards[[#This Row],[DEVELOPMENT]],ExtComp[],8,FALSE)&lt;=5,"new","old")</f>
        <v>old</v>
      </c>
      <c r="L245" s="104">
        <f ca="1">IF(Yards[[#This Row],[RAD/PACT by 2025]]="Yes",0,INDEX(UnitCosts[],MATCH(Yards[[#This Row],[WORK TYPE]],UnitCosts[Work Type],0),2))</f>
        <v>2453564.4999999995</v>
      </c>
      <c r="M245" s="1"/>
      <c r="N245" s="1"/>
      <c r="O245" s="1"/>
      <c r="P245" s="16"/>
    </row>
    <row r="246" spans="1:16" x14ac:dyDescent="0.25">
      <c r="A246" s="13" t="s">
        <v>278</v>
      </c>
      <c r="B246" s="67" t="str">
        <f>VLOOKUP(Yards[[#This Row],[DEVELOPMENT]],Data[],2,FALSE)</f>
        <v>BRONX</v>
      </c>
      <c r="C24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46" s="67">
        <f>VLOOKUP(Yards[[#This Row],[DEVELOPMENT]],Data[],30,FALSE)</f>
        <v>2</v>
      </c>
      <c r="E246" s="67">
        <f>VLOOKUP(Yards[[#This Row],[DEVELOPMENT]],Data[],28,FALSE)</f>
        <v>0</v>
      </c>
      <c r="F246" s="66">
        <f>VLOOKUP(Yards[[#This Row],[DEVELOPMENT]],Data[],8,FALSE)</f>
        <v>0</v>
      </c>
      <c r="G246" s="66">
        <f>VLOOKUP(Yards[[#This Row],[DEVELOPMENT]],Data[],9,FALSE)</f>
        <v>0</v>
      </c>
      <c r="H246" s="66"/>
      <c r="I246" s="67" t="str">
        <f>IFERROR(VLOOKUP(Yards[[#This Row],[DEVELOPMENT]],Data[],4,FALSE),"")</f>
        <v/>
      </c>
      <c r="J246" s="67" t="str">
        <f>IF(Yards[[#This Row],[RAD/PACT]]="","",IF((Yards[[#This Row],[RAD/PACT]]&lt;=2025),"Yes",""))</f>
        <v/>
      </c>
      <c r="K246" s="67" t="str">
        <f ca="1">IF(VLOOKUP(Yards[[#This Row],[DEVELOPMENT]],ExtComp[],8,FALSE)&lt;=5,"new","old")</f>
        <v>old</v>
      </c>
      <c r="L246" s="104">
        <f ca="1">IF(Yards[[#This Row],[RAD/PACT by 2025]]="Yes",0,INDEX(UnitCosts[],MATCH(Yards[[#This Row],[WORK TYPE]],UnitCosts[Work Type],0),2))</f>
        <v>1591050.0199999998</v>
      </c>
      <c r="M246" s="1"/>
      <c r="N246" s="1"/>
      <c r="O246" s="1"/>
      <c r="P246" s="16"/>
    </row>
    <row r="247" spans="1:16" x14ac:dyDescent="0.25">
      <c r="A247" s="13" t="s">
        <v>279</v>
      </c>
      <c r="B247" s="67" t="str">
        <f>VLOOKUP(Yards[[#This Row],[DEVELOPMENT]],Data[],2,FALSE)</f>
        <v>STATEN ISLAND</v>
      </c>
      <c r="C24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47" s="67">
        <f>VLOOKUP(Yards[[#This Row],[DEVELOPMENT]],Data[],30,FALSE)</f>
        <v>0</v>
      </c>
      <c r="E247" s="67">
        <f>VLOOKUP(Yards[[#This Row],[DEVELOPMENT]],Data[],28,FALSE)</f>
        <v>0</v>
      </c>
      <c r="F247" s="66">
        <f>VLOOKUP(Yards[[#This Row],[DEVELOPMENT]],Data[],8,FALSE)</f>
        <v>0</v>
      </c>
      <c r="G247" s="66">
        <f>VLOOKUP(Yards[[#This Row],[DEVELOPMENT]],Data[],9,FALSE)</f>
        <v>0</v>
      </c>
      <c r="H247" s="66"/>
      <c r="I247" s="67" t="str">
        <f>IFERROR(VLOOKUP(Yards[[#This Row],[DEVELOPMENT]],Data[],4,FALSE),"")</f>
        <v/>
      </c>
      <c r="J247" s="67" t="str">
        <f>IF(Yards[[#This Row],[RAD/PACT]]="","",IF((Yards[[#This Row],[RAD/PACT]]&lt;=2025),"Yes",""))</f>
        <v/>
      </c>
      <c r="K247" s="67" t="str">
        <f ca="1">IF(VLOOKUP(Yards[[#This Row],[DEVELOPMENT]],ExtComp[],8,FALSE)&lt;=5,"new","old")</f>
        <v>old</v>
      </c>
      <c r="L247" s="104">
        <f>IF(Yards[[#This Row],[RAD/PACT by 2025]]="Yes",0,INDEX(UnitCosts[],MATCH(Yards[[#This Row],[WORK TYPE]],UnitCosts[Work Type],0),2))</f>
        <v>1159792.78</v>
      </c>
      <c r="M247" s="1"/>
      <c r="N247" s="1"/>
      <c r="O247" s="1"/>
      <c r="P247" s="16"/>
    </row>
    <row r="248" spans="1:16" x14ac:dyDescent="0.25">
      <c r="A248" s="13" t="s">
        <v>280</v>
      </c>
      <c r="B248" s="67" t="str">
        <f>VLOOKUP(Yards[[#This Row],[DEVELOPMENT]],Data[],2,FALSE)</f>
        <v>BROOKLYN</v>
      </c>
      <c r="C24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48" s="67">
        <f>VLOOKUP(Yards[[#This Row],[DEVELOPMENT]],Data[],30,FALSE)</f>
        <v>0</v>
      </c>
      <c r="E248" s="67">
        <f>VLOOKUP(Yards[[#This Row],[DEVELOPMENT]],Data[],28,FALSE)</f>
        <v>0</v>
      </c>
      <c r="F248" s="66">
        <f>VLOOKUP(Yards[[#This Row],[DEVELOPMENT]],Data[],8,FALSE)</f>
        <v>0</v>
      </c>
      <c r="G248" s="66">
        <f>VLOOKUP(Yards[[#This Row],[DEVELOPMENT]],Data[],9,FALSE)</f>
        <v>0</v>
      </c>
      <c r="H248" s="66"/>
      <c r="I248" s="67">
        <f>IFERROR(VLOOKUP(Yards[[#This Row],[DEVELOPMENT]],Data[],4,FALSE),"")</f>
        <v>2028</v>
      </c>
      <c r="J248" s="67" t="str">
        <f>IF(Yards[[#This Row],[RAD/PACT]]="","",IF((Yards[[#This Row],[RAD/PACT]]&lt;=2025),"Yes",""))</f>
        <v/>
      </c>
      <c r="K248" s="67" t="str">
        <f ca="1">IF(VLOOKUP(Yards[[#This Row],[DEVELOPMENT]],ExtComp[],8,FALSE)&lt;=5,"new","old")</f>
        <v>old</v>
      </c>
      <c r="L248" s="104">
        <f>IF(Yards[[#This Row],[RAD/PACT by 2025]]="Yes",0,INDEX(UnitCosts[],MATCH(Yards[[#This Row],[WORK TYPE]],UnitCosts[Work Type],0),2))</f>
        <v>1159792.78</v>
      </c>
      <c r="M248" s="1"/>
      <c r="N248" s="1"/>
      <c r="O248" s="1"/>
      <c r="P248" s="16"/>
    </row>
    <row r="249" spans="1:16" x14ac:dyDescent="0.25">
      <c r="A249" s="13" t="s">
        <v>281</v>
      </c>
      <c r="B249" s="67" t="str">
        <f>VLOOKUP(Yards[[#This Row],[DEVELOPMENT]],Data[],2,FALSE)</f>
        <v>QUEENS</v>
      </c>
      <c r="C24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49" s="67">
        <f>VLOOKUP(Yards[[#This Row],[DEVELOPMENT]],Data[],30,FALSE)</f>
        <v>0</v>
      </c>
      <c r="E249" s="67">
        <f>VLOOKUP(Yards[[#This Row],[DEVELOPMENT]],Data[],28,FALSE)</f>
        <v>0</v>
      </c>
      <c r="F249" s="66">
        <f>VLOOKUP(Yards[[#This Row],[DEVELOPMENT]],Data[],8,FALSE)</f>
        <v>0</v>
      </c>
      <c r="G249" s="66">
        <f>VLOOKUP(Yards[[#This Row],[DEVELOPMENT]],Data[],9,FALSE)</f>
        <v>0</v>
      </c>
      <c r="H249" s="66"/>
      <c r="I249" s="67" t="str">
        <f>IFERROR(VLOOKUP(Yards[[#This Row],[DEVELOPMENT]],Data[],4,FALSE),"")</f>
        <v/>
      </c>
      <c r="J249" s="67" t="str">
        <f>IF(Yards[[#This Row],[RAD/PACT]]="","",IF((Yards[[#This Row],[RAD/PACT]]&lt;=2025),"Yes",""))</f>
        <v/>
      </c>
      <c r="K249" s="67" t="str">
        <f ca="1">IF(VLOOKUP(Yards[[#This Row],[DEVELOPMENT]],ExtComp[],8,FALSE)&lt;=5,"new","old")</f>
        <v>old</v>
      </c>
      <c r="L249" s="104">
        <f>IF(Yards[[#This Row],[RAD/PACT by 2025]]="Yes",0,INDEX(UnitCosts[],MATCH(Yards[[#This Row],[WORK TYPE]],UnitCosts[Work Type],0),2))</f>
        <v>1159792.78</v>
      </c>
      <c r="M249" s="1"/>
      <c r="N249" s="1"/>
      <c r="O249" s="1"/>
      <c r="P249" s="16"/>
    </row>
    <row r="250" spans="1:16" x14ac:dyDescent="0.25">
      <c r="A250" s="13" t="s">
        <v>282</v>
      </c>
      <c r="B250" s="67" t="str">
        <f>VLOOKUP(Yards[[#This Row],[DEVELOPMENT]],Data[],2,FALSE)</f>
        <v>BROOKLYN</v>
      </c>
      <c r="C25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50" s="67">
        <f>VLOOKUP(Yards[[#This Row],[DEVELOPMENT]],Data[],30,FALSE)</f>
        <v>0</v>
      </c>
      <c r="E250" s="67">
        <f>VLOOKUP(Yards[[#This Row],[DEVELOPMENT]],Data[],28,FALSE)</f>
        <v>0</v>
      </c>
      <c r="F250" s="66">
        <f>VLOOKUP(Yards[[#This Row],[DEVELOPMENT]],Data[],8,FALSE)</f>
        <v>0</v>
      </c>
      <c r="G250" s="66">
        <f>VLOOKUP(Yards[[#This Row],[DEVELOPMENT]],Data[],9,FALSE)</f>
        <v>0</v>
      </c>
      <c r="H250" s="66"/>
      <c r="I250" s="67" t="str">
        <f>IFERROR(VLOOKUP(Yards[[#This Row],[DEVELOPMENT]],Data[],4,FALSE),"")</f>
        <v/>
      </c>
      <c r="J250" s="67" t="str">
        <f>IF(Yards[[#This Row],[RAD/PACT]]="","",IF((Yards[[#This Row],[RAD/PACT]]&lt;=2025),"Yes",""))</f>
        <v/>
      </c>
      <c r="K250" s="67" t="str">
        <f ca="1">IF(VLOOKUP(Yards[[#This Row],[DEVELOPMENT]],ExtComp[],8,FALSE)&lt;=5,"new","old")</f>
        <v>old</v>
      </c>
      <c r="L250" s="104">
        <f>IF(Yards[[#This Row],[RAD/PACT by 2025]]="Yes",0,INDEX(UnitCosts[],MATCH(Yards[[#This Row],[WORK TYPE]],UnitCosts[Work Type],0),2))</f>
        <v>1159792.78</v>
      </c>
      <c r="M250" s="1"/>
      <c r="N250" s="1"/>
      <c r="O250" s="1"/>
      <c r="P250" s="16"/>
    </row>
    <row r="251" spans="1:16" x14ac:dyDescent="0.25">
      <c r="A251" s="13" t="s">
        <v>283</v>
      </c>
      <c r="B251" s="67" t="str">
        <f>VLOOKUP(Yards[[#This Row],[DEVELOPMENT]],Data[],2,FALSE)</f>
        <v>BROOKLYN</v>
      </c>
      <c r="C25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51" s="67">
        <f>VLOOKUP(Yards[[#This Row],[DEVELOPMENT]],Data[],30,FALSE)</f>
        <v>0</v>
      </c>
      <c r="E251" s="67">
        <f>VLOOKUP(Yards[[#This Row],[DEVELOPMENT]],Data[],28,FALSE)</f>
        <v>0</v>
      </c>
      <c r="F251" s="66">
        <f>VLOOKUP(Yards[[#This Row],[DEVELOPMENT]],Data[],8,FALSE)</f>
        <v>0</v>
      </c>
      <c r="G251" s="66">
        <f>VLOOKUP(Yards[[#This Row],[DEVELOPMENT]],Data[],9,FALSE)</f>
        <v>0</v>
      </c>
      <c r="H251" s="66"/>
      <c r="I251" s="67">
        <f>IFERROR(VLOOKUP(Yards[[#This Row],[DEVELOPMENT]],Data[],4,FALSE),"")</f>
        <v>2025</v>
      </c>
      <c r="J251" s="67" t="str">
        <f>IF(Yards[[#This Row],[RAD/PACT]]="","",IF((Yards[[#This Row],[RAD/PACT]]&lt;=2025),"Yes",""))</f>
        <v>Yes</v>
      </c>
      <c r="K251" s="67" t="str">
        <f ca="1">IF(VLOOKUP(Yards[[#This Row],[DEVELOPMENT]],ExtComp[],8,FALSE)&lt;=5,"new","old")</f>
        <v>old</v>
      </c>
      <c r="L251" s="104">
        <f>IF(Yards[[#This Row],[RAD/PACT by 2025]]="Yes",0,INDEX(UnitCosts[],MATCH(Yards[[#This Row],[WORK TYPE]],UnitCosts[Work Type],0),2))</f>
        <v>0</v>
      </c>
      <c r="M251" s="1"/>
      <c r="N251" s="1"/>
      <c r="O251" s="1"/>
      <c r="P251" s="16"/>
    </row>
    <row r="252" spans="1:16" x14ac:dyDescent="0.25">
      <c r="A252" s="13" t="s">
        <v>284</v>
      </c>
      <c r="B252" s="67" t="str">
        <f>VLOOKUP(Yards[[#This Row],[DEVELOPMENT]],Data[],2,FALSE)</f>
        <v>BROOKLYN</v>
      </c>
      <c r="C25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52" s="67">
        <f>VLOOKUP(Yards[[#This Row],[DEVELOPMENT]],Data[],30,FALSE)</f>
        <v>0</v>
      </c>
      <c r="E252" s="67">
        <f>VLOOKUP(Yards[[#This Row],[DEVELOPMENT]],Data[],28,FALSE)</f>
        <v>0</v>
      </c>
      <c r="F252" s="66">
        <f>VLOOKUP(Yards[[#This Row],[DEVELOPMENT]],Data[],8,FALSE)</f>
        <v>0</v>
      </c>
      <c r="G252" s="66">
        <f>VLOOKUP(Yards[[#This Row],[DEVELOPMENT]],Data[],9,FALSE)</f>
        <v>0</v>
      </c>
      <c r="H252" s="66"/>
      <c r="I252" s="67" t="str">
        <f>IFERROR(VLOOKUP(Yards[[#This Row],[DEVELOPMENT]],Data[],4,FALSE),"")</f>
        <v/>
      </c>
      <c r="J252" s="67" t="str">
        <f>IF(Yards[[#This Row],[RAD/PACT]]="","",IF((Yards[[#This Row],[RAD/PACT]]&lt;=2025),"Yes",""))</f>
        <v/>
      </c>
      <c r="K252" s="67" t="str">
        <f ca="1">IF(VLOOKUP(Yards[[#This Row],[DEVELOPMENT]],ExtComp[],8,FALSE)&lt;=5,"new","old")</f>
        <v>old</v>
      </c>
      <c r="L252" s="104">
        <f>IF(Yards[[#This Row],[RAD/PACT by 2025]]="Yes",0,INDEX(UnitCosts[],MATCH(Yards[[#This Row],[WORK TYPE]],UnitCosts[Work Type],0),2))</f>
        <v>1159792.78</v>
      </c>
      <c r="M252" s="1"/>
      <c r="N252" s="1"/>
      <c r="O252" s="1"/>
      <c r="P252" s="16"/>
    </row>
    <row r="253" spans="1:16" x14ac:dyDescent="0.25">
      <c r="A253" s="13" t="s">
        <v>383</v>
      </c>
      <c r="B253" s="67" t="str">
        <f>VLOOKUP(Yards[[#This Row],[DEVELOPMENT]],Data[],2,FALSE)</f>
        <v>BROOKLYN</v>
      </c>
      <c r="C25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53" s="67">
        <f>VLOOKUP(Yards[[#This Row],[DEVELOPMENT]],Data[],30,FALSE)</f>
        <v>0</v>
      </c>
      <c r="E253" s="67">
        <f>VLOOKUP(Yards[[#This Row],[DEVELOPMENT]],Data[],28,FALSE)</f>
        <v>0</v>
      </c>
      <c r="F253" s="66">
        <f>VLOOKUP(Yards[[#This Row],[DEVELOPMENT]],Data[],8,FALSE)</f>
        <v>0</v>
      </c>
      <c r="G253" s="66">
        <f>VLOOKUP(Yards[[#This Row],[DEVELOPMENT]],Data[],9,FALSE)</f>
        <v>0</v>
      </c>
      <c r="H253" s="66"/>
      <c r="I253" s="67">
        <f>IFERROR(VLOOKUP(Yards[[#This Row],[DEVELOPMENT]],Data[],4,FALSE),"")</f>
        <v>2019</v>
      </c>
      <c r="J253" s="67" t="str">
        <f>IF(Yards[[#This Row],[RAD/PACT]]="","",IF((Yards[[#This Row],[RAD/PACT]]&lt;=2025),"Yes",""))</f>
        <v>Yes</v>
      </c>
      <c r="K253" s="67" t="str">
        <f ca="1">IF(VLOOKUP(Yards[[#This Row],[DEVELOPMENT]],ExtComp[],8,FALSE)&lt;=5,"new","old")</f>
        <v>old</v>
      </c>
      <c r="L253" s="104">
        <f>IF(Yards[[#This Row],[RAD/PACT by 2025]]="Yes",0,INDEX(UnitCosts[],MATCH(Yards[[#This Row],[WORK TYPE]],UnitCosts[Work Type],0),2))</f>
        <v>0</v>
      </c>
      <c r="M253" s="1"/>
      <c r="N253" s="1"/>
      <c r="O253" s="1"/>
      <c r="P253" s="16"/>
    </row>
    <row r="254" spans="1:16" x14ac:dyDescent="0.25">
      <c r="A254" s="13" t="s">
        <v>285</v>
      </c>
      <c r="B254" s="67" t="str">
        <f>VLOOKUP(Yards[[#This Row],[DEVELOPMENT]],Data[],2,FALSE)</f>
        <v>BROOKLYN</v>
      </c>
      <c r="C25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54" s="67">
        <f>VLOOKUP(Yards[[#This Row],[DEVELOPMENT]],Data[],30,FALSE)</f>
        <v>0</v>
      </c>
      <c r="E254" s="67">
        <f>VLOOKUP(Yards[[#This Row],[DEVELOPMENT]],Data[],28,FALSE)</f>
        <v>0</v>
      </c>
      <c r="F254" s="66">
        <f>VLOOKUP(Yards[[#This Row],[DEVELOPMENT]],Data[],8,FALSE)</f>
        <v>0</v>
      </c>
      <c r="G254" s="66">
        <f>VLOOKUP(Yards[[#This Row],[DEVELOPMENT]],Data[],9,FALSE)</f>
        <v>0</v>
      </c>
      <c r="H254" s="66"/>
      <c r="I254" s="67">
        <f>IFERROR(VLOOKUP(Yards[[#This Row],[DEVELOPMENT]],Data[],4,FALSE),"")</f>
        <v>2025</v>
      </c>
      <c r="J254" s="67" t="str">
        <f>IF(Yards[[#This Row],[RAD/PACT]]="","",IF((Yards[[#This Row],[RAD/PACT]]&lt;=2025),"Yes",""))</f>
        <v>Yes</v>
      </c>
      <c r="K254" s="67" t="str">
        <f ca="1">IF(VLOOKUP(Yards[[#This Row],[DEVELOPMENT]],ExtComp[],8,FALSE)&lt;=5,"new","old")</f>
        <v>old</v>
      </c>
      <c r="L254" s="104">
        <f>IF(Yards[[#This Row],[RAD/PACT by 2025]]="Yes",0,INDEX(UnitCosts[],MATCH(Yards[[#This Row],[WORK TYPE]],UnitCosts[Work Type],0),2))</f>
        <v>0</v>
      </c>
      <c r="M254" s="1"/>
      <c r="N254" s="1"/>
      <c r="O254" s="1"/>
      <c r="P254" s="16"/>
    </row>
    <row r="255" spans="1:16" x14ac:dyDescent="0.25">
      <c r="A255" s="13" t="s">
        <v>286</v>
      </c>
      <c r="B255" s="67" t="str">
        <f>VLOOKUP(Yards[[#This Row],[DEVELOPMENT]],Data[],2,FALSE)</f>
        <v>BRONX</v>
      </c>
      <c r="C25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55" s="67">
        <f>VLOOKUP(Yards[[#This Row],[DEVELOPMENT]],Data[],30,FALSE)</f>
        <v>2</v>
      </c>
      <c r="E255" s="67">
        <f>VLOOKUP(Yards[[#This Row],[DEVELOPMENT]],Data[],28,FALSE)</f>
        <v>0</v>
      </c>
      <c r="F255" s="66">
        <f>VLOOKUP(Yards[[#This Row],[DEVELOPMENT]],Data[],8,FALSE)</f>
        <v>0</v>
      </c>
      <c r="G255" s="66">
        <f>VLOOKUP(Yards[[#This Row],[DEVELOPMENT]],Data[],9,FALSE)</f>
        <v>0</v>
      </c>
      <c r="H255" s="66"/>
      <c r="I255" s="67" t="str">
        <f>IFERROR(VLOOKUP(Yards[[#This Row],[DEVELOPMENT]],Data[],4,FALSE),"")</f>
        <v/>
      </c>
      <c r="J255" s="67" t="str">
        <f>IF(Yards[[#This Row],[RAD/PACT]]="","",IF((Yards[[#This Row],[RAD/PACT]]&lt;=2025),"Yes",""))</f>
        <v/>
      </c>
      <c r="K255" s="67" t="str">
        <f ca="1">IF(VLOOKUP(Yards[[#This Row],[DEVELOPMENT]],ExtComp[],8,FALSE)&lt;=5,"new","old")</f>
        <v>old</v>
      </c>
      <c r="L255" s="104">
        <f ca="1">IF(Yards[[#This Row],[RAD/PACT by 2025]]="Yes",0,INDEX(UnitCosts[],MATCH(Yards[[#This Row],[WORK TYPE]],UnitCosts[Work Type],0),2))</f>
        <v>1591050.0199999998</v>
      </c>
      <c r="M255" s="1"/>
      <c r="N255" s="1"/>
      <c r="O255" s="1"/>
      <c r="P255" s="16"/>
    </row>
    <row r="256" spans="1:16" x14ac:dyDescent="0.25">
      <c r="A256" s="13" t="s">
        <v>287</v>
      </c>
      <c r="B256" s="67" t="str">
        <f>VLOOKUP(Yards[[#This Row],[DEVELOPMENT]],Data[],2,FALSE)</f>
        <v>BRONX</v>
      </c>
      <c r="C25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256" s="67">
        <f>VLOOKUP(Yards[[#This Row],[DEVELOPMENT]],Data[],30,FALSE)</f>
        <v>3</v>
      </c>
      <c r="E256" s="67">
        <f>VLOOKUP(Yards[[#This Row],[DEVELOPMENT]],Data[],28,FALSE)</f>
        <v>0</v>
      </c>
      <c r="F256" s="66">
        <f>VLOOKUP(Yards[[#This Row],[DEVELOPMENT]],Data[],8,FALSE)</f>
        <v>0</v>
      </c>
      <c r="G256" s="66">
        <f>VLOOKUP(Yards[[#This Row],[DEVELOPMENT]],Data[],9,FALSE)</f>
        <v>0</v>
      </c>
      <c r="H256" s="66"/>
      <c r="I256" s="67">
        <f>IFERROR(VLOOKUP(Yards[[#This Row],[DEVELOPMENT]],Data[],4,FALSE),"")</f>
        <v>2022</v>
      </c>
      <c r="J256" s="67" t="str">
        <f>IF(Yards[[#This Row],[RAD/PACT]]="","",IF((Yards[[#This Row],[RAD/PACT]]&lt;=2025),"Yes",""))</f>
        <v>Yes</v>
      </c>
      <c r="K256" s="67" t="str">
        <f ca="1">IF(VLOOKUP(Yards[[#This Row],[DEVELOPMENT]],ExtComp[],8,FALSE)&lt;=5,"new","old")</f>
        <v>old</v>
      </c>
      <c r="L256" s="104">
        <f>IF(Yards[[#This Row],[RAD/PACT by 2025]]="Yes",0,INDEX(UnitCosts[],MATCH(Yards[[#This Row],[WORK TYPE]],UnitCosts[Work Type],0),2))</f>
        <v>0</v>
      </c>
      <c r="M256" s="1"/>
      <c r="N256" s="1"/>
      <c r="O256" s="1"/>
      <c r="P256" s="16"/>
    </row>
    <row r="257" spans="1:16" x14ac:dyDescent="0.25">
      <c r="A257" s="13" t="s">
        <v>288</v>
      </c>
      <c r="B257" s="67" t="str">
        <f>VLOOKUP(Yards[[#This Row],[DEVELOPMENT]],Data[],2,FALSE)</f>
        <v>BROOKLYN</v>
      </c>
      <c r="C25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57" s="67">
        <f>VLOOKUP(Yards[[#This Row],[DEVELOPMENT]],Data[],30,FALSE)</f>
        <v>0</v>
      </c>
      <c r="E257" s="67">
        <f>VLOOKUP(Yards[[#This Row],[DEVELOPMENT]],Data[],28,FALSE)</f>
        <v>0</v>
      </c>
      <c r="F257" s="66">
        <f>VLOOKUP(Yards[[#This Row],[DEVELOPMENT]],Data[],8,FALSE)</f>
        <v>0</v>
      </c>
      <c r="G257" s="66">
        <f>VLOOKUP(Yards[[#This Row],[DEVELOPMENT]],Data[],9,FALSE)</f>
        <v>0</v>
      </c>
      <c r="H257" s="66"/>
      <c r="I257" s="67" t="str">
        <f>IFERROR(VLOOKUP(Yards[[#This Row],[DEVELOPMENT]],Data[],4,FALSE),"")</f>
        <v/>
      </c>
      <c r="J257" s="67" t="str">
        <f>IF(Yards[[#This Row],[RAD/PACT]]="","",IF((Yards[[#This Row],[RAD/PACT]]&lt;=2025),"Yes",""))</f>
        <v/>
      </c>
      <c r="K257" s="67" t="str">
        <f ca="1">IF(VLOOKUP(Yards[[#This Row],[DEVELOPMENT]],ExtComp[],8,FALSE)&lt;=5,"new","old")</f>
        <v>old</v>
      </c>
      <c r="L257" s="104">
        <f>IF(Yards[[#This Row],[RAD/PACT by 2025]]="Yes",0,INDEX(UnitCosts[],MATCH(Yards[[#This Row],[WORK TYPE]],UnitCosts[Work Type],0),2))</f>
        <v>1159792.78</v>
      </c>
      <c r="M257" s="1"/>
      <c r="N257" s="1"/>
      <c r="O257" s="1"/>
      <c r="P257" s="16"/>
    </row>
    <row r="258" spans="1:16" x14ac:dyDescent="0.25">
      <c r="A258" s="13" t="s">
        <v>289</v>
      </c>
      <c r="B258" s="67" t="str">
        <f>VLOOKUP(Yards[[#This Row],[DEVELOPMENT]],Data[],2,FALSE)</f>
        <v>BROOKLYN</v>
      </c>
      <c r="C25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58" s="67">
        <f>VLOOKUP(Yards[[#This Row],[DEVELOPMENT]],Data[],30,FALSE)</f>
        <v>0</v>
      </c>
      <c r="E258" s="67">
        <f>VLOOKUP(Yards[[#This Row],[DEVELOPMENT]],Data[],28,FALSE)</f>
        <v>0</v>
      </c>
      <c r="F258" s="66">
        <f>VLOOKUP(Yards[[#This Row],[DEVELOPMENT]],Data[],8,FALSE)</f>
        <v>0</v>
      </c>
      <c r="G258" s="66">
        <f>VLOOKUP(Yards[[#This Row],[DEVELOPMENT]],Data[],9,FALSE)</f>
        <v>0</v>
      </c>
      <c r="H258" s="66"/>
      <c r="I258" s="67" t="str">
        <f>IFERROR(VLOOKUP(Yards[[#This Row],[DEVELOPMENT]],Data[],4,FALSE),"")</f>
        <v/>
      </c>
      <c r="J258" s="67" t="str">
        <f>IF(Yards[[#This Row],[RAD/PACT]]="","",IF((Yards[[#This Row],[RAD/PACT]]&lt;=2025),"Yes",""))</f>
        <v/>
      </c>
      <c r="K258" s="67" t="str">
        <f ca="1">IF(VLOOKUP(Yards[[#This Row],[DEVELOPMENT]],ExtComp[],8,FALSE)&lt;=5,"new","old")</f>
        <v>old</v>
      </c>
      <c r="L258" s="104">
        <f>IF(Yards[[#This Row],[RAD/PACT by 2025]]="Yes",0,INDEX(UnitCosts[],MATCH(Yards[[#This Row],[WORK TYPE]],UnitCosts[Work Type],0),2))</f>
        <v>1159792.78</v>
      </c>
      <c r="M258" s="1"/>
      <c r="N258" s="1"/>
      <c r="O258" s="1"/>
      <c r="P258" s="16"/>
    </row>
    <row r="259" spans="1:16" x14ac:dyDescent="0.25">
      <c r="A259" s="13" t="s">
        <v>290</v>
      </c>
      <c r="B259" s="67" t="str">
        <f>VLOOKUP(Yards[[#This Row],[DEVELOPMENT]],Data[],2,FALSE)</f>
        <v>QUEENS</v>
      </c>
      <c r="C25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v6</v>
      </c>
      <c r="D259" s="67">
        <f>VLOOKUP(Yards[[#This Row],[DEVELOPMENT]],Data[],30,FALSE)</f>
        <v>5</v>
      </c>
      <c r="E259" s="67">
        <f>VLOOKUP(Yards[[#This Row],[DEVELOPMENT]],Data[],28,FALSE)</f>
        <v>0</v>
      </c>
      <c r="F259" s="66">
        <f>VLOOKUP(Yards[[#This Row],[DEVELOPMENT]],Data[],8,FALSE)</f>
        <v>0</v>
      </c>
      <c r="G259" s="66">
        <f>VLOOKUP(Yards[[#This Row],[DEVELOPMENT]],Data[],9,FALSE)</f>
        <v>0</v>
      </c>
      <c r="H259" s="66"/>
      <c r="I259" s="67">
        <f>IFERROR(VLOOKUP(Yards[[#This Row],[DEVELOPMENT]],Data[],4,FALSE),"")</f>
        <v>2027</v>
      </c>
      <c r="J259" s="67" t="str">
        <f>IF(Yards[[#This Row],[RAD/PACT]]="","",IF((Yards[[#This Row],[RAD/PACT]]&lt;=2025),"Yes",""))</f>
        <v/>
      </c>
      <c r="K259" s="67" t="str">
        <f ca="1">IF(VLOOKUP(Yards[[#This Row],[DEVELOPMENT]],ExtComp[],8,FALSE)&lt;=5,"new","old")</f>
        <v>old</v>
      </c>
      <c r="L259" s="104">
        <f ca="1">IF(Yards[[#This Row],[RAD/PACT by 2025]]="Yes",0,INDEX(UnitCosts[],MATCH(Yards[[#This Row],[WORK TYPE]],UnitCosts[Work Type],0),2))</f>
        <v>2884821.74</v>
      </c>
      <c r="M259" s="1"/>
      <c r="N259" s="1"/>
      <c r="O259" s="1"/>
      <c r="P259" s="16"/>
    </row>
    <row r="260" spans="1:16" x14ac:dyDescent="0.25">
      <c r="A260" s="13" t="s">
        <v>386</v>
      </c>
      <c r="B260" s="67" t="str">
        <f>VLOOKUP(Yards[[#This Row],[DEVELOPMENT]],Data[],2,FALSE)</f>
        <v>BRONX</v>
      </c>
      <c r="C26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60" s="67">
        <f>VLOOKUP(Yards[[#This Row],[DEVELOPMENT]],Data[],30,FALSE)</f>
        <v>0</v>
      </c>
      <c r="E260" s="67">
        <f>VLOOKUP(Yards[[#This Row],[DEVELOPMENT]],Data[],28,FALSE)</f>
        <v>0</v>
      </c>
      <c r="F260" s="66">
        <f>VLOOKUP(Yards[[#This Row],[DEVELOPMENT]],Data[],8,FALSE)</f>
        <v>0</v>
      </c>
      <c r="G260" s="66">
        <f>VLOOKUP(Yards[[#This Row],[DEVELOPMENT]],Data[],9,FALSE)</f>
        <v>0</v>
      </c>
      <c r="H260" s="66"/>
      <c r="I260" s="67" t="str">
        <f>IFERROR(VLOOKUP(Yards[[#This Row],[DEVELOPMENT]],Data[],4,FALSE),"")</f>
        <v/>
      </c>
      <c r="J260" s="67" t="str">
        <f>IF(Yards[[#This Row],[RAD/PACT]]="","",IF((Yards[[#This Row],[RAD/PACT]]&lt;=2025),"Yes",""))</f>
        <v/>
      </c>
      <c r="K260" s="67" t="str">
        <f ca="1">IF(VLOOKUP(Yards[[#This Row],[DEVELOPMENT]],ExtComp[],8,FALSE)&lt;=5,"new","old")</f>
        <v>old</v>
      </c>
      <c r="L260" s="104">
        <f>IF(Yards[[#This Row],[RAD/PACT by 2025]]="Yes",0,INDEX(UnitCosts[],MATCH(Yards[[#This Row],[WORK TYPE]],UnitCosts[Work Type],0),2))</f>
        <v>1159792.78</v>
      </c>
      <c r="M260" s="1"/>
      <c r="N260" s="1"/>
      <c r="O260" s="1"/>
      <c r="P260" s="16"/>
    </row>
    <row r="261" spans="1:16" x14ac:dyDescent="0.25">
      <c r="A261" s="13" t="s">
        <v>291</v>
      </c>
      <c r="B261" s="67" t="str">
        <f>VLOOKUP(Yards[[#This Row],[DEVELOPMENT]],Data[],2,FALSE)</f>
        <v>BROOKLYN</v>
      </c>
      <c r="C26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61" s="67">
        <f>VLOOKUP(Yards[[#This Row],[DEVELOPMENT]],Data[],30,FALSE)</f>
        <v>0</v>
      </c>
      <c r="E261" s="67">
        <f>VLOOKUP(Yards[[#This Row],[DEVELOPMENT]],Data[],28,FALSE)</f>
        <v>0</v>
      </c>
      <c r="F261" s="66">
        <f>VLOOKUP(Yards[[#This Row],[DEVELOPMENT]],Data[],8,FALSE)</f>
        <v>0</v>
      </c>
      <c r="G261" s="66">
        <f>VLOOKUP(Yards[[#This Row],[DEVELOPMENT]],Data[],9,FALSE)</f>
        <v>0</v>
      </c>
      <c r="H261" s="66"/>
      <c r="I261" s="67">
        <f>IFERROR(VLOOKUP(Yards[[#This Row],[DEVELOPMENT]],Data[],4,FALSE),"")</f>
        <v>2021</v>
      </c>
      <c r="J261" s="67" t="str">
        <f>IF(Yards[[#This Row],[RAD/PACT]]="","",IF((Yards[[#This Row],[RAD/PACT]]&lt;=2025),"Yes",""))</f>
        <v>Yes</v>
      </c>
      <c r="K261" s="67" t="str">
        <f ca="1">IF(VLOOKUP(Yards[[#This Row],[DEVELOPMENT]],ExtComp[],8,FALSE)&lt;=5,"new","old")</f>
        <v>old</v>
      </c>
      <c r="L261" s="104">
        <f>IF(Yards[[#This Row],[RAD/PACT by 2025]]="Yes",0,INDEX(UnitCosts[],MATCH(Yards[[#This Row],[WORK TYPE]],UnitCosts[Work Type],0),2))</f>
        <v>0</v>
      </c>
      <c r="M261" s="1"/>
      <c r="N261" s="1"/>
      <c r="O261" s="1"/>
      <c r="P261" s="16"/>
    </row>
    <row r="262" spans="1:16" x14ac:dyDescent="0.25">
      <c r="A262" s="13" t="s">
        <v>292</v>
      </c>
      <c r="B262" s="67" t="str">
        <f>VLOOKUP(Yards[[#This Row],[DEVELOPMENT]],Data[],2,FALSE)</f>
        <v>BRONX</v>
      </c>
      <c r="C26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62" s="67">
        <f>VLOOKUP(Yards[[#This Row],[DEVELOPMENT]],Data[],30,FALSE)</f>
        <v>0</v>
      </c>
      <c r="E262" s="67">
        <f>VLOOKUP(Yards[[#This Row],[DEVELOPMENT]],Data[],28,FALSE)</f>
        <v>0</v>
      </c>
      <c r="F262" s="66">
        <f>VLOOKUP(Yards[[#This Row],[DEVELOPMENT]],Data[],8,FALSE)</f>
        <v>0</v>
      </c>
      <c r="G262" s="66">
        <f>VLOOKUP(Yards[[#This Row],[DEVELOPMENT]],Data[],9,FALSE)</f>
        <v>0</v>
      </c>
      <c r="H262" s="66"/>
      <c r="I262" s="67">
        <f>IFERROR(VLOOKUP(Yards[[#This Row],[DEVELOPMENT]],Data[],4,FALSE),"")</f>
        <v>2022</v>
      </c>
      <c r="J262" s="67" t="str">
        <f>IF(Yards[[#This Row],[RAD/PACT]]="","",IF((Yards[[#This Row],[RAD/PACT]]&lt;=2025),"Yes",""))</f>
        <v>Yes</v>
      </c>
      <c r="K262" s="67" t="str">
        <f ca="1">IF(VLOOKUP(Yards[[#This Row],[DEVELOPMENT]],ExtComp[],8,FALSE)&lt;=5,"new","old")</f>
        <v>old</v>
      </c>
      <c r="L262" s="104">
        <f>IF(Yards[[#This Row],[RAD/PACT by 2025]]="Yes",0,INDEX(UnitCosts[],MATCH(Yards[[#This Row],[WORK TYPE]],UnitCosts[Work Type],0),2))</f>
        <v>0</v>
      </c>
      <c r="M262" s="1"/>
      <c r="N262" s="1"/>
      <c r="O262" s="1"/>
      <c r="P262" s="16"/>
    </row>
    <row r="263" spans="1:16" x14ac:dyDescent="0.25">
      <c r="A263" s="13" t="s">
        <v>387</v>
      </c>
      <c r="B263" s="67" t="str">
        <f>VLOOKUP(Yards[[#This Row],[DEVELOPMENT]],Data[],2,FALSE)</f>
        <v>MANHATTAN</v>
      </c>
      <c r="C26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63" s="67">
        <f>VLOOKUP(Yards[[#This Row],[DEVELOPMENT]],Data[],30,FALSE)</f>
        <v>0</v>
      </c>
      <c r="E263" s="67">
        <f>VLOOKUP(Yards[[#This Row],[DEVELOPMENT]],Data[],28,FALSE)</f>
        <v>0</v>
      </c>
      <c r="F263" s="66">
        <f>VLOOKUP(Yards[[#This Row],[DEVELOPMENT]],Data[],8,FALSE)</f>
        <v>0</v>
      </c>
      <c r="G263" s="66">
        <f>VLOOKUP(Yards[[#This Row],[DEVELOPMENT]],Data[],9,FALSE)</f>
        <v>0</v>
      </c>
      <c r="H263" s="66"/>
      <c r="I263" s="67" t="str">
        <f>IFERROR(VLOOKUP(Yards[[#This Row],[DEVELOPMENT]],Data[],4,FALSE),"")</f>
        <v/>
      </c>
      <c r="J263" s="67" t="str">
        <f>IF(Yards[[#This Row],[RAD/PACT]]="","",IF((Yards[[#This Row],[RAD/PACT]]&lt;=2025),"Yes",""))</f>
        <v/>
      </c>
      <c r="K263" s="67" t="str">
        <f ca="1">IF(VLOOKUP(Yards[[#This Row],[DEVELOPMENT]],ExtComp[],8,FALSE)&lt;=5,"new","old")</f>
        <v>old</v>
      </c>
      <c r="L263" s="104">
        <f>IF(Yards[[#This Row],[RAD/PACT by 2025]]="Yes",0,INDEX(UnitCosts[],MATCH(Yards[[#This Row],[WORK TYPE]],UnitCosts[Work Type],0),2))</f>
        <v>1159792.78</v>
      </c>
      <c r="M263" s="1"/>
      <c r="N263" s="1"/>
      <c r="O263" s="1"/>
      <c r="P263" s="16"/>
    </row>
    <row r="264" spans="1:16" x14ac:dyDescent="0.25">
      <c r="A264" s="13" t="s">
        <v>293</v>
      </c>
      <c r="B264" s="67" t="str">
        <f>VLOOKUP(Yards[[#This Row],[DEVELOPMENT]],Data[],2,FALSE)</f>
        <v>QUEENS</v>
      </c>
      <c r="C26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64" s="67">
        <f>VLOOKUP(Yards[[#This Row],[DEVELOPMENT]],Data[],30,FALSE)</f>
        <v>0</v>
      </c>
      <c r="E264" s="67">
        <f>VLOOKUP(Yards[[#This Row],[DEVELOPMENT]],Data[],28,FALSE)</f>
        <v>0</v>
      </c>
      <c r="F264" s="66">
        <f>VLOOKUP(Yards[[#This Row],[DEVELOPMENT]],Data[],8,FALSE)</f>
        <v>0</v>
      </c>
      <c r="G264" s="66">
        <f>VLOOKUP(Yards[[#This Row],[DEVELOPMENT]],Data[],9,FALSE)</f>
        <v>0</v>
      </c>
      <c r="H264" s="66"/>
      <c r="I264" s="67" t="str">
        <f>IFERROR(VLOOKUP(Yards[[#This Row],[DEVELOPMENT]],Data[],4,FALSE),"")</f>
        <v/>
      </c>
      <c r="J264" s="67" t="str">
        <f>IF(Yards[[#This Row],[RAD/PACT]]="","",IF((Yards[[#This Row],[RAD/PACT]]&lt;=2025),"Yes",""))</f>
        <v/>
      </c>
      <c r="K264" s="67" t="str">
        <f ca="1">IF(VLOOKUP(Yards[[#This Row],[DEVELOPMENT]],ExtComp[],8,FALSE)&lt;=5,"new","old")</f>
        <v>old</v>
      </c>
      <c r="L264" s="104">
        <f>IF(Yards[[#This Row],[RAD/PACT by 2025]]="Yes",0,INDEX(UnitCosts[],MATCH(Yards[[#This Row],[WORK TYPE]],UnitCosts[Work Type],0),2))</f>
        <v>1159792.78</v>
      </c>
      <c r="M264" s="1"/>
      <c r="N264" s="1"/>
      <c r="O264" s="1"/>
      <c r="P264" s="16"/>
    </row>
    <row r="265" spans="1:16" x14ac:dyDescent="0.25">
      <c r="A265" s="13" t="s">
        <v>294</v>
      </c>
      <c r="B265" s="67" t="str">
        <f>VLOOKUP(Yards[[#This Row],[DEVELOPMENT]],Data[],2,FALSE)</f>
        <v>BROOKLYN</v>
      </c>
      <c r="C26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65" s="67">
        <f>VLOOKUP(Yards[[#This Row],[DEVELOPMENT]],Data[],30,FALSE)</f>
        <v>0</v>
      </c>
      <c r="E265" s="67">
        <f>VLOOKUP(Yards[[#This Row],[DEVELOPMENT]],Data[],28,FALSE)</f>
        <v>0</v>
      </c>
      <c r="F265" s="66">
        <f>VLOOKUP(Yards[[#This Row],[DEVELOPMENT]],Data[],8,FALSE)</f>
        <v>0</v>
      </c>
      <c r="G265" s="66">
        <f>VLOOKUP(Yards[[#This Row],[DEVELOPMENT]],Data[],9,FALSE)</f>
        <v>0</v>
      </c>
      <c r="H265" s="66"/>
      <c r="I265" s="67">
        <f>IFERROR(VLOOKUP(Yards[[#This Row],[DEVELOPMENT]],Data[],4,FALSE),"")</f>
        <v>2024</v>
      </c>
      <c r="J265" s="67" t="str">
        <f>IF(Yards[[#This Row],[RAD/PACT]]="","",IF((Yards[[#This Row],[RAD/PACT]]&lt;=2025),"Yes",""))</f>
        <v>Yes</v>
      </c>
      <c r="K265" s="67" t="str">
        <f ca="1">IF(VLOOKUP(Yards[[#This Row],[DEVELOPMENT]],ExtComp[],8,FALSE)&lt;=5,"new","old")</f>
        <v>old</v>
      </c>
      <c r="L265" s="104">
        <f>IF(Yards[[#This Row],[RAD/PACT by 2025]]="Yes",0,INDEX(UnitCosts[],MATCH(Yards[[#This Row],[WORK TYPE]],UnitCosts[Work Type],0),2))</f>
        <v>0</v>
      </c>
      <c r="M265" s="1"/>
      <c r="N265" s="1"/>
      <c r="O265" s="1"/>
      <c r="P265" s="16"/>
    </row>
    <row r="266" spans="1:16" x14ac:dyDescent="0.25">
      <c r="A266" s="13" t="s">
        <v>295</v>
      </c>
      <c r="B266" s="67" t="str">
        <f>VLOOKUP(Yards[[#This Row],[DEVELOPMENT]],Data[],2,FALSE)</f>
        <v>BROOKLYN</v>
      </c>
      <c r="C266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66" s="67">
        <f>VLOOKUP(Yards[[#This Row],[DEVELOPMENT]],Data[],30,FALSE)</f>
        <v>2</v>
      </c>
      <c r="E266" s="67">
        <f>VLOOKUP(Yards[[#This Row],[DEVELOPMENT]],Data[],28,FALSE)</f>
        <v>0</v>
      </c>
      <c r="F266" s="66">
        <f>VLOOKUP(Yards[[#This Row],[DEVELOPMENT]],Data[],8,FALSE)</f>
        <v>0</v>
      </c>
      <c r="G266" s="66">
        <f>VLOOKUP(Yards[[#This Row],[DEVELOPMENT]],Data[],9,FALSE)</f>
        <v>0</v>
      </c>
      <c r="H266" s="66"/>
      <c r="I266" s="67">
        <f>IFERROR(VLOOKUP(Yards[[#This Row],[DEVELOPMENT]],Data[],4,FALSE),"")</f>
        <v>2025</v>
      </c>
      <c r="J266" s="67" t="str">
        <f>IF(Yards[[#This Row],[RAD/PACT]]="","",IF((Yards[[#This Row],[RAD/PACT]]&lt;=2025),"Yes",""))</f>
        <v>Yes</v>
      </c>
      <c r="K266" s="67" t="str">
        <f ca="1">IF(VLOOKUP(Yards[[#This Row],[DEVELOPMENT]],ExtComp[],8,FALSE)&lt;=5,"new","old")</f>
        <v>old</v>
      </c>
      <c r="L266" s="104">
        <f>IF(Yards[[#This Row],[RAD/PACT by 2025]]="Yes",0,INDEX(UnitCosts[],MATCH(Yards[[#This Row],[WORK TYPE]],UnitCosts[Work Type],0),2))</f>
        <v>0</v>
      </c>
      <c r="M266" s="1"/>
      <c r="N266" s="1"/>
      <c r="O266" s="1"/>
      <c r="P266" s="16"/>
    </row>
    <row r="267" spans="1:16" x14ac:dyDescent="0.25">
      <c r="A267" s="13" t="s">
        <v>296</v>
      </c>
      <c r="B267" s="67" t="str">
        <f>VLOOKUP(Yards[[#This Row],[DEVELOPMENT]],Data[],2,FALSE)</f>
        <v>QUEENS</v>
      </c>
      <c r="C26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67" s="67">
        <f>VLOOKUP(Yards[[#This Row],[DEVELOPMENT]],Data[],30,FALSE)</f>
        <v>0</v>
      </c>
      <c r="E267" s="67">
        <f>VLOOKUP(Yards[[#This Row],[DEVELOPMENT]],Data[],28,FALSE)</f>
        <v>0</v>
      </c>
      <c r="F267" s="66">
        <f>VLOOKUP(Yards[[#This Row],[DEVELOPMENT]],Data[],8,FALSE)</f>
        <v>0</v>
      </c>
      <c r="G267" s="66">
        <f>VLOOKUP(Yards[[#This Row],[DEVELOPMENT]],Data[],9,FALSE)</f>
        <v>0</v>
      </c>
      <c r="H267" s="66"/>
      <c r="I267" s="67">
        <f>IFERROR(VLOOKUP(Yards[[#This Row],[DEVELOPMENT]],Data[],4,FALSE),"")</f>
        <v>2022</v>
      </c>
      <c r="J267" s="67" t="str">
        <f>IF(Yards[[#This Row],[RAD/PACT]]="","",IF((Yards[[#This Row],[RAD/PACT]]&lt;=2025),"Yes",""))</f>
        <v>Yes</v>
      </c>
      <c r="K267" s="67" t="str">
        <f ca="1">IF(VLOOKUP(Yards[[#This Row],[DEVELOPMENT]],ExtComp[],8,FALSE)&lt;=5,"new","old")</f>
        <v>old</v>
      </c>
      <c r="L267" s="104">
        <f>IF(Yards[[#This Row],[RAD/PACT by 2025]]="Yes",0,INDEX(UnitCosts[],MATCH(Yards[[#This Row],[WORK TYPE]],UnitCosts[Work Type],0),2))</f>
        <v>0</v>
      </c>
      <c r="M267" s="1"/>
      <c r="N267" s="1"/>
      <c r="O267" s="1"/>
      <c r="P267" s="16"/>
    </row>
    <row r="268" spans="1:16" x14ac:dyDescent="0.25">
      <c r="A268" s="13" t="s">
        <v>297</v>
      </c>
      <c r="B268" s="67" t="str">
        <f>VLOOKUP(Yards[[#This Row],[DEVELOPMENT]],Data[],2,FALSE)</f>
        <v>QUEENS</v>
      </c>
      <c r="C26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68" s="67">
        <f>VLOOKUP(Yards[[#This Row],[DEVELOPMENT]],Data[],30,FALSE)</f>
        <v>0</v>
      </c>
      <c r="E268" s="67">
        <f>VLOOKUP(Yards[[#This Row],[DEVELOPMENT]],Data[],28,FALSE)</f>
        <v>0</v>
      </c>
      <c r="F268" s="66">
        <f>VLOOKUP(Yards[[#This Row],[DEVELOPMENT]],Data[],8,FALSE)</f>
        <v>0</v>
      </c>
      <c r="G268" s="66">
        <f>VLOOKUP(Yards[[#This Row],[DEVELOPMENT]],Data[],9,FALSE)</f>
        <v>0</v>
      </c>
      <c r="H268" s="66"/>
      <c r="I268" s="67" t="str">
        <f>IFERROR(VLOOKUP(Yards[[#This Row],[DEVELOPMENT]],Data[],4,FALSE),"")</f>
        <v/>
      </c>
      <c r="J268" s="67" t="str">
        <f>IF(Yards[[#This Row],[RAD/PACT]]="","",IF((Yards[[#This Row],[RAD/PACT]]&lt;=2025),"Yes",""))</f>
        <v/>
      </c>
      <c r="K268" s="67" t="str">
        <f ca="1">IF(VLOOKUP(Yards[[#This Row],[DEVELOPMENT]],ExtComp[],8,FALSE)&lt;=5,"new","old")</f>
        <v>old</v>
      </c>
      <c r="L268" s="104">
        <f>IF(Yards[[#This Row],[RAD/PACT by 2025]]="Yes",0,INDEX(UnitCosts[],MATCH(Yards[[#This Row],[WORK TYPE]],UnitCosts[Work Type],0),2))</f>
        <v>1159792.78</v>
      </c>
      <c r="M268" s="1"/>
      <c r="N268" s="1"/>
      <c r="O268" s="1"/>
      <c r="P268" s="16"/>
    </row>
    <row r="269" spans="1:16" x14ac:dyDescent="0.25">
      <c r="A269" s="13" t="s">
        <v>298</v>
      </c>
      <c r="B269" s="67" t="str">
        <f>VLOOKUP(Yards[[#This Row],[DEVELOPMENT]],Data[],2,FALSE)</f>
        <v>MANHATTAN</v>
      </c>
      <c r="C26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69" s="67">
        <f>VLOOKUP(Yards[[#This Row],[DEVELOPMENT]],Data[],30,FALSE)</f>
        <v>0</v>
      </c>
      <c r="E269" s="67">
        <f>VLOOKUP(Yards[[#This Row],[DEVELOPMENT]],Data[],28,FALSE)</f>
        <v>0</v>
      </c>
      <c r="F269" s="66">
        <f>VLOOKUP(Yards[[#This Row],[DEVELOPMENT]],Data[],8,FALSE)</f>
        <v>0</v>
      </c>
      <c r="G269" s="66">
        <f>VLOOKUP(Yards[[#This Row],[DEVELOPMENT]],Data[],9,FALSE)</f>
        <v>0</v>
      </c>
      <c r="H269" s="66"/>
      <c r="I269" s="67" t="str">
        <f>IFERROR(VLOOKUP(Yards[[#This Row],[DEVELOPMENT]],Data[],4,FALSE),"")</f>
        <v/>
      </c>
      <c r="J269" s="67" t="str">
        <f>IF(Yards[[#This Row],[RAD/PACT]]="","",IF((Yards[[#This Row],[RAD/PACT]]&lt;=2025),"Yes",""))</f>
        <v/>
      </c>
      <c r="K269" s="67" t="str">
        <f ca="1">IF(VLOOKUP(Yards[[#This Row],[DEVELOPMENT]],ExtComp[],8,FALSE)&lt;=5,"new","old")</f>
        <v>old</v>
      </c>
      <c r="L269" s="104">
        <f>IF(Yards[[#This Row],[RAD/PACT by 2025]]="Yes",0,INDEX(UnitCosts[],MATCH(Yards[[#This Row],[WORK TYPE]],UnitCosts[Work Type],0),2))</f>
        <v>1159792.78</v>
      </c>
      <c r="M269" s="1"/>
      <c r="N269" s="1"/>
      <c r="O269" s="1"/>
      <c r="P269" s="16"/>
    </row>
    <row r="270" spans="1:16" x14ac:dyDescent="0.25">
      <c r="A270" s="13" t="s">
        <v>299</v>
      </c>
      <c r="B270" s="67" t="str">
        <f>VLOOKUP(Yards[[#This Row],[DEVELOPMENT]],Data[],2,FALSE)</f>
        <v>MANHATTAN</v>
      </c>
      <c r="C27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0" s="67">
        <f>VLOOKUP(Yards[[#This Row],[DEVELOPMENT]],Data[],30,FALSE)</f>
        <v>0</v>
      </c>
      <c r="E270" s="67">
        <f>VLOOKUP(Yards[[#This Row],[DEVELOPMENT]],Data[],28,FALSE)</f>
        <v>0</v>
      </c>
      <c r="F270" s="66">
        <f>VLOOKUP(Yards[[#This Row],[DEVELOPMENT]],Data[],8,FALSE)</f>
        <v>0</v>
      </c>
      <c r="G270" s="66">
        <f>VLOOKUP(Yards[[#This Row],[DEVELOPMENT]],Data[],9,FALSE)</f>
        <v>0</v>
      </c>
      <c r="H270" s="66"/>
      <c r="I270" s="67" t="str">
        <f>IFERROR(VLOOKUP(Yards[[#This Row],[DEVELOPMENT]],Data[],4,FALSE),"")</f>
        <v/>
      </c>
      <c r="J270" s="67" t="str">
        <f>IF(Yards[[#This Row],[RAD/PACT]]="","",IF((Yards[[#This Row],[RAD/PACT]]&lt;=2025),"Yes",""))</f>
        <v/>
      </c>
      <c r="K270" s="67" t="str">
        <f ca="1">IF(VLOOKUP(Yards[[#This Row],[DEVELOPMENT]],ExtComp[],8,FALSE)&lt;=5,"new","old")</f>
        <v>old</v>
      </c>
      <c r="L270" s="104">
        <f>IF(Yards[[#This Row],[RAD/PACT by 2025]]="Yes",0,INDEX(UnitCosts[],MATCH(Yards[[#This Row],[WORK TYPE]],UnitCosts[Work Type],0),2))</f>
        <v>1159792.78</v>
      </c>
      <c r="M270" s="1"/>
      <c r="N270" s="1"/>
      <c r="O270" s="1"/>
      <c r="P270" s="16"/>
    </row>
    <row r="271" spans="1:16" x14ac:dyDescent="0.25">
      <c r="A271" s="13" t="s">
        <v>301</v>
      </c>
      <c r="B271" s="67" t="str">
        <f>VLOOKUP(Yards[[#This Row],[DEVELOPMENT]],Data[],2,FALSE)</f>
        <v>BROOKLYN</v>
      </c>
      <c r="C27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1" s="67">
        <f>VLOOKUP(Yards[[#This Row],[DEVELOPMENT]],Data[],30,FALSE)</f>
        <v>0</v>
      </c>
      <c r="E271" s="67">
        <f>VLOOKUP(Yards[[#This Row],[DEVELOPMENT]],Data[],28,FALSE)</f>
        <v>0</v>
      </c>
      <c r="F271" s="66">
        <f>VLOOKUP(Yards[[#This Row],[DEVELOPMENT]],Data[],8,FALSE)</f>
        <v>0</v>
      </c>
      <c r="G271" s="66">
        <f>VLOOKUP(Yards[[#This Row],[DEVELOPMENT]],Data[],9,FALSE)</f>
        <v>0</v>
      </c>
      <c r="H271" s="66"/>
      <c r="I271" s="67">
        <f>IFERROR(VLOOKUP(Yards[[#This Row],[DEVELOPMENT]],Data[],4,FALSE),"")</f>
        <v>2021</v>
      </c>
      <c r="J271" s="67" t="str">
        <f>IF(Yards[[#This Row],[RAD/PACT]]="","",IF((Yards[[#This Row],[RAD/PACT]]&lt;=2025),"Yes",""))</f>
        <v>Yes</v>
      </c>
      <c r="K271" s="67" t="str">
        <f ca="1">IF(VLOOKUP(Yards[[#This Row],[DEVELOPMENT]],ExtComp[],8,FALSE)&lt;=5,"new","old")</f>
        <v>old</v>
      </c>
      <c r="L271" s="104">
        <f>IF(Yards[[#This Row],[RAD/PACT by 2025]]="Yes",0,INDEX(UnitCosts[],MATCH(Yards[[#This Row],[WORK TYPE]],UnitCosts[Work Type],0),2))</f>
        <v>0</v>
      </c>
      <c r="M271" s="1"/>
      <c r="N271" s="1"/>
      <c r="O271" s="1"/>
      <c r="P271" s="16"/>
    </row>
    <row r="272" spans="1:16" x14ac:dyDescent="0.25">
      <c r="A272" s="13" t="s">
        <v>302</v>
      </c>
      <c r="B272" s="67" t="str">
        <f>VLOOKUP(Yards[[#This Row],[DEVELOPMENT]],Data[],2,FALSE)</f>
        <v>STATEN ISLAND</v>
      </c>
      <c r="C27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2" s="67">
        <f>VLOOKUP(Yards[[#This Row],[DEVELOPMENT]],Data[],30,FALSE)</f>
        <v>0</v>
      </c>
      <c r="E272" s="67">
        <f>VLOOKUP(Yards[[#This Row],[DEVELOPMENT]],Data[],28,FALSE)</f>
        <v>0</v>
      </c>
      <c r="F272" s="66">
        <f>VLOOKUP(Yards[[#This Row],[DEVELOPMENT]],Data[],8,FALSE)</f>
        <v>0</v>
      </c>
      <c r="G272" s="66">
        <f>VLOOKUP(Yards[[#This Row],[DEVELOPMENT]],Data[],9,FALSE)</f>
        <v>0</v>
      </c>
      <c r="H272" s="66"/>
      <c r="I272" s="67" t="str">
        <f>IFERROR(VLOOKUP(Yards[[#This Row],[DEVELOPMENT]],Data[],4,FALSE),"")</f>
        <v/>
      </c>
      <c r="J272" s="67" t="str">
        <f>IF(Yards[[#This Row],[RAD/PACT]]="","",IF((Yards[[#This Row],[RAD/PACT]]&lt;=2025),"Yes",""))</f>
        <v/>
      </c>
      <c r="K272" s="67" t="str">
        <f ca="1">IF(VLOOKUP(Yards[[#This Row],[DEVELOPMENT]],ExtComp[],8,FALSE)&lt;=5,"new","old")</f>
        <v>old</v>
      </c>
      <c r="L272" s="104">
        <f>IF(Yards[[#This Row],[RAD/PACT by 2025]]="Yes",0,INDEX(UnitCosts[],MATCH(Yards[[#This Row],[WORK TYPE]],UnitCosts[Work Type],0),2))</f>
        <v>1159792.78</v>
      </c>
      <c r="M272" s="1"/>
      <c r="N272" s="1"/>
      <c r="O272" s="1"/>
      <c r="P272" s="16"/>
    </row>
    <row r="273" spans="1:16" x14ac:dyDescent="0.25">
      <c r="A273" s="13" t="s">
        <v>303</v>
      </c>
      <c r="B273" s="67" t="str">
        <f>VLOOKUP(Yards[[#This Row],[DEVELOPMENT]],Data[],2,FALSE)</f>
        <v>MANHATTAN</v>
      </c>
      <c r="C27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3" s="67">
        <f>VLOOKUP(Yards[[#This Row],[DEVELOPMENT]],Data[],30,FALSE)</f>
        <v>0</v>
      </c>
      <c r="E273" s="67">
        <f>VLOOKUP(Yards[[#This Row],[DEVELOPMENT]],Data[],28,FALSE)</f>
        <v>0</v>
      </c>
      <c r="F273" s="66">
        <f>VLOOKUP(Yards[[#This Row],[DEVELOPMENT]],Data[],8,FALSE)</f>
        <v>0</v>
      </c>
      <c r="G273" s="66">
        <f>VLOOKUP(Yards[[#This Row],[DEVELOPMENT]],Data[],9,FALSE)</f>
        <v>0</v>
      </c>
      <c r="H273" s="66"/>
      <c r="I273" s="67" t="str">
        <f>IFERROR(VLOOKUP(Yards[[#This Row],[DEVELOPMENT]],Data[],4,FALSE),"")</f>
        <v/>
      </c>
      <c r="J273" s="67" t="str">
        <f>IF(Yards[[#This Row],[RAD/PACT]]="","",IF((Yards[[#This Row],[RAD/PACT]]&lt;=2025),"Yes",""))</f>
        <v/>
      </c>
      <c r="K273" s="67" t="str">
        <f ca="1">IF(VLOOKUP(Yards[[#This Row],[DEVELOPMENT]],ExtComp[],8,FALSE)&lt;=5,"new","old")</f>
        <v>old</v>
      </c>
      <c r="L273" s="104">
        <f>IF(Yards[[#This Row],[RAD/PACT by 2025]]="Yes",0,INDEX(UnitCosts[],MATCH(Yards[[#This Row],[WORK TYPE]],UnitCosts[Work Type],0),2))</f>
        <v>1159792.78</v>
      </c>
      <c r="M273" s="1"/>
      <c r="N273" s="1"/>
      <c r="O273" s="1"/>
      <c r="P273" s="16"/>
    </row>
    <row r="274" spans="1:16" x14ac:dyDescent="0.25">
      <c r="A274" s="13" t="s">
        <v>304</v>
      </c>
      <c r="B274" s="67" t="str">
        <f>VLOOKUP(Yards[[#This Row],[DEVELOPMENT]],Data[],2,FALSE)</f>
        <v>BROOKLYN</v>
      </c>
      <c r="C27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4" s="67">
        <f>VLOOKUP(Yards[[#This Row],[DEVELOPMENT]],Data[],30,FALSE)</f>
        <v>0</v>
      </c>
      <c r="E274" s="67">
        <f>VLOOKUP(Yards[[#This Row],[DEVELOPMENT]],Data[],28,FALSE)</f>
        <v>0</v>
      </c>
      <c r="F274" s="66">
        <f>VLOOKUP(Yards[[#This Row],[DEVELOPMENT]],Data[],8,FALSE)</f>
        <v>0</v>
      </c>
      <c r="G274" s="66">
        <f>VLOOKUP(Yards[[#This Row],[DEVELOPMENT]],Data[],9,FALSE)</f>
        <v>0</v>
      </c>
      <c r="H274" s="66"/>
      <c r="I274" s="67">
        <f>IFERROR(VLOOKUP(Yards[[#This Row],[DEVELOPMENT]],Data[],4,FALSE),"")</f>
        <v>2021</v>
      </c>
      <c r="J274" s="67" t="str">
        <f>IF(Yards[[#This Row],[RAD/PACT]]="","",IF((Yards[[#This Row],[RAD/PACT]]&lt;=2025),"Yes",""))</f>
        <v>Yes</v>
      </c>
      <c r="K274" s="67" t="str">
        <f ca="1">IF(VLOOKUP(Yards[[#This Row],[DEVELOPMENT]],ExtComp[],8,FALSE)&lt;=5,"new","old")</f>
        <v>old</v>
      </c>
      <c r="L274" s="104">
        <f>IF(Yards[[#This Row],[RAD/PACT by 2025]]="Yes",0,INDEX(UnitCosts[],MATCH(Yards[[#This Row],[WORK TYPE]],UnitCosts[Work Type],0),2))</f>
        <v>0</v>
      </c>
      <c r="M274" s="1"/>
      <c r="N274" s="1"/>
      <c r="O274" s="1"/>
      <c r="P274" s="16"/>
    </row>
    <row r="275" spans="1:16" x14ac:dyDescent="0.25">
      <c r="A275" s="13" t="s">
        <v>305</v>
      </c>
      <c r="B275" s="67" t="str">
        <f>VLOOKUP(Yards[[#This Row],[DEVELOPMENT]],Data[],2,FALSE)</f>
        <v>BRONX</v>
      </c>
      <c r="C27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5" s="67">
        <f>VLOOKUP(Yards[[#This Row],[DEVELOPMENT]],Data[],30,FALSE)</f>
        <v>0</v>
      </c>
      <c r="E275" s="67">
        <f>VLOOKUP(Yards[[#This Row],[DEVELOPMENT]],Data[],28,FALSE)</f>
        <v>0</v>
      </c>
      <c r="F275" s="66">
        <f>VLOOKUP(Yards[[#This Row],[DEVELOPMENT]],Data[],8,FALSE)</f>
        <v>0</v>
      </c>
      <c r="G275" s="66">
        <f>VLOOKUP(Yards[[#This Row],[DEVELOPMENT]],Data[],9,FALSE)</f>
        <v>0</v>
      </c>
      <c r="H275" s="66"/>
      <c r="I275" s="67">
        <f>IFERROR(VLOOKUP(Yards[[#This Row],[DEVELOPMENT]],Data[],4,FALSE),"")</f>
        <v>2024</v>
      </c>
      <c r="J275" s="67" t="str">
        <f>IF(Yards[[#This Row],[RAD/PACT]]="","",IF((Yards[[#This Row],[RAD/PACT]]&lt;=2025),"Yes",""))</f>
        <v>Yes</v>
      </c>
      <c r="K275" s="67" t="str">
        <f ca="1">IF(VLOOKUP(Yards[[#This Row],[DEVELOPMENT]],ExtComp[],8,FALSE)&lt;=5,"new","old")</f>
        <v>old</v>
      </c>
      <c r="L275" s="104">
        <f>IF(Yards[[#This Row],[RAD/PACT by 2025]]="Yes",0,INDEX(UnitCosts[],MATCH(Yards[[#This Row],[WORK TYPE]],UnitCosts[Work Type],0),2))</f>
        <v>0</v>
      </c>
      <c r="M275" s="1"/>
      <c r="N275" s="1"/>
      <c r="O275" s="1"/>
      <c r="P275" s="16"/>
    </row>
    <row r="276" spans="1:16" x14ac:dyDescent="0.25">
      <c r="A276" s="13" t="s">
        <v>306</v>
      </c>
      <c r="B276" s="67" t="str">
        <f>VLOOKUP(Yards[[#This Row],[DEVELOPMENT]],Data[],2,FALSE)</f>
        <v>MANHATTAN</v>
      </c>
      <c r="C27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6" s="67">
        <f>VLOOKUP(Yards[[#This Row],[DEVELOPMENT]],Data[],30,FALSE)</f>
        <v>0</v>
      </c>
      <c r="E276" s="67">
        <f>VLOOKUP(Yards[[#This Row],[DEVELOPMENT]],Data[],28,FALSE)</f>
        <v>0</v>
      </c>
      <c r="F276" s="66">
        <f>VLOOKUP(Yards[[#This Row],[DEVELOPMENT]],Data[],8,FALSE)</f>
        <v>0</v>
      </c>
      <c r="G276" s="66">
        <f>VLOOKUP(Yards[[#This Row],[DEVELOPMENT]],Data[],9,FALSE)</f>
        <v>0</v>
      </c>
      <c r="H276" s="66"/>
      <c r="I276" s="67">
        <f>IFERROR(VLOOKUP(Yards[[#This Row],[DEVELOPMENT]],Data[],4,FALSE),"")</f>
        <v>2019</v>
      </c>
      <c r="J276" s="67" t="str">
        <f>IF(Yards[[#This Row],[RAD/PACT]]="","",IF((Yards[[#This Row],[RAD/PACT]]&lt;=2025),"Yes",""))</f>
        <v>Yes</v>
      </c>
      <c r="K276" s="67" t="str">
        <f ca="1">IF(VLOOKUP(Yards[[#This Row],[DEVELOPMENT]],ExtComp[],8,FALSE)&lt;=5,"new","old")</f>
        <v>old</v>
      </c>
      <c r="L276" s="104">
        <f>IF(Yards[[#This Row],[RAD/PACT by 2025]]="Yes",0,INDEX(UnitCosts[],MATCH(Yards[[#This Row],[WORK TYPE]],UnitCosts[Work Type],0),2))</f>
        <v>0</v>
      </c>
      <c r="M276" s="1"/>
      <c r="N276" s="1"/>
      <c r="O276" s="1"/>
      <c r="P276" s="16"/>
    </row>
    <row r="277" spans="1:16" x14ac:dyDescent="0.25">
      <c r="A277" s="13" t="s">
        <v>307</v>
      </c>
      <c r="B277" s="67" t="str">
        <f>VLOOKUP(Yards[[#This Row],[DEVELOPMENT]],Data[],2,FALSE)</f>
        <v>MANHATTAN</v>
      </c>
      <c r="C27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7" s="67">
        <f>VLOOKUP(Yards[[#This Row],[DEVELOPMENT]],Data[],30,FALSE)</f>
        <v>0</v>
      </c>
      <c r="E277" s="67">
        <f>VLOOKUP(Yards[[#This Row],[DEVELOPMENT]],Data[],28,FALSE)</f>
        <v>0</v>
      </c>
      <c r="F277" s="66">
        <f>VLOOKUP(Yards[[#This Row],[DEVELOPMENT]],Data[],8,FALSE)</f>
        <v>0</v>
      </c>
      <c r="G277" s="66">
        <f>VLOOKUP(Yards[[#This Row],[DEVELOPMENT]],Data[],9,FALSE)</f>
        <v>0</v>
      </c>
      <c r="H277" s="66"/>
      <c r="I277" s="67">
        <f>IFERROR(VLOOKUP(Yards[[#This Row],[DEVELOPMENT]],Data[],4,FALSE),"")</f>
        <v>2019</v>
      </c>
      <c r="J277" s="67" t="str">
        <f>IF(Yards[[#This Row],[RAD/PACT]]="","",IF((Yards[[#This Row],[RAD/PACT]]&lt;=2025),"Yes",""))</f>
        <v>Yes</v>
      </c>
      <c r="K277" s="67" t="str">
        <f ca="1">IF(VLOOKUP(Yards[[#This Row],[DEVELOPMENT]],ExtComp[],8,FALSE)&lt;=5,"new","old")</f>
        <v>old</v>
      </c>
      <c r="L277" s="104">
        <f>IF(Yards[[#This Row],[RAD/PACT by 2025]]="Yes",0,INDEX(UnitCosts[],MATCH(Yards[[#This Row],[WORK TYPE]],UnitCosts[Work Type],0),2))</f>
        <v>0</v>
      </c>
      <c r="M277" s="1"/>
      <c r="N277" s="1"/>
      <c r="O277" s="1"/>
      <c r="P277" s="16"/>
    </row>
    <row r="278" spans="1:16" x14ac:dyDescent="0.25">
      <c r="A278" s="13" t="s">
        <v>308</v>
      </c>
      <c r="B278" s="67" t="str">
        <f>VLOOKUP(Yards[[#This Row],[DEVELOPMENT]],Data[],2,FALSE)</f>
        <v>MANHATTAN</v>
      </c>
      <c r="C27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8" s="67">
        <f>VLOOKUP(Yards[[#This Row],[DEVELOPMENT]],Data[],30,FALSE)</f>
        <v>0</v>
      </c>
      <c r="E278" s="67">
        <f>VLOOKUP(Yards[[#This Row],[DEVELOPMENT]],Data[],28,FALSE)</f>
        <v>0</v>
      </c>
      <c r="F278" s="66">
        <f>VLOOKUP(Yards[[#This Row],[DEVELOPMENT]],Data[],8,FALSE)</f>
        <v>0</v>
      </c>
      <c r="G278" s="66">
        <f>VLOOKUP(Yards[[#This Row],[DEVELOPMENT]],Data[],9,FALSE)</f>
        <v>0</v>
      </c>
      <c r="H278" s="66"/>
      <c r="I278" s="67">
        <f>IFERROR(VLOOKUP(Yards[[#This Row],[DEVELOPMENT]],Data[],4,FALSE),"")</f>
        <v>2019</v>
      </c>
      <c r="J278" s="67" t="str">
        <f>IF(Yards[[#This Row],[RAD/PACT]]="","",IF((Yards[[#This Row],[RAD/PACT]]&lt;=2025),"Yes",""))</f>
        <v>Yes</v>
      </c>
      <c r="K278" s="67" t="str">
        <f ca="1">IF(VLOOKUP(Yards[[#This Row],[DEVELOPMENT]],ExtComp[],8,FALSE)&lt;=5,"new","old")</f>
        <v>old</v>
      </c>
      <c r="L278" s="104">
        <f>IF(Yards[[#This Row],[RAD/PACT by 2025]]="Yes",0,INDEX(UnitCosts[],MATCH(Yards[[#This Row],[WORK TYPE]],UnitCosts[Work Type],0),2))</f>
        <v>0</v>
      </c>
      <c r="M278" s="1"/>
      <c r="N278" s="1"/>
      <c r="O278" s="1"/>
      <c r="P278" s="16"/>
    </row>
    <row r="279" spans="1:16" x14ac:dyDescent="0.25">
      <c r="A279" s="13" t="s">
        <v>309</v>
      </c>
      <c r="B279" s="67" t="str">
        <f>VLOOKUP(Yards[[#This Row],[DEVELOPMENT]],Data[],2,FALSE)</f>
        <v>BROOKLYN</v>
      </c>
      <c r="C27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79" s="67">
        <f>VLOOKUP(Yards[[#This Row],[DEVELOPMENT]],Data[],30,FALSE)</f>
        <v>0</v>
      </c>
      <c r="E279" s="67">
        <f>VLOOKUP(Yards[[#This Row],[DEVELOPMENT]],Data[],28,FALSE)</f>
        <v>0</v>
      </c>
      <c r="F279" s="66">
        <f>VLOOKUP(Yards[[#This Row],[DEVELOPMENT]],Data[],8,FALSE)</f>
        <v>0</v>
      </c>
      <c r="G279" s="66">
        <f>VLOOKUP(Yards[[#This Row],[DEVELOPMENT]],Data[],9,FALSE)</f>
        <v>0</v>
      </c>
      <c r="H279" s="66"/>
      <c r="I279" s="67" t="str">
        <f>IFERROR(VLOOKUP(Yards[[#This Row],[DEVELOPMENT]],Data[],4,FALSE),"")</f>
        <v/>
      </c>
      <c r="J279" s="67" t="str">
        <f>IF(Yards[[#This Row],[RAD/PACT]]="","",IF((Yards[[#This Row],[RAD/PACT]]&lt;=2025),"Yes",""))</f>
        <v/>
      </c>
      <c r="K279" s="67" t="str">
        <f ca="1">IF(VLOOKUP(Yards[[#This Row],[DEVELOPMENT]],ExtComp[],8,FALSE)&lt;=5,"new","old")</f>
        <v>old</v>
      </c>
      <c r="L279" s="104">
        <f>IF(Yards[[#This Row],[RAD/PACT by 2025]]="Yes",0,INDEX(UnitCosts[],MATCH(Yards[[#This Row],[WORK TYPE]],UnitCosts[Work Type],0),2))</f>
        <v>1159792.78</v>
      </c>
      <c r="M279" s="1"/>
      <c r="N279" s="1"/>
      <c r="O279" s="1"/>
      <c r="P279" s="16"/>
    </row>
    <row r="280" spans="1:16" x14ac:dyDescent="0.25">
      <c r="A280" s="13" t="s">
        <v>310</v>
      </c>
      <c r="B280" s="67" t="str">
        <f>VLOOKUP(Yards[[#This Row],[DEVELOPMENT]],Data[],2,FALSE)</f>
        <v>BRONX</v>
      </c>
      <c r="C280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80" s="67">
        <f>VLOOKUP(Yards[[#This Row],[DEVELOPMENT]],Data[],30,FALSE)</f>
        <v>2</v>
      </c>
      <c r="E280" s="67">
        <f>VLOOKUP(Yards[[#This Row],[DEVELOPMENT]],Data[],28,FALSE)</f>
        <v>0</v>
      </c>
      <c r="F280" s="66">
        <f>VLOOKUP(Yards[[#This Row],[DEVELOPMENT]],Data[],8,FALSE)</f>
        <v>0</v>
      </c>
      <c r="G280" s="66">
        <f>VLOOKUP(Yards[[#This Row],[DEVELOPMENT]],Data[],9,FALSE)</f>
        <v>0</v>
      </c>
      <c r="H280" s="66"/>
      <c r="I280" s="67" t="str">
        <f>IFERROR(VLOOKUP(Yards[[#This Row],[DEVELOPMENT]],Data[],4,FALSE),"")</f>
        <v/>
      </c>
      <c r="J280" s="67" t="str">
        <f>IF(Yards[[#This Row],[RAD/PACT]]="","",IF((Yards[[#This Row],[RAD/PACT]]&lt;=2025),"Yes",""))</f>
        <v/>
      </c>
      <c r="K280" s="67" t="str">
        <f ca="1">IF(VLOOKUP(Yards[[#This Row],[DEVELOPMENT]],ExtComp[],8,FALSE)&lt;=5,"new","old")</f>
        <v>old</v>
      </c>
      <c r="L280" s="104">
        <f ca="1">IF(Yards[[#This Row],[RAD/PACT by 2025]]="Yes",0,INDEX(UnitCosts[],MATCH(Yards[[#This Row],[WORK TYPE]],UnitCosts[Work Type],0),2))</f>
        <v>1591050.0199999998</v>
      </c>
      <c r="M280" s="1"/>
      <c r="N280" s="1"/>
      <c r="O280" s="1"/>
      <c r="P280" s="16"/>
    </row>
    <row r="281" spans="1:16" x14ac:dyDescent="0.25">
      <c r="A281" s="13" t="s">
        <v>311</v>
      </c>
      <c r="B281" s="67" t="str">
        <f>VLOOKUP(Yards[[#This Row],[DEVELOPMENT]],Data[],2,FALSE)</f>
        <v>BROOKLYN</v>
      </c>
      <c r="C28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v7</v>
      </c>
      <c r="D281" s="67">
        <f>VLOOKUP(Yards[[#This Row],[DEVELOPMENT]],Data[],30,FALSE)</f>
        <v>6</v>
      </c>
      <c r="E281" s="67">
        <f>VLOOKUP(Yards[[#This Row],[DEVELOPMENT]],Data[],28,FALSE)</f>
        <v>0</v>
      </c>
      <c r="F281" s="66">
        <f>VLOOKUP(Yards[[#This Row],[DEVELOPMENT]],Data[],8,FALSE)</f>
        <v>0</v>
      </c>
      <c r="G281" s="66">
        <f>VLOOKUP(Yards[[#This Row],[DEVELOPMENT]],Data[],9,FALSE)</f>
        <v>0</v>
      </c>
      <c r="H281" s="66"/>
      <c r="I281" s="67">
        <f>IFERROR(VLOOKUP(Yards[[#This Row],[DEVELOPMENT]],Data[],4,FALSE),"")</f>
        <v>2028</v>
      </c>
      <c r="J281" s="67" t="str">
        <f>IF(Yards[[#This Row],[RAD/PACT]]="","",IF((Yards[[#This Row],[RAD/PACT]]&lt;=2025),"Yes",""))</f>
        <v/>
      </c>
      <c r="K281" s="67" t="str">
        <f ca="1">IF(VLOOKUP(Yards[[#This Row],[DEVELOPMENT]],ExtComp[],8,FALSE)&lt;=5,"new","old")</f>
        <v>old</v>
      </c>
      <c r="L281" s="104">
        <f ca="1">IF(Yards[[#This Row],[RAD/PACT by 2025]]="Yes",0,INDEX(UnitCosts[],MATCH(Yards[[#This Row],[WORK TYPE]],UnitCosts[Work Type],0),2))</f>
        <v>3316078.9799999995</v>
      </c>
      <c r="M281" s="1"/>
      <c r="N281" s="1"/>
      <c r="O281" s="1"/>
      <c r="P281" s="16"/>
    </row>
    <row r="282" spans="1:16" x14ac:dyDescent="0.25">
      <c r="A282" s="13" t="s">
        <v>312</v>
      </c>
      <c r="B282" s="67" t="str">
        <f>VLOOKUP(Yards[[#This Row],[DEVELOPMENT]],Data[],2,FALSE)</f>
        <v>QUEENS</v>
      </c>
      <c r="C28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82" s="67">
        <f>VLOOKUP(Yards[[#This Row],[DEVELOPMENT]],Data[],30,FALSE)</f>
        <v>0</v>
      </c>
      <c r="E282" s="67">
        <f>VLOOKUP(Yards[[#This Row],[DEVELOPMENT]],Data[],28,FALSE)</f>
        <v>0</v>
      </c>
      <c r="F282" s="66">
        <f>VLOOKUP(Yards[[#This Row],[DEVELOPMENT]],Data[],8,FALSE)</f>
        <v>0</v>
      </c>
      <c r="G282" s="66">
        <f>VLOOKUP(Yards[[#This Row],[DEVELOPMENT]],Data[],9,FALSE)</f>
        <v>0</v>
      </c>
      <c r="H282" s="66"/>
      <c r="I282" s="67" t="str">
        <f>IFERROR(VLOOKUP(Yards[[#This Row],[DEVELOPMENT]],Data[],4,FALSE),"")</f>
        <v/>
      </c>
      <c r="J282" s="67" t="str">
        <f>IF(Yards[[#This Row],[RAD/PACT]]="","",IF((Yards[[#This Row],[RAD/PACT]]&lt;=2025),"Yes",""))</f>
        <v/>
      </c>
      <c r="K282" s="67" t="str">
        <f ca="1">IF(VLOOKUP(Yards[[#This Row],[DEVELOPMENT]],ExtComp[],8,FALSE)&lt;=5,"new","old")</f>
        <v>old</v>
      </c>
      <c r="L282" s="104">
        <f>IF(Yards[[#This Row],[RAD/PACT by 2025]]="Yes",0,INDEX(UnitCosts[],MATCH(Yards[[#This Row],[WORK TYPE]],UnitCosts[Work Type],0),2))</f>
        <v>1159792.78</v>
      </c>
      <c r="M282" s="1"/>
      <c r="N282" s="1"/>
      <c r="O282" s="1"/>
      <c r="P282" s="16"/>
    </row>
    <row r="283" spans="1:16" x14ac:dyDescent="0.25">
      <c r="A283" s="13" t="s">
        <v>313</v>
      </c>
      <c r="B283" s="67" t="str">
        <f>VLOOKUP(Yards[[#This Row],[DEVELOPMENT]],Data[],2,FALSE)</f>
        <v>BRONX</v>
      </c>
      <c r="C283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283" s="67">
        <f>VLOOKUP(Yards[[#This Row],[DEVELOPMENT]],Data[],30,FALSE)</f>
        <v>3</v>
      </c>
      <c r="E283" s="67">
        <f>VLOOKUP(Yards[[#This Row],[DEVELOPMENT]],Data[],28,FALSE)</f>
        <v>0</v>
      </c>
      <c r="F283" s="66">
        <f>VLOOKUP(Yards[[#This Row],[DEVELOPMENT]],Data[],8,FALSE)</f>
        <v>0</v>
      </c>
      <c r="G283" s="66">
        <f>VLOOKUP(Yards[[#This Row],[DEVELOPMENT]],Data[],9,FALSE)</f>
        <v>0</v>
      </c>
      <c r="H283" s="66"/>
      <c r="I283" s="67" t="str">
        <f>IFERROR(VLOOKUP(Yards[[#This Row],[DEVELOPMENT]],Data[],4,FALSE),"")</f>
        <v/>
      </c>
      <c r="J283" s="67" t="str">
        <f>IF(Yards[[#This Row],[RAD/PACT]]="","",IF((Yards[[#This Row],[RAD/PACT]]&lt;=2025),"Yes",""))</f>
        <v/>
      </c>
      <c r="K283" s="67" t="str">
        <f ca="1">IF(VLOOKUP(Yards[[#This Row],[DEVELOPMENT]],ExtComp[],8,FALSE)&lt;=5,"new","old")</f>
        <v>old</v>
      </c>
      <c r="L283" s="104">
        <f ca="1">IF(Yards[[#This Row],[RAD/PACT by 2025]]="Yes",0,INDEX(UnitCosts[],MATCH(Yards[[#This Row],[WORK TYPE]],UnitCosts[Work Type],0),2))</f>
        <v>2022307.2600000005</v>
      </c>
      <c r="M283" s="1"/>
      <c r="N283" s="1"/>
      <c r="O283" s="1"/>
      <c r="P283" s="16"/>
    </row>
    <row r="284" spans="1:16" x14ac:dyDescent="0.25">
      <c r="A284" s="13" t="s">
        <v>314</v>
      </c>
      <c r="B284" s="67" t="str">
        <f>VLOOKUP(Yards[[#This Row],[DEVELOPMENT]],Data[],2,FALSE)</f>
        <v>BRONX</v>
      </c>
      <c r="C284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284" s="67">
        <f>VLOOKUP(Yards[[#This Row],[DEVELOPMENT]],Data[],30,FALSE)</f>
        <v>4</v>
      </c>
      <c r="E284" s="67">
        <f>VLOOKUP(Yards[[#This Row],[DEVELOPMENT]],Data[],28,FALSE)</f>
        <v>0</v>
      </c>
      <c r="F284" s="66">
        <f>VLOOKUP(Yards[[#This Row],[DEVELOPMENT]],Data[],8,FALSE)</f>
        <v>0</v>
      </c>
      <c r="G284" s="66">
        <f>VLOOKUP(Yards[[#This Row],[DEVELOPMENT]],Data[],9,FALSE)</f>
        <v>0</v>
      </c>
      <c r="H284" s="66"/>
      <c r="I284" s="67">
        <f>IFERROR(VLOOKUP(Yards[[#This Row],[DEVELOPMENT]],Data[],4,FALSE),"")</f>
        <v>2023</v>
      </c>
      <c r="J284" s="67" t="str">
        <f>IF(Yards[[#This Row],[RAD/PACT]]="","",IF((Yards[[#This Row],[RAD/PACT]]&lt;=2025),"Yes",""))</f>
        <v>Yes</v>
      </c>
      <c r="K284" s="67" t="str">
        <f ca="1">IF(VLOOKUP(Yards[[#This Row],[DEVELOPMENT]],ExtComp[],8,FALSE)&lt;=5,"new","old")</f>
        <v>old</v>
      </c>
      <c r="L284" s="104">
        <f>IF(Yards[[#This Row],[RAD/PACT by 2025]]="Yes",0,INDEX(UnitCosts[],MATCH(Yards[[#This Row],[WORK TYPE]],UnitCosts[Work Type],0),2))</f>
        <v>0</v>
      </c>
      <c r="M284" s="1"/>
      <c r="N284" s="1"/>
      <c r="O284" s="1"/>
      <c r="P284" s="16"/>
    </row>
    <row r="285" spans="1:16" x14ac:dyDescent="0.25">
      <c r="A285" s="13" t="s">
        <v>315</v>
      </c>
      <c r="B285" s="67" t="str">
        <f>VLOOKUP(Yards[[#This Row],[DEVELOPMENT]],Data[],2,FALSE)</f>
        <v>STATEN ISLAND</v>
      </c>
      <c r="C28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85" s="67">
        <f>VLOOKUP(Yards[[#This Row],[DEVELOPMENT]],Data[],30,FALSE)</f>
        <v>1</v>
      </c>
      <c r="E285" s="67">
        <f>VLOOKUP(Yards[[#This Row],[DEVELOPMENT]],Data[],28,FALSE)</f>
        <v>0</v>
      </c>
      <c r="F285" s="66">
        <f>VLOOKUP(Yards[[#This Row],[DEVELOPMENT]],Data[],8,FALSE)</f>
        <v>0</v>
      </c>
      <c r="G285" s="66">
        <f>VLOOKUP(Yards[[#This Row],[DEVELOPMENT]],Data[],9,FALSE)</f>
        <v>0</v>
      </c>
      <c r="H285" s="66"/>
      <c r="I285" s="67" t="str">
        <f>IFERROR(VLOOKUP(Yards[[#This Row],[DEVELOPMENT]],Data[],4,FALSE),"")</f>
        <v/>
      </c>
      <c r="J285" s="67" t="str">
        <f>IF(Yards[[#This Row],[RAD/PACT]]="","",IF((Yards[[#This Row],[RAD/PACT]]&lt;=2025),"Yes",""))</f>
        <v/>
      </c>
      <c r="K285" s="67" t="str">
        <f ca="1">IF(VLOOKUP(Yards[[#This Row],[DEVELOPMENT]],ExtComp[],8,FALSE)&lt;=5,"new","old")</f>
        <v>old</v>
      </c>
      <c r="L285" s="104">
        <f ca="1">IF(Yards[[#This Row],[RAD/PACT by 2025]]="Yes",0,INDEX(UnitCosts[],MATCH(Yards[[#This Row],[WORK TYPE]],UnitCosts[Work Type],0),2))</f>
        <v>1159792.78</v>
      </c>
      <c r="M285" s="1"/>
      <c r="N285" s="1"/>
      <c r="O285" s="1"/>
      <c r="P285" s="16"/>
    </row>
    <row r="286" spans="1:16" x14ac:dyDescent="0.25">
      <c r="A286" s="13" t="s">
        <v>316</v>
      </c>
      <c r="B286" s="67" t="str">
        <f>VLOOKUP(Yards[[#This Row],[DEVELOPMENT]],Data[],2,FALSE)</f>
        <v>QUEENS</v>
      </c>
      <c r="C28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86" s="67">
        <f>VLOOKUP(Yards[[#This Row],[DEVELOPMENT]],Data[],30,FALSE)</f>
        <v>0</v>
      </c>
      <c r="E286" s="67">
        <f>VLOOKUP(Yards[[#This Row],[DEVELOPMENT]],Data[],28,FALSE)</f>
        <v>0</v>
      </c>
      <c r="F286" s="66">
        <f>VLOOKUP(Yards[[#This Row],[DEVELOPMENT]],Data[],8,FALSE)</f>
        <v>0</v>
      </c>
      <c r="G286" s="66">
        <f>VLOOKUP(Yards[[#This Row],[DEVELOPMENT]],Data[],9,FALSE)</f>
        <v>0</v>
      </c>
      <c r="H286" s="66"/>
      <c r="I286" s="67">
        <f>IFERROR(VLOOKUP(Yards[[#This Row],[DEVELOPMENT]],Data[],4,FALSE),"")</f>
        <v>2021</v>
      </c>
      <c r="J286" s="67" t="str">
        <f>IF(Yards[[#This Row],[RAD/PACT]]="","",IF((Yards[[#This Row],[RAD/PACT]]&lt;=2025),"Yes",""))</f>
        <v>Yes</v>
      </c>
      <c r="K286" s="67" t="str">
        <f ca="1">IF(VLOOKUP(Yards[[#This Row],[DEVELOPMENT]],ExtComp[],8,FALSE)&lt;=5,"new","old")</f>
        <v>old</v>
      </c>
      <c r="L286" s="104">
        <f>IF(Yards[[#This Row],[RAD/PACT by 2025]]="Yes",0,INDEX(UnitCosts[],MATCH(Yards[[#This Row],[WORK TYPE]],UnitCosts[Work Type],0),2))</f>
        <v>0</v>
      </c>
      <c r="M286" s="1"/>
      <c r="N286" s="1"/>
      <c r="O286" s="1"/>
      <c r="P286" s="16"/>
    </row>
    <row r="287" spans="1:16" x14ac:dyDescent="0.25">
      <c r="A287" s="13" t="s">
        <v>317</v>
      </c>
      <c r="B287" s="67" t="str">
        <f>VLOOKUP(Yards[[#This Row],[DEVELOPMENT]],Data[],2,FALSE)</f>
        <v>QUEENS</v>
      </c>
      <c r="C287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v5</v>
      </c>
      <c r="D287" s="67">
        <f>VLOOKUP(Yards[[#This Row],[DEVELOPMENT]],Data[],30,FALSE)</f>
        <v>4</v>
      </c>
      <c r="E287" s="67">
        <f>VLOOKUP(Yards[[#This Row],[DEVELOPMENT]],Data[],28,FALSE)</f>
        <v>0</v>
      </c>
      <c r="F287" s="66">
        <f>VLOOKUP(Yards[[#This Row],[DEVELOPMENT]],Data[],8,FALSE)</f>
        <v>0</v>
      </c>
      <c r="G287" s="66">
        <f>VLOOKUP(Yards[[#This Row],[DEVELOPMENT]],Data[],9,FALSE)</f>
        <v>0</v>
      </c>
      <c r="H287" s="66"/>
      <c r="I287" s="67">
        <f>IFERROR(VLOOKUP(Yards[[#This Row],[DEVELOPMENT]],Data[],4,FALSE),"")</f>
        <v>2021</v>
      </c>
      <c r="J287" s="67" t="str">
        <f>IF(Yards[[#This Row],[RAD/PACT]]="","",IF((Yards[[#This Row],[RAD/PACT]]&lt;=2025),"Yes",""))</f>
        <v>Yes</v>
      </c>
      <c r="K287" s="67" t="str">
        <f ca="1">IF(VLOOKUP(Yards[[#This Row],[DEVELOPMENT]],ExtComp[],8,FALSE)&lt;=5,"new","old")</f>
        <v>old</v>
      </c>
      <c r="L287" s="104">
        <f>IF(Yards[[#This Row],[RAD/PACT by 2025]]="Yes",0,INDEX(UnitCosts[],MATCH(Yards[[#This Row],[WORK TYPE]],UnitCosts[Work Type],0),2))</f>
        <v>0</v>
      </c>
      <c r="M287" s="1"/>
      <c r="N287" s="1"/>
      <c r="O287" s="1"/>
      <c r="P287" s="16"/>
    </row>
    <row r="288" spans="1:16" x14ac:dyDescent="0.25">
      <c r="A288" s="13" t="s">
        <v>318</v>
      </c>
      <c r="B288" s="67" t="str">
        <f>VLOOKUP(Yards[[#This Row],[DEVELOPMENT]],Data[],2,FALSE)</f>
        <v>MANHATTAN</v>
      </c>
      <c r="C28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88" s="67">
        <f>VLOOKUP(Yards[[#This Row],[DEVELOPMENT]],Data[],30,FALSE)</f>
        <v>0</v>
      </c>
      <c r="E288" s="67">
        <f>VLOOKUP(Yards[[#This Row],[DEVELOPMENT]],Data[],28,FALSE)</f>
        <v>0</v>
      </c>
      <c r="F288" s="66">
        <f>VLOOKUP(Yards[[#This Row],[DEVELOPMENT]],Data[],8,FALSE)</f>
        <v>0</v>
      </c>
      <c r="G288" s="66">
        <f>VLOOKUP(Yards[[#This Row],[DEVELOPMENT]],Data[],9,FALSE)</f>
        <v>0</v>
      </c>
      <c r="H288" s="66"/>
      <c r="I288" s="67" t="str">
        <f>IFERROR(VLOOKUP(Yards[[#This Row],[DEVELOPMENT]],Data[],4,FALSE),"")</f>
        <v/>
      </c>
      <c r="J288" s="67" t="str">
        <f>IF(Yards[[#This Row],[RAD/PACT]]="","",IF((Yards[[#This Row],[RAD/PACT]]&lt;=2025),"Yes",""))</f>
        <v/>
      </c>
      <c r="K288" s="67" t="str">
        <f ca="1">IF(VLOOKUP(Yards[[#This Row],[DEVELOPMENT]],ExtComp[],8,FALSE)&lt;=5,"new","old")</f>
        <v>old</v>
      </c>
      <c r="L288" s="104">
        <f>IF(Yards[[#This Row],[RAD/PACT by 2025]]="Yes",0,INDEX(UnitCosts[],MATCH(Yards[[#This Row],[WORK TYPE]],UnitCosts[Work Type],0),2))</f>
        <v>1159792.78</v>
      </c>
      <c r="M288" s="1"/>
      <c r="N288" s="1"/>
      <c r="O288" s="1"/>
      <c r="P288" s="16"/>
    </row>
    <row r="289" spans="1:16" x14ac:dyDescent="0.25">
      <c r="A289" s="13" t="s">
        <v>319</v>
      </c>
      <c r="B289" s="67" t="str">
        <f>VLOOKUP(Yards[[#This Row],[DEVELOPMENT]],Data[],2,FALSE)</f>
        <v>STATEN ISLAND</v>
      </c>
      <c r="C28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289" s="67">
        <f>VLOOKUP(Yards[[#This Row],[DEVELOPMENT]],Data[],30,FALSE)</f>
        <v>2</v>
      </c>
      <c r="E289" s="67">
        <f>VLOOKUP(Yards[[#This Row],[DEVELOPMENT]],Data[],28,FALSE)</f>
        <v>0</v>
      </c>
      <c r="F289" s="66">
        <f>VLOOKUP(Yards[[#This Row],[DEVELOPMENT]],Data[],8,FALSE)</f>
        <v>0</v>
      </c>
      <c r="G289" s="66">
        <f>VLOOKUP(Yards[[#This Row],[DEVELOPMENT]],Data[],9,FALSE)</f>
        <v>0</v>
      </c>
      <c r="H289" s="66"/>
      <c r="I289" s="67" t="str">
        <f>IFERROR(VLOOKUP(Yards[[#This Row],[DEVELOPMENT]],Data[],4,FALSE),"")</f>
        <v/>
      </c>
      <c r="J289" s="67" t="str">
        <f>IF(Yards[[#This Row],[RAD/PACT]]="","",IF((Yards[[#This Row],[RAD/PACT]]&lt;=2025),"Yes",""))</f>
        <v/>
      </c>
      <c r="K289" s="67" t="str">
        <f ca="1">IF(VLOOKUP(Yards[[#This Row],[DEVELOPMENT]],ExtComp[],8,FALSE)&lt;=5,"new","old")</f>
        <v>old</v>
      </c>
      <c r="L289" s="104">
        <f ca="1">IF(Yards[[#This Row],[RAD/PACT by 2025]]="Yes",0,INDEX(UnitCosts[],MATCH(Yards[[#This Row],[WORK TYPE]],UnitCosts[Work Type],0),2))</f>
        <v>1591050.0199999998</v>
      </c>
      <c r="M289" s="1"/>
      <c r="N289" s="1"/>
      <c r="O289" s="1"/>
      <c r="P289" s="16"/>
    </row>
    <row r="290" spans="1:16" x14ac:dyDescent="0.25">
      <c r="A290" s="13" t="s">
        <v>320</v>
      </c>
      <c r="B290" s="67" t="str">
        <f>VLOOKUP(Yards[[#This Row],[DEVELOPMENT]],Data[],2,FALSE)</f>
        <v>BROOKLYN</v>
      </c>
      <c r="C29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0" s="67">
        <f>VLOOKUP(Yards[[#This Row],[DEVELOPMENT]],Data[],30,FALSE)</f>
        <v>0</v>
      </c>
      <c r="E290" s="67">
        <f>VLOOKUP(Yards[[#This Row],[DEVELOPMENT]],Data[],28,FALSE)</f>
        <v>0</v>
      </c>
      <c r="F290" s="66">
        <f>VLOOKUP(Yards[[#This Row],[DEVELOPMENT]],Data[],8,FALSE)</f>
        <v>0</v>
      </c>
      <c r="G290" s="66">
        <f>VLOOKUP(Yards[[#This Row],[DEVELOPMENT]],Data[],9,FALSE)</f>
        <v>0</v>
      </c>
      <c r="H290" s="66"/>
      <c r="I290" s="67">
        <f>IFERROR(VLOOKUP(Yards[[#This Row],[DEVELOPMENT]],Data[],4,FALSE),"")</f>
        <v>2025</v>
      </c>
      <c r="J290" s="67" t="str">
        <f>IF(Yards[[#This Row],[RAD/PACT]]="","",IF((Yards[[#This Row],[RAD/PACT]]&lt;=2025),"Yes",""))</f>
        <v>Yes</v>
      </c>
      <c r="K290" s="67" t="str">
        <f ca="1">IF(VLOOKUP(Yards[[#This Row],[DEVELOPMENT]],ExtComp[],8,FALSE)&lt;=5,"new","old")</f>
        <v>old</v>
      </c>
      <c r="L290" s="104">
        <f>IF(Yards[[#This Row],[RAD/PACT by 2025]]="Yes",0,INDEX(UnitCosts[],MATCH(Yards[[#This Row],[WORK TYPE]],UnitCosts[Work Type],0),2))</f>
        <v>0</v>
      </c>
      <c r="M290" s="1"/>
      <c r="N290" s="1"/>
      <c r="O290" s="1"/>
      <c r="P290" s="16"/>
    </row>
    <row r="291" spans="1:16" x14ac:dyDescent="0.25">
      <c r="A291" s="13" t="s">
        <v>321</v>
      </c>
      <c r="B291" s="67" t="str">
        <f>VLOOKUP(Yards[[#This Row],[DEVELOPMENT]],Data[],2,FALSE)</f>
        <v>BROOKLYN</v>
      </c>
      <c r="C29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1" s="67">
        <f>VLOOKUP(Yards[[#This Row],[DEVELOPMENT]],Data[],30,FALSE)</f>
        <v>0</v>
      </c>
      <c r="E291" s="67">
        <f>VLOOKUP(Yards[[#This Row],[DEVELOPMENT]],Data[],28,FALSE)</f>
        <v>0</v>
      </c>
      <c r="F291" s="66">
        <f>VLOOKUP(Yards[[#This Row],[DEVELOPMENT]],Data[],8,FALSE)</f>
        <v>0</v>
      </c>
      <c r="G291" s="66">
        <f>VLOOKUP(Yards[[#This Row],[DEVELOPMENT]],Data[],9,FALSE)</f>
        <v>0</v>
      </c>
      <c r="H291" s="66"/>
      <c r="I291" s="67">
        <f>IFERROR(VLOOKUP(Yards[[#This Row],[DEVELOPMENT]],Data[],4,FALSE),"")</f>
        <v>2025</v>
      </c>
      <c r="J291" s="67" t="str">
        <f>IF(Yards[[#This Row],[RAD/PACT]]="","",IF((Yards[[#This Row],[RAD/PACT]]&lt;=2025),"Yes",""))</f>
        <v>Yes</v>
      </c>
      <c r="K291" s="67" t="str">
        <f ca="1">IF(VLOOKUP(Yards[[#This Row],[DEVELOPMENT]],ExtComp[],8,FALSE)&lt;=5,"new","old")</f>
        <v>old</v>
      </c>
      <c r="L291" s="104">
        <f>IF(Yards[[#This Row],[RAD/PACT by 2025]]="Yes",0,INDEX(UnitCosts[],MATCH(Yards[[#This Row],[WORK TYPE]],UnitCosts[Work Type],0),2))</f>
        <v>0</v>
      </c>
      <c r="M291" s="1"/>
      <c r="N291" s="1"/>
      <c r="O291" s="1"/>
      <c r="P291" s="16"/>
    </row>
    <row r="292" spans="1:16" x14ac:dyDescent="0.25">
      <c r="A292" s="13" t="s">
        <v>322</v>
      </c>
      <c r="B292" s="67" t="str">
        <f>VLOOKUP(Yards[[#This Row],[DEVELOPMENT]],Data[],2,FALSE)</f>
        <v>MANHATTAN</v>
      </c>
      <c r="C29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2" s="67">
        <f>VLOOKUP(Yards[[#This Row],[DEVELOPMENT]],Data[],30,FALSE)</f>
        <v>0</v>
      </c>
      <c r="E292" s="67">
        <f>VLOOKUP(Yards[[#This Row],[DEVELOPMENT]],Data[],28,FALSE)</f>
        <v>0</v>
      </c>
      <c r="F292" s="66">
        <f>VLOOKUP(Yards[[#This Row],[DEVELOPMENT]],Data[],8,FALSE)</f>
        <v>0</v>
      </c>
      <c r="G292" s="66">
        <f>VLOOKUP(Yards[[#This Row],[DEVELOPMENT]],Data[],9,FALSE)</f>
        <v>0</v>
      </c>
      <c r="H292" s="66"/>
      <c r="I292" s="67" t="str">
        <f>IFERROR(VLOOKUP(Yards[[#This Row],[DEVELOPMENT]],Data[],4,FALSE),"")</f>
        <v/>
      </c>
      <c r="J292" s="67" t="str">
        <f>IF(Yards[[#This Row],[RAD/PACT]]="","",IF((Yards[[#This Row],[RAD/PACT]]&lt;=2025),"Yes",""))</f>
        <v/>
      </c>
      <c r="K292" s="67" t="str">
        <f ca="1">IF(VLOOKUP(Yards[[#This Row],[DEVELOPMENT]],ExtComp[],8,FALSE)&lt;=5,"new","old")</f>
        <v>old</v>
      </c>
      <c r="L292" s="104">
        <f>IF(Yards[[#This Row],[RAD/PACT by 2025]]="Yes",0,INDEX(UnitCosts[],MATCH(Yards[[#This Row],[WORK TYPE]],UnitCosts[Work Type],0),2))</f>
        <v>1159792.78</v>
      </c>
      <c r="M292" s="1"/>
      <c r="N292" s="1"/>
      <c r="O292" s="1"/>
      <c r="P292" s="16"/>
    </row>
    <row r="293" spans="1:16" x14ac:dyDescent="0.25">
      <c r="A293" s="13" t="s">
        <v>323</v>
      </c>
      <c r="B293" s="67" t="str">
        <f>VLOOKUP(Yards[[#This Row],[DEVELOPMENT]],Data[],2,FALSE)</f>
        <v>BROOKLYN</v>
      </c>
      <c r="C29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3" s="67">
        <f>VLOOKUP(Yards[[#This Row],[DEVELOPMENT]],Data[],30,FALSE)</f>
        <v>0</v>
      </c>
      <c r="E293" s="67">
        <f>VLOOKUP(Yards[[#This Row],[DEVELOPMENT]],Data[],28,FALSE)</f>
        <v>0</v>
      </c>
      <c r="F293" s="66">
        <f>VLOOKUP(Yards[[#This Row],[DEVELOPMENT]],Data[],8,FALSE)</f>
        <v>0</v>
      </c>
      <c r="G293" s="66">
        <f>VLOOKUP(Yards[[#This Row],[DEVELOPMENT]],Data[],9,FALSE)</f>
        <v>0</v>
      </c>
      <c r="H293" s="66"/>
      <c r="I293" s="67" t="str">
        <f>IFERROR(VLOOKUP(Yards[[#This Row],[DEVELOPMENT]],Data[],4,FALSE),"")</f>
        <v/>
      </c>
      <c r="J293" s="67" t="str">
        <f>IF(Yards[[#This Row],[RAD/PACT]]="","",IF((Yards[[#This Row],[RAD/PACT]]&lt;=2025),"Yes",""))</f>
        <v/>
      </c>
      <c r="K293" s="67" t="str">
        <f ca="1">IF(VLOOKUP(Yards[[#This Row],[DEVELOPMENT]],ExtComp[],8,FALSE)&lt;=5,"new","old")</f>
        <v>old</v>
      </c>
      <c r="L293" s="104">
        <f>IF(Yards[[#This Row],[RAD/PACT by 2025]]="Yes",0,INDEX(UnitCosts[],MATCH(Yards[[#This Row],[WORK TYPE]],UnitCosts[Work Type],0),2))</f>
        <v>1159792.78</v>
      </c>
      <c r="M293" s="1"/>
      <c r="N293" s="1"/>
      <c r="O293" s="1"/>
      <c r="P293" s="16"/>
    </row>
    <row r="294" spans="1:16" x14ac:dyDescent="0.25">
      <c r="A294" s="13" t="s">
        <v>324</v>
      </c>
      <c r="B294" s="67" t="str">
        <f>VLOOKUP(Yards[[#This Row],[DEVELOPMENT]],Data[],2,FALSE)</f>
        <v>BROOKLYN</v>
      </c>
      <c r="C29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4" s="67">
        <f>VLOOKUP(Yards[[#This Row],[DEVELOPMENT]],Data[],30,FALSE)</f>
        <v>0</v>
      </c>
      <c r="E294" s="67">
        <f>VLOOKUP(Yards[[#This Row],[DEVELOPMENT]],Data[],28,FALSE)</f>
        <v>0</v>
      </c>
      <c r="F294" s="66">
        <f>VLOOKUP(Yards[[#This Row],[DEVELOPMENT]],Data[],8,FALSE)</f>
        <v>0</v>
      </c>
      <c r="G294" s="66">
        <f>VLOOKUP(Yards[[#This Row],[DEVELOPMENT]],Data[],9,FALSE)</f>
        <v>0</v>
      </c>
      <c r="H294" s="66"/>
      <c r="I294" s="67" t="str">
        <f>IFERROR(VLOOKUP(Yards[[#This Row],[DEVELOPMENT]],Data[],4,FALSE),"")</f>
        <v/>
      </c>
      <c r="J294" s="67" t="str">
        <f>IF(Yards[[#This Row],[RAD/PACT]]="","",IF((Yards[[#This Row],[RAD/PACT]]&lt;=2025),"Yes",""))</f>
        <v/>
      </c>
      <c r="K294" s="67" t="str">
        <f ca="1">IF(VLOOKUP(Yards[[#This Row],[DEVELOPMENT]],ExtComp[],8,FALSE)&lt;=5,"new","old")</f>
        <v>old</v>
      </c>
      <c r="L294" s="104">
        <f>IF(Yards[[#This Row],[RAD/PACT by 2025]]="Yes",0,INDEX(UnitCosts[],MATCH(Yards[[#This Row],[WORK TYPE]],UnitCosts[Work Type],0),2))</f>
        <v>1159792.78</v>
      </c>
      <c r="M294" s="1"/>
      <c r="N294" s="1"/>
      <c r="O294" s="1"/>
      <c r="P294" s="16"/>
    </row>
    <row r="295" spans="1:16" x14ac:dyDescent="0.25">
      <c r="A295" s="13" t="s">
        <v>325</v>
      </c>
      <c r="B295" s="67" t="str">
        <f>VLOOKUP(Yards[[#This Row],[DEVELOPMENT]],Data[],2,FALSE)</f>
        <v>BROOKLYN</v>
      </c>
      <c r="C29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5" s="67">
        <f>VLOOKUP(Yards[[#This Row],[DEVELOPMENT]],Data[],30,FALSE)</f>
        <v>1</v>
      </c>
      <c r="E295" s="67">
        <f>VLOOKUP(Yards[[#This Row],[DEVELOPMENT]],Data[],28,FALSE)</f>
        <v>0</v>
      </c>
      <c r="F295" s="66">
        <f>VLOOKUP(Yards[[#This Row],[DEVELOPMENT]],Data[],8,FALSE)</f>
        <v>0</v>
      </c>
      <c r="G295" s="66">
        <f>VLOOKUP(Yards[[#This Row],[DEVELOPMENT]],Data[],9,FALSE)</f>
        <v>0</v>
      </c>
      <c r="H295" s="66"/>
      <c r="I295" s="67" t="str">
        <f>IFERROR(VLOOKUP(Yards[[#This Row],[DEVELOPMENT]],Data[],4,FALSE),"")</f>
        <v/>
      </c>
      <c r="J295" s="67" t="str">
        <f>IF(Yards[[#This Row],[RAD/PACT]]="","",IF((Yards[[#This Row],[RAD/PACT]]&lt;=2025),"Yes",""))</f>
        <v/>
      </c>
      <c r="K295" s="67" t="str">
        <f ca="1">IF(VLOOKUP(Yards[[#This Row],[DEVELOPMENT]],ExtComp[],8,FALSE)&lt;=5,"new","old")</f>
        <v>old</v>
      </c>
      <c r="L295" s="104">
        <f ca="1">IF(Yards[[#This Row],[RAD/PACT by 2025]]="Yes",0,INDEX(UnitCosts[],MATCH(Yards[[#This Row],[WORK TYPE]],UnitCosts[Work Type],0),2))</f>
        <v>1159792.78</v>
      </c>
      <c r="M295" s="1"/>
      <c r="N295" s="1"/>
      <c r="O295" s="1"/>
      <c r="P295" s="16"/>
    </row>
    <row r="296" spans="1:16" x14ac:dyDescent="0.25">
      <c r="A296" s="13" t="s">
        <v>326</v>
      </c>
      <c r="B296" s="67" t="str">
        <f>VLOOKUP(Yards[[#This Row],[DEVELOPMENT]],Data[],2,FALSE)</f>
        <v>BROOKLYN</v>
      </c>
      <c r="C29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6" s="67">
        <f>VLOOKUP(Yards[[#This Row],[DEVELOPMENT]],Data[],30,FALSE)</f>
        <v>0</v>
      </c>
      <c r="E296" s="67">
        <f>VLOOKUP(Yards[[#This Row],[DEVELOPMENT]],Data[],28,FALSE)</f>
        <v>0</v>
      </c>
      <c r="F296" s="66">
        <f>VLOOKUP(Yards[[#This Row],[DEVELOPMENT]],Data[],8,FALSE)</f>
        <v>0</v>
      </c>
      <c r="G296" s="66">
        <f>VLOOKUP(Yards[[#This Row],[DEVELOPMENT]],Data[],9,FALSE)</f>
        <v>0</v>
      </c>
      <c r="H296" s="66"/>
      <c r="I296" s="67">
        <f>IFERROR(VLOOKUP(Yards[[#This Row],[DEVELOPMENT]],Data[],4,FALSE),"")</f>
        <v>2021</v>
      </c>
      <c r="J296" s="67" t="str">
        <f>IF(Yards[[#This Row],[RAD/PACT]]="","",IF((Yards[[#This Row],[RAD/PACT]]&lt;=2025),"Yes",""))</f>
        <v>Yes</v>
      </c>
      <c r="K296" s="67" t="str">
        <f ca="1">IF(VLOOKUP(Yards[[#This Row],[DEVELOPMENT]],ExtComp[],8,FALSE)&lt;=5,"new","old")</f>
        <v>old</v>
      </c>
      <c r="L296" s="104">
        <f>IF(Yards[[#This Row],[RAD/PACT by 2025]]="Yes",0,INDEX(UnitCosts[],MATCH(Yards[[#This Row],[WORK TYPE]],UnitCosts[Work Type],0),2))</f>
        <v>0</v>
      </c>
      <c r="M296" s="1"/>
      <c r="N296" s="1"/>
      <c r="O296" s="1"/>
      <c r="P296" s="16"/>
    </row>
    <row r="297" spans="1:16" x14ac:dyDescent="0.25">
      <c r="A297" s="13" t="s">
        <v>327</v>
      </c>
      <c r="B297" s="67" t="str">
        <f>VLOOKUP(Yards[[#This Row],[DEVELOPMENT]],Data[],2,FALSE)</f>
        <v>BROOKLYN</v>
      </c>
      <c r="C29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7" s="67">
        <f>VLOOKUP(Yards[[#This Row],[DEVELOPMENT]],Data[],30,FALSE)</f>
        <v>0</v>
      </c>
      <c r="E297" s="67">
        <f>VLOOKUP(Yards[[#This Row],[DEVELOPMENT]],Data[],28,FALSE)</f>
        <v>0</v>
      </c>
      <c r="F297" s="66">
        <f>VLOOKUP(Yards[[#This Row],[DEVELOPMENT]],Data[],8,FALSE)</f>
        <v>0</v>
      </c>
      <c r="G297" s="66">
        <f>VLOOKUP(Yards[[#This Row],[DEVELOPMENT]],Data[],9,FALSE)</f>
        <v>0</v>
      </c>
      <c r="H297" s="66"/>
      <c r="I297" s="67">
        <f>IFERROR(VLOOKUP(Yards[[#This Row],[DEVELOPMENT]],Data[],4,FALSE),"")</f>
        <v>2021</v>
      </c>
      <c r="J297" s="67" t="str">
        <f>IF(Yards[[#This Row],[RAD/PACT]]="","",IF((Yards[[#This Row],[RAD/PACT]]&lt;=2025),"Yes",""))</f>
        <v>Yes</v>
      </c>
      <c r="K297" s="67" t="str">
        <f ca="1">IF(VLOOKUP(Yards[[#This Row],[DEVELOPMENT]],ExtComp[],8,FALSE)&lt;=5,"new","old")</f>
        <v>old</v>
      </c>
      <c r="L297" s="104">
        <f>IF(Yards[[#This Row],[RAD/PACT by 2025]]="Yes",0,INDEX(UnitCosts[],MATCH(Yards[[#This Row],[WORK TYPE]],UnitCosts[Work Type],0),2))</f>
        <v>0</v>
      </c>
      <c r="M297" s="1"/>
      <c r="N297" s="1"/>
      <c r="O297" s="1"/>
      <c r="P297" s="16"/>
    </row>
    <row r="298" spans="1:16" x14ac:dyDescent="0.25">
      <c r="A298" s="13" t="s">
        <v>328</v>
      </c>
      <c r="B298" s="67" t="str">
        <f>VLOOKUP(Yards[[#This Row],[DEVELOPMENT]],Data[],2,FALSE)</f>
        <v>BROOKLYN</v>
      </c>
      <c r="C29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298" s="67">
        <f>VLOOKUP(Yards[[#This Row],[DEVELOPMENT]],Data[],30,FALSE)</f>
        <v>0</v>
      </c>
      <c r="E298" s="67">
        <f>VLOOKUP(Yards[[#This Row],[DEVELOPMENT]],Data[],28,FALSE)</f>
        <v>0</v>
      </c>
      <c r="F298" s="66">
        <f>VLOOKUP(Yards[[#This Row],[DEVELOPMENT]],Data[],8,FALSE)</f>
        <v>0</v>
      </c>
      <c r="G298" s="66">
        <f>VLOOKUP(Yards[[#This Row],[DEVELOPMENT]],Data[],9,FALSE)</f>
        <v>0</v>
      </c>
      <c r="H298" s="66"/>
      <c r="I298" s="67" t="str">
        <f>IFERROR(VLOOKUP(Yards[[#This Row],[DEVELOPMENT]],Data[],4,FALSE),"")</f>
        <v/>
      </c>
      <c r="J298" s="67" t="str">
        <f>IF(Yards[[#This Row],[RAD/PACT]]="","",IF((Yards[[#This Row],[RAD/PACT]]&lt;=2025),"Yes",""))</f>
        <v/>
      </c>
      <c r="K298" s="67" t="str">
        <f ca="1">IF(VLOOKUP(Yards[[#This Row],[DEVELOPMENT]],ExtComp[],8,FALSE)&lt;=5,"new","old")</f>
        <v>old</v>
      </c>
      <c r="L298" s="104">
        <f>IF(Yards[[#This Row],[RAD/PACT by 2025]]="Yes",0,INDEX(UnitCosts[],MATCH(Yards[[#This Row],[WORK TYPE]],UnitCosts[Work Type],0),2))</f>
        <v>1159792.78</v>
      </c>
      <c r="M298" s="1"/>
      <c r="N298" s="1"/>
      <c r="O298" s="1"/>
      <c r="P298" s="16"/>
    </row>
    <row r="299" spans="1:16" x14ac:dyDescent="0.25">
      <c r="A299" s="13" t="s">
        <v>330</v>
      </c>
      <c r="B299" s="67" t="str">
        <f>VLOOKUP(Yards[[#This Row],[DEVELOPMENT]],Data[],2,FALSE)</f>
        <v>BRONX</v>
      </c>
      <c r="C29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v7</v>
      </c>
      <c r="D299" s="67">
        <f>VLOOKUP(Yards[[#This Row],[DEVELOPMENT]],Data[],30,FALSE)</f>
        <v>6</v>
      </c>
      <c r="E299" s="67">
        <f>VLOOKUP(Yards[[#This Row],[DEVELOPMENT]],Data[],28,FALSE)</f>
        <v>0</v>
      </c>
      <c r="F299" s="66">
        <f>VLOOKUP(Yards[[#This Row],[DEVELOPMENT]],Data[],8,FALSE)</f>
        <v>0</v>
      </c>
      <c r="G299" s="66">
        <f>VLOOKUP(Yards[[#This Row],[DEVELOPMENT]],Data[],9,FALSE)</f>
        <v>0</v>
      </c>
      <c r="H299" s="66"/>
      <c r="I299" s="67">
        <f>IFERROR(VLOOKUP(Yards[[#This Row],[DEVELOPMENT]],Data[],4,FALSE),"")</f>
        <v>2022</v>
      </c>
      <c r="J299" s="67" t="str">
        <f>IF(Yards[[#This Row],[RAD/PACT]]="","",IF((Yards[[#This Row],[RAD/PACT]]&lt;=2025),"Yes",""))</f>
        <v>Yes</v>
      </c>
      <c r="K299" s="67" t="str">
        <f ca="1">IF(VLOOKUP(Yards[[#This Row],[DEVELOPMENT]],ExtComp[],8,FALSE)&lt;=5,"new","old")</f>
        <v>old</v>
      </c>
      <c r="L299" s="104">
        <f>IF(Yards[[#This Row],[RAD/PACT by 2025]]="Yes",0,INDEX(UnitCosts[],MATCH(Yards[[#This Row],[WORK TYPE]],UnitCosts[Work Type],0),2))</f>
        <v>0</v>
      </c>
      <c r="M299" s="1"/>
      <c r="N299" s="1"/>
      <c r="O299" s="1"/>
      <c r="P299" s="16"/>
    </row>
    <row r="300" spans="1:16" x14ac:dyDescent="0.25">
      <c r="A300" s="13" t="s">
        <v>331</v>
      </c>
      <c r="B300" s="67" t="str">
        <f>VLOOKUP(Yards[[#This Row],[DEVELOPMENT]],Data[],2,FALSE)</f>
        <v>BRONX</v>
      </c>
      <c r="C30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0" s="67">
        <f>VLOOKUP(Yards[[#This Row],[DEVELOPMENT]],Data[],30,FALSE)</f>
        <v>0</v>
      </c>
      <c r="E300" s="67">
        <f>VLOOKUP(Yards[[#This Row],[DEVELOPMENT]],Data[],28,FALSE)</f>
        <v>0</v>
      </c>
      <c r="F300" s="66">
        <f>VLOOKUP(Yards[[#This Row],[DEVELOPMENT]],Data[],8,FALSE)</f>
        <v>0</v>
      </c>
      <c r="G300" s="66">
        <f>VLOOKUP(Yards[[#This Row],[DEVELOPMENT]],Data[],9,FALSE)</f>
        <v>0</v>
      </c>
      <c r="H300" s="66"/>
      <c r="I300" s="67">
        <f>IFERROR(VLOOKUP(Yards[[#This Row],[DEVELOPMENT]],Data[],4,FALSE),"")</f>
        <v>2022</v>
      </c>
      <c r="J300" s="67" t="str">
        <f>IF(Yards[[#This Row],[RAD/PACT]]="","",IF((Yards[[#This Row],[RAD/PACT]]&lt;=2025),"Yes",""))</f>
        <v>Yes</v>
      </c>
      <c r="K300" s="67" t="str">
        <f ca="1">IF(VLOOKUP(Yards[[#This Row],[DEVELOPMENT]],ExtComp[],8,FALSE)&lt;=5,"new","old")</f>
        <v>old</v>
      </c>
      <c r="L300" s="104">
        <f>IF(Yards[[#This Row],[RAD/PACT by 2025]]="Yes",0,INDEX(UnitCosts[],MATCH(Yards[[#This Row],[WORK TYPE]],UnitCosts[Work Type],0),2))</f>
        <v>0</v>
      </c>
      <c r="M300" s="1"/>
      <c r="N300" s="1"/>
      <c r="O300" s="1"/>
      <c r="P300" s="16"/>
    </row>
    <row r="301" spans="1:16" x14ac:dyDescent="0.25">
      <c r="A301" s="13" t="s">
        <v>332</v>
      </c>
      <c r="B301" s="67" t="str">
        <f>VLOOKUP(Yards[[#This Row],[DEVELOPMENT]],Data[],2,FALSE)</f>
        <v>BROOKLYN</v>
      </c>
      <c r="C301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301" s="67">
        <f>VLOOKUP(Yards[[#This Row],[DEVELOPMENT]],Data[],30,FALSE)</f>
        <v>2</v>
      </c>
      <c r="E301" s="67">
        <f>VLOOKUP(Yards[[#This Row],[DEVELOPMENT]],Data[],28,FALSE)</f>
        <v>0</v>
      </c>
      <c r="F301" s="66">
        <f>VLOOKUP(Yards[[#This Row],[DEVELOPMENT]],Data[],8,FALSE)</f>
        <v>0</v>
      </c>
      <c r="G301" s="66">
        <f>VLOOKUP(Yards[[#This Row],[DEVELOPMENT]],Data[],9,FALSE)</f>
        <v>0</v>
      </c>
      <c r="H301" s="66">
        <v>1</v>
      </c>
      <c r="I301" s="67" t="str">
        <f>IFERROR(VLOOKUP(Yards[[#This Row],[DEVELOPMENT]],Data[],4,FALSE),"")</f>
        <v/>
      </c>
      <c r="J301" s="67" t="str">
        <f>IF(Yards[[#This Row],[RAD/PACT]]="","",IF((Yards[[#This Row],[RAD/PACT]]&lt;=2025),"Yes",""))</f>
        <v/>
      </c>
      <c r="K301" s="67" t="str">
        <f ca="1">IF(VLOOKUP(Yards[[#This Row],[DEVELOPMENT]],ExtComp[],8,FALSE)&lt;=5,"new","old")</f>
        <v>old</v>
      </c>
      <c r="L301" s="104">
        <f ca="1">IF(Yards[[#This Row],[RAD/PACT by 2025]]="Yes",0,INDEX(UnitCosts[],MATCH(Yards[[#This Row],[WORK TYPE]],UnitCosts[Work Type],0),2))</f>
        <v>1591050.0199999998</v>
      </c>
      <c r="M301" s="1"/>
      <c r="N301" s="1"/>
      <c r="O301" s="1"/>
      <c r="P301" s="16"/>
    </row>
    <row r="302" spans="1:16" x14ac:dyDescent="0.25">
      <c r="A302" s="13" t="s">
        <v>333</v>
      </c>
      <c r="B302" s="67" t="str">
        <f>VLOOKUP(Yards[[#This Row],[DEVELOPMENT]],Data[],2,FALSE)</f>
        <v>STATEN ISLAND</v>
      </c>
      <c r="C30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2" s="67">
        <f>VLOOKUP(Yards[[#This Row],[DEVELOPMENT]],Data[],30,FALSE)</f>
        <v>0</v>
      </c>
      <c r="E302" s="67">
        <f>VLOOKUP(Yards[[#This Row],[DEVELOPMENT]],Data[],28,FALSE)</f>
        <v>0</v>
      </c>
      <c r="F302" s="66">
        <f>VLOOKUP(Yards[[#This Row],[DEVELOPMENT]],Data[],8,FALSE)</f>
        <v>0</v>
      </c>
      <c r="G302" s="66">
        <f>VLOOKUP(Yards[[#This Row],[DEVELOPMENT]],Data[],9,FALSE)</f>
        <v>0</v>
      </c>
      <c r="H302" s="66"/>
      <c r="I302" s="67" t="str">
        <f>IFERROR(VLOOKUP(Yards[[#This Row],[DEVELOPMENT]],Data[],4,FALSE),"")</f>
        <v/>
      </c>
      <c r="J302" s="67" t="str">
        <f>IF(Yards[[#This Row],[RAD/PACT]]="","",IF((Yards[[#This Row],[RAD/PACT]]&lt;=2025),"Yes",""))</f>
        <v/>
      </c>
      <c r="K302" s="67" t="str">
        <f ca="1">IF(VLOOKUP(Yards[[#This Row],[DEVELOPMENT]],ExtComp[],8,FALSE)&lt;=5,"new","old")</f>
        <v>old</v>
      </c>
      <c r="L302" s="104">
        <f>IF(Yards[[#This Row],[RAD/PACT by 2025]]="Yes",0,INDEX(UnitCosts[],MATCH(Yards[[#This Row],[WORK TYPE]],UnitCosts[Work Type],0),2))</f>
        <v>1159792.78</v>
      </c>
      <c r="M302" s="1"/>
      <c r="N302" s="1"/>
      <c r="O302" s="1"/>
      <c r="P302" s="16"/>
    </row>
    <row r="303" spans="1:16" x14ac:dyDescent="0.25">
      <c r="A303" s="13" t="s">
        <v>334</v>
      </c>
      <c r="B303" s="67" t="str">
        <f>VLOOKUP(Yards[[#This Row],[DEVELOPMENT]],Data[],2,FALSE)</f>
        <v>BROOKLYN</v>
      </c>
      <c r="C30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3" s="67">
        <f>VLOOKUP(Yards[[#This Row],[DEVELOPMENT]],Data[],30,FALSE)</f>
        <v>0</v>
      </c>
      <c r="E303" s="67">
        <f>VLOOKUP(Yards[[#This Row],[DEVELOPMENT]],Data[],28,FALSE)</f>
        <v>0</v>
      </c>
      <c r="F303" s="66">
        <f>VLOOKUP(Yards[[#This Row],[DEVELOPMENT]],Data[],8,FALSE)</f>
        <v>0</v>
      </c>
      <c r="G303" s="66">
        <f>VLOOKUP(Yards[[#This Row],[DEVELOPMENT]],Data[],9,FALSE)</f>
        <v>0</v>
      </c>
      <c r="H303" s="66"/>
      <c r="I303" s="67">
        <f>IFERROR(VLOOKUP(Yards[[#This Row],[DEVELOPMENT]],Data[],4,FALSE),"")</f>
        <v>2026</v>
      </c>
      <c r="J303" s="67" t="str">
        <f>IF(Yards[[#This Row],[RAD/PACT]]="","",IF((Yards[[#This Row],[RAD/PACT]]&lt;=2025),"Yes",""))</f>
        <v/>
      </c>
      <c r="K303" s="67" t="str">
        <f ca="1">IF(VLOOKUP(Yards[[#This Row],[DEVELOPMENT]],ExtComp[],8,FALSE)&lt;=5,"new","old")</f>
        <v>old</v>
      </c>
      <c r="L303" s="104">
        <f>IF(Yards[[#This Row],[RAD/PACT by 2025]]="Yes",0,INDEX(UnitCosts[],MATCH(Yards[[#This Row],[WORK TYPE]],UnitCosts[Work Type],0),2))</f>
        <v>1159792.78</v>
      </c>
      <c r="M303" s="1"/>
      <c r="N303" s="1"/>
      <c r="O303" s="1"/>
      <c r="P303" s="16"/>
    </row>
    <row r="304" spans="1:16" x14ac:dyDescent="0.25">
      <c r="A304" s="13" t="s">
        <v>335</v>
      </c>
      <c r="B304" s="67" t="str">
        <f>VLOOKUP(Yards[[#This Row],[DEVELOPMENT]],Data[],2,FALSE)</f>
        <v>BROOKLYN</v>
      </c>
      <c r="C30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4" s="67">
        <f>VLOOKUP(Yards[[#This Row],[DEVELOPMENT]],Data[],30,FALSE)</f>
        <v>0</v>
      </c>
      <c r="E304" s="67">
        <f>VLOOKUP(Yards[[#This Row],[DEVELOPMENT]],Data[],28,FALSE)</f>
        <v>0</v>
      </c>
      <c r="F304" s="66">
        <f>VLOOKUP(Yards[[#This Row],[DEVELOPMENT]],Data[],8,FALSE)</f>
        <v>0</v>
      </c>
      <c r="G304" s="66">
        <f>VLOOKUP(Yards[[#This Row],[DEVELOPMENT]],Data[],9,FALSE)</f>
        <v>0</v>
      </c>
      <c r="H304" s="66"/>
      <c r="I304" s="67">
        <f>IFERROR(VLOOKUP(Yards[[#This Row],[DEVELOPMENT]],Data[],4,FALSE),"")</f>
        <v>2026</v>
      </c>
      <c r="J304" s="67" t="str">
        <f>IF(Yards[[#This Row],[RAD/PACT]]="","",IF((Yards[[#This Row],[RAD/PACT]]&lt;=2025),"Yes",""))</f>
        <v/>
      </c>
      <c r="K304" s="67" t="str">
        <f ca="1">IF(VLOOKUP(Yards[[#This Row],[DEVELOPMENT]],ExtComp[],8,FALSE)&lt;=5,"new","old")</f>
        <v>old</v>
      </c>
      <c r="L304" s="104">
        <f>IF(Yards[[#This Row],[RAD/PACT by 2025]]="Yes",0,INDEX(UnitCosts[],MATCH(Yards[[#This Row],[WORK TYPE]],UnitCosts[Work Type],0),2))</f>
        <v>1159792.78</v>
      </c>
      <c r="M304" s="1"/>
      <c r="N304" s="1"/>
      <c r="O304" s="1"/>
      <c r="P304" s="16"/>
    </row>
    <row r="305" spans="1:16" x14ac:dyDescent="0.25">
      <c r="A305" s="13" t="s">
        <v>336</v>
      </c>
      <c r="B305" s="67" t="str">
        <f>VLOOKUP(Yards[[#This Row],[DEVELOPMENT]],Data[],2,FALSE)</f>
        <v>BRONX</v>
      </c>
      <c r="C30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5" s="67">
        <f>VLOOKUP(Yards[[#This Row],[DEVELOPMENT]],Data[],30,FALSE)</f>
        <v>0</v>
      </c>
      <c r="E305" s="67">
        <f>VLOOKUP(Yards[[#This Row],[DEVELOPMENT]],Data[],28,FALSE)</f>
        <v>0</v>
      </c>
      <c r="F305" s="66">
        <f>VLOOKUP(Yards[[#This Row],[DEVELOPMENT]],Data[],8,FALSE)</f>
        <v>0</v>
      </c>
      <c r="G305" s="66">
        <f>VLOOKUP(Yards[[#This Row],[DEVELOPMENT]],Data[],9,FALSE)</f>
        <v>0</v>
      </c>
      <c r="H305" s="66"/>
      <c r="I305" s="67" t="str">
        <f>IFERROR(VLOOKUP(Yards[[#This Row],[DEVELOPMENT]],Data[],4,FALSE),"")</f>
        <v/>
      </c>
      <c r="J305" s="67" t="str">
        <f>IF(Yards[[#This Row],[RAD/PACT]]="","",IF((Yards[[#This Row],[RAD/PACT]]&lt;=2025),"Yes",""))</f>
        <v/>
      </c>
      <c r="K305" s="67" t="str">
        <f ca="1">IF(VLOOKUP(Yards[[#This Row],[DEVELOPMENT]],ExtComp[],8,FALSE)&lt;=5,"new","old")</f>
        <v>old</v>
      </c>
      <c r="L305" s="104">
        <f>IF(Yards[[#This Row],[RAD/PACT by 2025]]="Yes",0,INDEX(UnitCosts[],MATCH(Yards[[#This Row],[WORK TYPE]],UnitCosts[Work Type],0),2))</f>
        <v>1159792.78</v>
      </c>
      <c r="M305" s="1"/>
      <c r="N305" s="1"/>
      <c r="O305" s="1"/>
      <c r="P305" s="16"/>
    </row>
    <row r="306" spans="1:16" x14ac:dyDescent="0.25">
      <c r="A306" s="13" t="s">
        <v>337</v>
      </c>
      <c r="B306" s="67" t="str">
        <f>VLOOKUP(Yards[[#This Row],[DEVELOPMENT]],Data[],2,FALSE)</f>
        <v>BROOKLYN</v>
      </c>
      <c r="C30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6" s="67">
        <f>VLOOKUP(Yards[[#This Row],[DEVELOPMENT]],Data[],30,FALSE)</f>
        <v>0</v>
      </c>
      <c r="E306" s="67">
        <f>VLOOKUP(Yards[[#This Row],[DEVELOPMENT]],Data[],28,FALSE)</f>
        <v>0</v>
      </c>
      <c r="F306" s="66">
        <f>VLOOKUP(Yards[[#This Row],[DEVELOPMENT]],Data[],8,FALSE)</f>
        <v>0</v>
      </c>
      <c r="G306" s="66">
        <f>VLOOKUP(Yards[[#This Row],[DEVELOPMENT]],Data[],9,FALSE)</f>
        <v>0</v>
      </c>
      <c r="H306" s="66"/>
      <c r="I306" s="67">
        <f>IFERROR(VLOOKUP(Yards[[#This Row],[DEVELOPMENT]],Data[],4,FALSE),"")</f>
        <v>2024</v>
      </c>
      <c r="J306" s="67" t="str">
        <f>IF(Yards[[#This Row],[RAD/PACT]]="","",IF((Yards[[#This Row],[RAD/PACT]]&lt;=2025),"Yes",""))</f>
        <v>Yes</v>
      </c>
      <c r="K306" s="67" t="str">
        <f ca="1">IF(VLOOKUP(Yards[[#This Row],[DEVELOPMENT]],ExtComp[],8,FALSE)&lt;=5,"new","old")</f>
        <v>old</v>
      </c>
      <c r="L306" s="104">
        <f>IF(Yards[[#This Row],[RAD/PACT by 2025]]="Yes",0,INDEX(UnitCosts[],MATCH(Yards[[#This Row],[WORK TYPE]],UnitCosts[Work Type],0),2))</f>
        <v>0</v>
      </c>
      <c r="M306" s="1"/>
      <c r="N306" s="1"/>
      <c r="O306" s="1"/>
      <c r="P306" s="16"/>
    </row>
    <row r="307" spans="1:16" x14ac:dyDescent="0.25">
      <c r="A307" s="13" t="s">
        <v>338</v>
      </c>
      <c r="B307" s="67" t="str">
        <f>VLOOKUP(Yards[[#This Row],[DEVELOPMENT]],Data[],2,FALSE)</f>
        <v>BROOKLYN</v>
      </c>
      <c r="C30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7" s="67">
        <f>VLOOKUP(Yards[[#This Row],[DEVELOPMENT]],Data[],30,FALSE)</f>
        <v>0</v>
      </c>
      <c r="E307" s="67">
        <f>VLOOKUP(Yards[[#This Row],[DEVELOPMENT]],Data[],28,FALSE)</f>
        <v>0</v>
      </c>
      <c r="F307" s="66">
        <f>VLOOKUP(Yards[[#This Row],[DEVELOPMENT]],Data[],8,FALSE)</f>
        <v>0</v>
      </c>
      <c r="G307" s="66">
        <f>VLOOKUP(Yards[[#This Row],[DEVELOPMENT]],Data[],9,FALSE)</f>
        <v>0</v>
      </c>
      <c r="H307" s="66"/>
      <c r="I307" s="67" t="str">
        <f>IFERROR(VLOOKUP(Yards[[#This Row],[DEVELOPMENT]],Data[],4,FALSE),"")</f>
        <v/>
      </c>
      <c r="J307" s="67" t="str">
        <f>IF(Yards[[#This Row],[RAD/PACT]]="","",IF((Yards[[#This Row],[RAD/PACT]]&lt;=2025),"Yes",""))</f>
        <v/>
      </c>
      <c r="K307" s="67" t="str">
        <f ca="1">IF(VLOOKUP(Yards[[#This Row],[DEVELOPMENT]],ExtComp[],8,FALSE)&lt;=5,"new","old")</f>
        <v>old</v>
      </c>
      <c r="L307" s="104">
        <f>IF(Yards[[#This Row],[RAD/PACT by 2025]]="Yes",0,INDEX(UnitCosts[],MATCH(Yards[[#This Row],[WORK TYPE]],UnitCosts[Work Type],0),2))</f>
        <v>1159792.78</v>
      </c>
      <c r="M307" s="1"/>
      <c r="N307" s="1"/>
      <c r="O307" s="1"/>
      <c r="P307" s="16"/>
    </row>
    <row r="308" spans="1:16" x14ac:dyDescent="0.25">
      <c r="A308" s="13" t="s">
        <v>339</v>
      </c>
      <c r="B308" s="67" t="str">
        <f>VLOOKUP(Yards[[#This Row],[DEVELOPMENT]],Data[],2,FALSE)</f>
        <v>BROOKLYN</v>
      </c>
      <c r="C30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8" s="67">
        <f>VLOOKUP(Yards[[#This Row],[DEVELOPMENT]],Data[],30,FALSE)</f>
        <v>0</v>
      </c>
      <c r="E308" s="67">
        <f>VLOOKUP(Yards[[#This Row],[DEVELOPMENT]],Data[],28,FALSE)</f>
        <v>0</v>
      </c>
      <c r="F308" s="66">
        <f>VLOOKUP(Yards[[#This Row],[DEVELOPMENT]],Data[],8,FALSE)</f>
        <v>0</v>
      </c>
      <c r="G308" s="66">
        <f>VLOOKUP(Yards[[#This Row],[DEVELOPMENT]],Data[],9,FALSE)</f>
        <v>0</v>
      </c>
      <c r="H308" s="66"/>
      <c r="I308" s="67" t="str">
        <f>IFERROR(VLOOKUP(Yards[[#This Row],[DEVELOPMENT]],Data[],4,FALSE),"")</f>
        <v/>
      </c>
      <c r="J308" s="67" t="str">
        <f>IF(Yards[[#This Row],[RAD/PACT]]="","",IF((Yards[[#This Row],[RAD/PACT]]&lt;=2025),"Yes",""))</f>
        <v/>
      </c>
      <c r="K308" s="67" t="str">
        <f ca="1">IF(VLOOKUP(Yards[[#This Row],[DEVELOPMENT]],ExtComp[],8,FALSE)&lt;=5,"new","old")</f>
        <v>old</v>
      </c>
      <c r="L308" s="104">
        <f>IF(Yards[[#This Row],[RAD/PACT by 2025]]="Yes",0,INDEX(UnitCosts[],MATCH(Yards[[#This Row],[WORK TYPE]],UnitCosts[Work Type],0),2))</f>
        <v>1159792.78</v>
      </c>
      <c r="M308" s="1"/>
      <c r="N308" s="1"/>
      <c r="O308" s="1"/>
      <c r="P308" s="16"/>
    </row>
    <row r="309" spans="1:16" x14ac:dyDescent="0.25">
      <c r="A309" s="13" t="s">
        <v>340</v>
      </c>
      <c r="B309" s="67" t="str">
        <f>VLOOKUP(Yards[[#This Row],[DEVELOPMENT]],Data[],2,FALSE)</f>
        <v>MANHATTAN</v>
      </c>
      <c r="C309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09" s="67">
        <f>VLOOKUP(Yards[[#This Row],[DEVELOPMENT]],Data[],30,FALSE)</f>
        <v>0</v>
      </c>
      <c r="E309" s="67">
        <f>VLOOKUP(Yards[[#This Row],[DEVELOPMENT]],Data[],28,FALSE)</f>
        <v>0</v>
      </c>
      <c r="F309" s="66">
        <f>VLOOKUP(Yards[[#This Row],[DEVELOPMENT]],Data[],8,FALSE)</f>
        <v>0</v>
      </c>
      <c r="G309" s="66">
        <f>VLOOKUP(Yards[[#This Row],[DEVELOPMENT]],Data[],9,FALSE)</f>
        <v>0</v>
      </c>
      <c r="H309" s="66"/>
      <c r="I309" s="67">
        <f>IFERROR(VLOOKUP(Yards[[#This Row],[DEVELOPMENT]],Data[],4,FALSE),"")</f>
        <v>2019</v>
      </c>
      <c r="J309" s="67" t="str">
        <f>IF(Yards[[#This Row],[RAD/PACT]]="","",IF((Yards[[#This Row],[RAD/PACT]]&lt;=2025),"Yes",""))</f>
        <v>Yes</v>
      </c>
      <c r="K309" s="67" t="str">
        <f ca="1">IF(VLOOKUP(Yards[[#This Row],[DEVELOPMENT]],ExtComp[],8,FALSE)&lt;=5,"new","old")</f>
        <v>old</v>
      </c>
      <c r="L309" s="104">
        <f>IF(Yards[[#This Row],[RAD/PACT by 2025]]="Yes",0,INDEX(UnitCosts[],MATCH(Yards[[#This Row],[WORK TYPE]],UnitCosts[Work Type],0),2))</f>
        <v>0</v>
      </c>
      <c r="M309" s="1"/>
      <c r="N309" s="1"/>
      <c r="O309" s="1"/>
      <c r="P309" s="16"/>
    </row>
    <row r="310" spans="1:16" x14ac:dyDescent="0.25">
      <c r="A310" s="13" t="s">
        <v>341</v>
      </c>
      <c r="B310" s="67" t="str">
        <f>VLOOKUP(Yards[[#This Row],[DEVELOPMENT]],Data[],2,FALSE)</f>
        <v>MANHATTAN</v>
      </c>
      <c r="C31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10" s="67">
        <f>VLOOKUP(Yards[[#This Row],[DEVELOPMENT]],Data[],30,FALSE)</f>
        <v>0</v>
      </c>
      <c r="E310" s="67">
        <f>VLOOKUP(Yards[[#This Row],[DEVELOPMENT]],Data[],28,FALSE)</f>
        <v>0</v>
      </c>
      <c r="F310" s="66">
        <f>VLOOKUP(Yards[[#This Row],[DEVELOPMENT]],Data[],8,FALSE)</f>
        <v>0</v>
      </c>
      <c r="G310" s="66">
        <f>VLOOKUP(Yards[[#This Row],[DEVELOPMENT]],Data[],9,FALSE)</f>
        <v>0</v>
      </c>
      <c r="H310" s="66"/>
      <c r="I310" s="67" t="str">
        <f>IFERROR(VLOOKUP(Yards[[#This Row],[DEVELOPMENT]],Data[],4,FALSE),"")</f>
        <v/>
      </c>
      <c r="J310" s="67" t="str">
        <f>IF(Yards[[#This Row],[RAD/PACT]]="","",IF((Yards[[#This Row],[RAD/PACT]]&lt;=2025),"Yes",""))</f>
        <v/>
      </c>
      <c r="K310" s="67" t="str">
        <f ca="1">IF(VLOOKUP(Yards[[#This Row],[DEVELOPMENT]],ExtComp[],8,FALSE)&lt;=5,"new","old")</f>
        <v>old</v>
      </c>
      <c r="L310" s="104">
        <f>IF(Yards[[#This Row],[RAD/PACT by 2025]]="Yes",0,INDEX(UnitCosts[],MATCH(Yards[[#This Row],[WORK TYPE]],UnitCosts[Work Type],0),2))</f>
        <v>1159792.78</v>
      </c>
      <c r="M310" s="1"/>
      <c r="N310" s="1"/>
      <c r="O310" s="1"/>
      <c r="P310" s="16"/>
    </row>
    <row r="311" spans="1:16" x14ac:dyDescent="0.25">
      <c r="A311" s="13" t="s">
        <v>342</v>
      </c>
      <c r="B311" s="67" t="str">
        <f>VLOOKUP(Yards[[#This Row],[DEVELOPMENT]],Data[],2,FALSE)</f>
        <v>MANHATTAN</v>
      </c>
      <c r="C31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11" s="67">
        <f>VLOOKUP(Yards[[#This Row],[DEVELOPMENT]],Data[],30,FALSE)</f>
        <v>0</v>
      </c>
      <c r="E311" s="67">
        <f>VLOOKUP(Yards[[#This Row],[DEVELOPMENT]],Data[],28,FALSE)</f>
        <v>0</v>
      </c>
      <c r="F311" s="66">
        <f>VLOOKUP(Yards[[#This Row],[DEVELOPMENT]],Data[],8,FALSE)</f>
        <v>0</v>
      </c>
      <c r="G311" s="66">
        <f>VLOOKUP(Yards[[#This Row],[DEVELOPMENT]],Data[],9,FALSE)</f>
        <v>0</v>
      </c>
      <c r="H311" s="66"/>
      <c r="I311" s="67" t="str">
        <f>IFERROR(VLOOKUP(Yards[[#This Row],[DEVELOPMENT]],Data[],4,FALSE),"")</f>
        <v/>
      </c>
      <c r="J311" s="67" t="str">
        <f>IF(Yards[[#This Row],[RAD/PACT]]="","",IF((Yards[[#This Row],[RAD/PACT]]&lt;=2025),"Yes",""))</f>
        <v/>
      </c>
      <c r="K311" s="67" t="str">
        <f ca="1">IF(VLOOKUP(Yards[[#This Row],[DEVELOPMENT]],ExtComp[],8,FALSE)&lt;=5,"new","old")</f>
        <v>old</v>
      </c>
      <c r="L311" s="104">
        <f>IF(Yards[[#This Row],[RAD/PACT by 2025]]="Yes",0,INDEX(UnitCosts[],MATCH(Yards[[#This Row],[WORK TYPE]],UnitCosts[Work Type],0),2))</f>
        <v>1159792.78</v>
      </c>
      <c r="M311" s="1"/>
      <c r="N311" s="1"/>
      <c r="O311" s="1"/>
      <c r="P311" s="16"/>
    </row>
    <row r="312" spans="1:16" x14ac:dyDescent="0.25">
      <c r="A312" s="13" t="s">
        <v>343</v>
      </c>
      <c r="B312" s="67" t="str">
        <f>VLOOKUP(Yards[[#This Row],[DEVELOPMENT]],Data[],2,FALSE)</f>
        <v>MANHATTAN</v>
      </c>
      <c r="C312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12" s="67">
        <f>VLOOKUP(Yards[[#This Row],[DEVELOPMENT]],Data[],30,FALSE)</f>
        <v>0</v>
      </c>
      <c r="E312" s="67">
        <f>VLOOKUP(Yards[[#This Row],[DEVELOPMENT]],Data[],28,FALSE)</f>
        <v>0</v>
      </c>
      <c r="F312" s="66">
        <f>VLOOKUP(Yards[[#This Row],[DEVELOPMENT]],Data[],8,FALSE)</f>
        <v>0</v>
      </c>
      <c r="G312" s="66">
        <f>VLOOKUP(Yards[[#This Row],[DEVELOPMENT]],Data[],9,FALSE)</f>
        <v>0</v>
      </c>
      <c r="H312" s="66"/>
      <c r="I312" s="67">
        <f>IFERROR(VLOOKUP(Yards[[#This Row],[DEVELOPMENT]],Data[],4,FALSE),"")</f>
        <v>2019</v>
      </c>
      <c r="J312" s="67" t="str">
        <f>IF(Yards[[#This Row],[RAD/PACT]]="","",IF((Yards[[#This Row],[RAD/PACT]]&lt;=2025),"Yes",""))</f>
        <v>Yes</v>
      </c>
      <c r="K312" s="67" t="str">
        <f ca="1">IF(VLOOKUP(Yards[[#This Row],[DEVELOPMENT]],ExtComp[],8,FALSE)&lt;=5,"new","old")</f>
        <v>old</v>
      </c>
      <c r="L312" s="104">
        <f>IF(Yards[[#This Row],[RAD/PACT by 2025]]="Yes",0,INDEX(UnitCosts[],MATCH(Yards[[#This Row],[WORK TYPE]],UnitCosts[Work Type],0),2))</f>
        <v>0</v>
      </c>
      <c r="M312" s="1"/>
      <c r="N312" s="1"/>
      <c r="O312" s="1"/>
      <c r="P312" s="16"/>
    </row>
    <row r="313" spans="1:16" x14ac:dyDescent="0.25">
      <c r="A313" s="13" t="s">
        <v>344</v>
      </c>
      <c r="B313" s="67" t="str">
        <f>VLOOKUP(Yards[[#This Row],[DEVELOPMENT]],Data[],2,FALSE)</f>
        <v>MANHATTAN</v>
      </c>
      <c r="C31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13" s="67">
        <f>VLOOKUP(Yards[[#This Row],[DEVELOPMENT]],Data[],30,FALSE)</f>
        <v>0</v>
      </c>
      <c r="E313" s="67">
        <f>VLOOKUP(Yards[[#This Row],[DEVELOPMENT]],Data[],28,FALSE)</f>
        <v>0</v>
      </c>
      <c r="F313" s="66">
        <f>VLOOKUP(Yards[[#This Row],[DEVELOPMENT]],Data[],8,FALSE)</f>
        <v>0</v>
      </c>
      <c r="G313" s="66">
        <f>VLOOKUP(Yards[[#This Row],[DEVELOPMENT]],Data[],9,FALSE)</f>
        <v>0</v>
      </c>
      <c r="H313" s="66"/>
      <c r="I313" s="67">
        <f>IFERROR(VLOOKUP(Yards[[#This Row],[DEVELOPMENT]],Data[],4,FALSE),"")</f>
        <v>2019</v>
      </c>
      <c r="J313" s="67" t="str">
        <f>IF(Yards[[#This Row],[RAD/PACT]]="","",IF((Yards[[#This Row],[RAD/PACT]]&lt;=2025),"Yes",""))</f>
        <v>Yes</v>
      </c>
      <c r="K313" s="67" t="str">
        <f ca="1">IF(VLOOKUP(Yards[[#This Row],[DEVELOPMENT]],ExtComp[],8,FALSE)&lt;=5,"new","old")</f>
        <v>old</v>
      </c>
      <c r="L313" s="104">
        <f>IF(Yards[[#This Row],[RAD/PACT by 2025]]="Yes",0,INDEX(UnitCosts[],MATCH(Yards[[#This Row],[WORK TYPE]],UnitCosts[Work Type],0),2))</f>
        <v>0</v>
      </c>
      <c r="M313" s="1"/>
      <c r="N313" s="1"/>
      <c r="O313" s="1"/>
      <c r="P313" s="16"/>
    </row>
    <row r="314" spans="1:16" x14ac:dyDescent="0.25">
      <c r="A314" s="13" t="s">
        <v>345</v>
      </c>
      <c r="B314" s="67" t="str">
        <f>VLOOKUP(Yards[[#This Row],[DEVELOPMENT]],Data[],2,FALSE)</f>
        <v>BROOKLYN</v>
      </c>
      <c r="C31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14" s="67">
        <f>VLOOKUP(Yards[[#This Row],[DEVELOPMENT]],Data[],30,FALSE)</f>
        <v>0</v>
      </c>
      <c r="E314" s="67">
        <f>VLOOKUP(Yards[[#This Row],[DEVELOPMENT]],Data[],28,FALSE)</f>
        <v>0</v>
      </c>
      <c r="F314" s="66">
        <f>VLOOKUP(Yards[[#This Row],[DEVELOPMENT]],Data[],8,FALSE)</f>
        <v>0</v>
      </c>
      <c r="G314" s="66">
        <f>VLOOKUP(Yards[[#This Row],[DEVELOPMENT]],Data[],9,FALSE)</f>
        <v>0</v>
      </c>
      <c r="H314" s="66"/>
      <c r="I314" s="67">
        <f>IFERROR(VLOOKUP(Yards[[#This Row],[DEVELOPMENT]],Data[],4,FALSE),"")</f>
        <v>2019</v>
      </c>
      <c r="J314" s="67" t="str">
        <f>IF(Yards[[#This Row],[RAD/PACT]]="","",IF((Yards[[#This Row],[RAD/PACT]]&lt;=2025),"Yes",""))</f>
        <v>Yes</v>
      </c>
      <c r="K314" s="67" t="str">
        <f ca="1">IF(VLOOKUP(Yards[[#This Row],[DEVELOPMENT]],ExtComp[],8,FALSE)&lt;=5,"new","old")</f>
        <v>old</v>
      </c>
      <c r="L314" s="104">
        <f>IF(Yards[[#This Row],[RAD/PACT by 2025]]="Yes",0,INDEX(UnitCosts[],MATCH(Yards[[#This Row],[WORK TYPE]],UnitCosts[Work Type],0),2))</f>
        <v>0</v>
      </c>
      <c r="M314" s="1"/>
      <c r="N314" s="1"/>
      <c r="O314" s="1"/>
      <c r="P314" s="16"/>
    </row>
    <row r="315" spans="1:16" x14ac:dyDescent="0.25">
      <c r="A315" s="13" t="s">
        <v>346</v>
      </c>
      <c r="B315" s="67" t="str">
        <f>VLOOKUP(Yards[[#This Row],[DEVELOPMENT]],Data[],2,FALSE)</f>
        <v>STATEN ISLAND</v>
      </c>
      <c r="C315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v3</v>
      </c>
      <c r="D315" s="67">
        <f>VLOOKUP(Yards[[#This Row],[DEVELOPMENT]],Data[],30,FALSE)</f>
        <v>2</v>
      </c>
      <c r="E315" s="67">
        <f>VLOOKUP(Yards[[#This Row],[DEVELOPMENT]],Data[],28,FALSE)</f>
        <v>0</v>
      </c>
      <c r="F315" s="66">
        <f>VLOOKUP(Yards[[#This Row],[DEVELOPMENT]],Data[],8,FALSE)</f>
        <v>0</v>
      </c>
      <c r="G315" s="66">
        <f>VLOOKUP(Yards[[#This Row],[DEVELOPMENT]],Data[],9,FALSE)</f>
        <v>0</v>
      </c>
      <c r="H315" s="66"/>
      <c r="I315" s="67" t="str">
        <f>IFERROR(VLOOKUP(Yards[[#This Row],[DEVELOPMENT]],Data[],4,FALSE),"")</f>
        <v/>
      </c>
      <c r="J315" s="67" t="str">
        <f>IF(Yards[[#This Row],[RAD/PACT]]="","",IF((Yards[[#This Row],[RAD/PACT]]&lt;=2025),"Yes",""))</f>
        <v/>
      </c>
      <c r="K315" s="67" t="str">
        <f ca="1">IF(VLOOKUP(Yards[[#This Row],[DEVELOPMENT]],ExtComp[],8,FALSE)&lt;=5,"new","old")</f>
        <v>old</v>
      </c>
      <c r="L315" s="104">
        <f ca="1">IF(Yards[[#This Row],[RAD/PACT by 2025]]="Yes",0,INDEX(UnitCosts[],MATCH(Yards[[#This Row],[WORK TYPE]],UnitCosts[Work Type],0),2))</f>
        <v>1591050.0199999998</v>
      </c>
      <c r="M315" s="1"/>
      <c r="N315" s="1"/>
      <c r="O315" s="1"/>
      <c r="P315" s="16"/>
    </row>
    <row r="316" spans="1:16" x14ac:dyDescent="0.25">
      <c r="A316" s="13" t="s">
        <v>347</v>
      </c>
      <c r="B316" s="67" t="str">
        <f>VLOOKUP(Yards[[#This Row],[DEVELOPMENT]],Data[],2,FALSE)</f>
        <v>STATEN ISLAND</v>
      </c>
      <c r="C316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16" s="67">
        <f>VLOOKUP(Yards[[#This Row],[DEVELOPMENT]],Data[],30,FALSE)</f>
        <v>0</v>
      </c>
      <c r="E316" s="67">
        <f>VLOOKUP(Yards[[#This Row],[DEVELOPMENT]],Data[],28,FALSE)</f>
        <v>0</v>
      </c>
      <c r="F316" s="66">
        <f>VLOOKUP(Yards[[#This Row],[DEVELOPMENT]],Data[],8,FALSE)</f>
        <v>0</v>
      </c>
      <c r="G316" s="66">
        <f>VLOOKUP(Yards[[#This Row],[DEVELOPMENT]],Data[],9,FALSE)</f>
        <v>0</v>
      </c>
      <c r="H316" s="66"/>
      <c r="I316" s="67" t="str">
        <f>IFERROR(VLOOKUP(Yards[[#This Row],[DEVELOPMENT]],Data[],4,FALSE),"")</f>
        <v/>
      </c>
      <c r="J316" s="67" t="str">
        <f>IF(Yards[[#This Row],[RAD/PACT]]="","",IF((Yards[[#This Row],[RAD/PACT]]&lt;=2025),"Yes",""))</f>
        <v/>
      </c>
      <c r="K316" s="67" t="str">
        <f ca="1">IF(VLOOKUP(Yards[[#This Row],[DEVELOPMENT]],ExtComp[],8,FALSE)&lt;=5,"new","old")</f>
        <v>old</v>
      </c>
      <c r="L316" s="104">
        <f>IF(Yards[[#This Row],[RAD/PACT by 2025]]="Yes",0,INDEX(UnitCosts[],MATCH(Yards[[#This Row],[WORK TYPE]],UnitCosts[Work Type],0),2))</f>
        <v>1159792.78</v>
      </c>
      <c r="M316" s="1"/>
      <c r="N316" s="1"/>
      <c r="O316" s="1"/>
      <c r="P316" s="16"/>
    </row>
    <row r="317" spans="1:16" x14ac:dyDescent="0.25">
      <c r="A317" s="13" t="s">
        <v>348</v>
      </c>
      <c r="B317" s="67" t="str">
        <f>VLOOKUP(Yards[[#This Row],[DEVELOPMENT]],Data[],2,FALSE)</f>
        <v>BRONX</v>
      </c>
      <c r="C317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17" s="67">
        <f>VLOOKUP(Yards[[#This Row],[DEVELOPMENT]],Data[],30,FALSE)</f>
        <v>0</v>
      </c>
      <c r="E317" s="67">
        <f>VLOOKUP(Yards[[#This Row],[DEVELOPMENT]],Data[],28,FALSE)</f>
        <v>0</v>
      </c>
      <c r="F317" s="66">
        <f>VLOOKUP(Yards[[#This Row],[DEVELOPMENT]],Data[],8,FALSE)</f>
        <v>0</v>
      </c>
      <c r="G317" s="66">
        <f>VLOOKUP(Yards[[#This Row],[DEVELOPMENT]],Data[],9,FALSE)</f>
        <v>0</v>
      </c>
      <c r="H317" s="66"/>
      <c r="I317" s="67" t="str">
        <f>IFERROR(VLOOKUP(Yards[[#This Row],[DEVELOPMENT]],Data[],4,FALSE),"")</f>
        <v/>
      </c>
      <c r="J317" s="67" t="str">
        <f>IF(Yards[[#This Row],[RAD/PACT]]="","",IF((Yards[[#This Row],[RAD/PACT]]&lt;=2025),"Yes",""))</f>
        <v/>
      </c>
      <c r="K317" s="67" t="str">
        <f ca="1">IF(VLOOKUP(Yards[[#This Row],[DEVELOPMENT]],ExtComp[],8,FALSE)&lt;=5,"new","old")</f>
        <v>old</v>
      </c>
      <c r="L317" s="104">
        <f>IF(Yards[[#This Row],[RAD/PACT by 2025]]="Yes",0,INDEX(UnitCosts[],MATCH(Yards[[#This Row],[WORK TYPE]],UnitCosts[Work Type],0),2))</f>
        <v>1159792.78</v>
      </c>
      <c r="M317" s="1"/>
      <c r="N317" s="1"/>
      <c r="O317" s="1"/>
      <c r="P317" s="16"/>
    </row>
    <row r="318" spans="1:16" x14ac:dyDescent="0.25">
      <c r="A318" s="13" t="s">
        <v>349</v>
      </c>
      <c r="B318" s="67" t="str">
        <f>VLOOKUP(Yards[[#This Row],[DEVELOPMENT]],Data[],2,FALSE)</f>
        <v>BRONX</v>
      </c>
      <c r="C318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18" s="67">
        <f>VLOOKUP(Yards[[#This Row],[DEVELOPMENT]],Data[],30,FALSE)</f>
        <v>0</v>
      </c>
      <c r="E318" s="67">
        <f>VLOOKUP(Yards[[#This Row],[DEVELOPMENT]],Data[],28,FALSE)</f>
        <v>0</v>
      </c>
      <c r="F318" s="66">
        <f>VLOOKUP(Yards[[#This Row],[DEVELOPMENT]],Data[],8,FALSE)</f>
        <v>0</v>
      </c>
      <c r="G318" s="66">
        <f>VLOOKUP(Yards[[#This Row],[DEVELOPMENT]],Data[],9,FALSE)</f>
        <v>0</v>
      </c>
      <c r="H318" s="66"/>
      <c r="I318" s="67" t="str">
        <f>IFERROR(VLOOKUP(Yards[[#This Row],[DEVELOPMENT]],Data[],4,FALSE),"")</f>
        <v/>
      </c>
      <c r="J318" s="67" t="str">
        <f>IF(Yards[[#This Row],[RAD/PACT]]="","",IF((Yards[[#This Row],[RAD/PACT]]&lt;=2025),"Yes",""))</f>
        <v/>
      </c>
      <c r="K318" s="67" t="str">
        <f ca="1">IF(VLOOKUP(Yards[[#This Row],[DEVELOPMENT]],ExtComp[],8,FALSE)&lt;=5,"new","old")</f>
        <v>old</v>
      </c>
      <c r="L318" s="104">
        <f>IF(Yards[[#This Row],[RAD/PACT by 2025]]="Yes",0,INDEX(UnitCosts[],MATCH(Yards[[#This Row],[WORK TYPE]],UnitCosts[Work Type],0),2))</f>
        <v>1159792.78</v>
      </c>
      <c r="M318" s="1"/>
      <c r="N318" s="1"/>
      <c r="O318" s="1"/>
      <c r="P318" s="16"/>
    </row>
    <row r="319" spans="1:16" x14ac:dyDescent="0.25">
      <c r="A319" s="13" t="s">
        <v>351</v>
      </c>
      <c r="B319" s="67" t="str">
        <f>VLOOKUP(Yards[[#This Row],[DEVELOPMENT]],Data[],2,FALSE)</f>
        <v>BROOKLYN</v>
      </c>
      <c r="C319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319" s="67">
        <f>VLOOKUP(Yards[[#This Row],[DEVELOPMENT]],Data[],30,FALSE)</f>
        <v>3</v>
      </c>
      <c r="E319" s="67">
        <f>VLOOKUP(Yards[[#This Row],[DEVELOPMENT]],Data[],28,FALSE)</f>
        <v>0</v>
      </c>
      <c r="F319" s="66">
        <f>VLOOKUP(Yards[[#This Row],[DEVELOPMENT]],Data[],8,FALSE)</f>
        <v>0</v>
      </c>
      <c r="G319" s="66">
        <f>VLOOKUP(Yards[[#This Row],[DEVELOPMENT]],Data[],9,FALSE)</f>
        <v>0</v>
      </c>
      <c r="H319" s="66"/>
      <c r="I319" s="67" t="str">
        <f>IFERROR(VLOOKUP(Yards[[#This Row],[DEVELOPMENT]],Data[],4,FALSE),"")</f>
        <v/>
      </c>
      <c r="J319" s="67" t="str">
        <f>IF(Yards[[#This Row],[RAD/PACT]]="","",IF((Yards[[#This Row],[RAD/PACT]]&lt;=2025),"Yes",""))</f>
        <v/>
      </c>
      <c r="K319" s="67" t="str">
        <f ca="1">IF(VLOOKUP(Yards[[#This Row],[DEVELOPMENT]],ExtComp[],8,FALSE)&lt;=5,"new","old")</f>
        <v>old</v>
      </c>
      <c r="L319" s="104">
        <f ca="1">IF(Yards[[#This Row],[RAD/PACT by 2025]]="Yes",0,INDEX(UnitCosts[],MATCH(Yards[[#This Row],[WORK TYPE]],UnitCosts[Work Type],0),2))</f>
        <v>2022307.2600000005</v>
      </c>
      <c r="M319" s="1"/>
      <c r="N319" s="1"/>
      <c r="O319" s="1"/>
      <c r="P319" s="16"/>
    </row>
    <row r="320" spans="1:16" x14ac:dyDescent="0.25">
      <c r="A320" s="13" t="s">
        <v>352</v>
      </c>
      <c r="B320" s="67" t="str">
        <f>VLOOKUP(Yards[[#This Row],[DEVELOPMENT]],Data[],2,FALSE)</f>
        <v>BROOKLYN</v>
      </c>
      <c r="C320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20" s="67">
        <f>VLOOKUP(Yards[[#This Row],[DEVELOPMENT]],Data[],30,FALSE)</f>
        <v>0</v>
      </c>
      <c r="E320" s="67">
        <f>VLOOKUP(Yards[[#This Row],[DEVELOPMENT]],Data[],28,FALSE)</f>
        <v>1</v>
      </c>
      <c r="F320" s="66">
        <f>VLOOKUP(Yards[[#This Row],[DEVELOPMENT]],Data[],8,FALSE)</f>
        <v>0</v>
      </c>
      <c r="G320" s="66">
        <f>VLOOKUP(Yards[[#This Row],[DEVELOPMENT]],Data[],9,FALSE)</f>
        <v>0</v>
      </c>
      <c r="H320" s="66"/>
      <c r="I320" s="67">
        <f>IFERROR(VLOOKUP(Yards[[#This Row],[DEVELOPMENT]],Data[],4,FALSE),"")</f>
        <v>2019</v>
      </c>
      <c r="J320" s="67" t="str">
        <f>IF(Yards[[#This Row],[RAD/PACT]]="","",IF((Yards[[#This Row],[RAD/PACT]]&lt;=2025),"Yes",""))</f>
        <v>Yes</v>
      </c>
      <c r="K320" s="67" t="str">
        <f ca="1">IF(VLOOKUP(Yards[[#This Row],[DEVELOPMENT]],ExtComp[],8,FALSE)&lt;=5,"new","old")</f>
        <v>old</v>
      </c>
      <c r="L320" s="104">
        <f>IF(Yards[[#This Row],[RAD/PACT by 2025]]="Yes",0,INDEX(UnitCosts[],MATCH(Yards[[#This Row],[WORK TYPE]],UnitCosts[Work Type],0),2))</f>
        <v>0</v>
      </c>
      <c r="M320" s="1"/>
      <c r="N320" s="1"/>
      <c r="O320" s="1"/>
      <c r="P320" s="16"/>
    </row>
    <row r="321" spans="1:16" x14ac:dyDescent="0.25">
      <c r="A321" s="13" t="s">
        <v>353</v>
      </c>
      <c r="B321" s="67" t="str">
        <f>VLOOKUP(Yards[[#This Row],[DEVELOPMENT]],Data[],2,FALSE)</f>
        <v>BROOKLYN</v>
      </c>
      <c r="C321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21" s="67">
        <f>VLOOKUP(Yards[[#This Row],[DEVELOPMENT]],Data[],30,FALSE)</f>
        <v>0</v>
      </c>
      <c r="E321" s="67">
        <f>VLOOKUP(Yards[[#This Row],[DEVELOPMENT]],Data[],28,FALSE)</f>
        <v>0</v>
      </c>
      <c r="F321" s="66">
        <f>VLOOKUP(Yards[[#This Row],[DEVELOPMENT]],Data[],8,FALSE)</f>
        <v>0</v>
      </c>
      <c r="G321" s="66">
        <f>VLOOKUP(Yards[[#This Row],[DEVELOPMENT]],Data[],9,FALSE)</f>
        <v>0</v>
      </c>
      <c r="H321" s="66"/>
      <c r="I321" s="67">
        <f>IFERROR(VLOOKUP(Yards[[#This Row],[DEVELOPMENT]],Data[],4,FALSE),"")</f>
        <v>2020</v>
      </c>
      <c r="J321" s="67" t="str">
        <f>IF(Yards[[#This Row],[RAD/PACT]]="","",IF((Yards[[#This Row],[RAD/PACT]]&lt;=2025),"Yes",""))</f>
        <v>Yes</v>
      </c>
      <c r="K321" s="67" t="str">
        <f ca="1">IF(VLOOKUP(Yards[[#This Row],[DEVELOPMENT]],ExtComp[],8,FALSE)&lt;=5,"new","old")</f>
        <v>old</v>
      </c>
      <c r="L321" s="104">
        <f>IF(Yards[[#This Row],[RAD/PACT by 2025]]="Yes",0,INDEX(UnitCosts[],MATCH(Yards[[#This Row],[WORK TYPE]],UnitCosts[Work Type],0),2))</f>
        <v>0</v>
      </c>
      <c r="M321" s="1"/>
      <c r="N321" s="1"/>
      <c r="O321" s="1"/>
      <c r="P321" s="16"/>
    </row>
    <row r="322" spans="1:16" x14ac:dyDescent="0.25">
      <c r="A322" s="13" t="s">
        <v>355</v>
      </c>
      <c r="B322" s="67" t="str">
        <f>VLOOKUP(Yards[[#This Row],[DEVELOPMENT]],Data[],2,FALSE)</f>
        <v>QUEENS</v>
      </c>
      <c r="C322" s="67" t="str">
        <f ca="1"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v4</v>
      </c>
      <c r="D322" s="67">
        <f>VLOOKUP(Yards[[#This Row],[DEVELOPMENT]],Data[],30,FALSE)</f>
        <v>3</v>
      </c>
      <c r="E322" s="67">
        <f>VLOOKUP(Yards[[#This Row],[DEVELOPMENT]],Data[],28,FALSE)</f>
        <v>0</v>
      </c>
      <c r="F322" s="66">
        <f>VLOOKUP(Yards[[#This Row],[DEVELOPMENT]],Data[],8,FALSE)</f>
        <v>0</v>
      </c>
      <c r="G322" s="66">
        <f>VLOOKUP(Yards[[#This Row],[DEVELOPMENT]],Data[],9,FALSE)</f>
        <v>0</v>
      </c>
      <c r="H322" s="66"/>
      <c r="I322" s="67" t="str">
        <f>IFERROR(VLOOKUP(Yards[[#This Row],[DEVELOPMENT]],Data[],4,FALSE),"")</f>
        <v/>
      </c>
      <c r="J322" s="67" t="str">
        <f>IF(Yards[[#This Row],[RAD/PACT]]="","",IF((Yards[[#This Row],[RAD/PACT]]&lt;=2025),"Yes",""))</f>
        <v/>
      </c>
      <c r="K322" s="67" t="str">
        <f ca="1">IF(VLOOKUP(Yards[[#This Row],[DEVELOPMENT]],ExtComp[],8,FALSE)&lt;=5,"new","old")</f>
        <v>old</v>
      </c>
      <c r="L322" s="104">
        <f ca="1">IF(Yards[[#This Row],[RAD/PACT by 2025]]="Yes",0,INDEX(UnitCosts[],MATCH(Yards[[#This Row],[WORK TYPE]],UnitCosts[Work Type],0),2))</f>
        <v>2022307.2600000005</v>
      </c>
      <c r="M322" s="1"/>
      <c r="N322" s="1"/>
      <c r="O322" s="1"/>
      <c r="P322" s="16"/>
    </row>
    <row r="323" spans="1:16" x14ac:dyDescent="0.25">
      <c r="A323" s="13" t="s">
        <v>356</v>
      </c>
      <c r="B323" s="67" t="str">
        <f>VLOOKUP(Yards[[#This Row],[DEVELOPMENT]],Data[],2,FALSE)</f>
        <v>BROOKLYN</v>
      </c>
      <c r="C323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23" s="67">
        <f>VLOOKUP(Yards[[#This Row],[DEVELOPMENT]],Data[],30,FALSE)</f>
        <v>0</v>
      </c>
      <c r="E323" s="67">
        <f>VLOOKUP(Yards[[#This Row],[DEVELOPMENT]],Data[],28,FALSE)</f>
        <v>0</v>
      </c>
      <c r="F323" s="66">
        <f>VLOOKUP(Yards[[#This Row],[DEVELOPMENT]],Data[],8,FALSE)</f>
        <v>0</v>
      </c>
      <c r="G323" s="66">
        <f>VLOOKUP(Yards[[#This Row],[DEVELOPMENT]],Data[],9,FALSE)</f>
        <v>0</v>
      </c>
      <c r="H323" s="66"/>
      <c r="I323" s="67" t="str">
        <f>IFERROR(VLOOKUP(Yards[[#This Row],[DEVELOPMENT]],Data[],4,FALSE),"")</f>
        <v/>
      </c>
      <c r="J323" s="67" t="str">
        <f>IF(Yards[[#This Row],[RAD/PACT]]="","",IF((Yards[[#This Row],[RAD/PACT]]&lt;=2025),"Yes",""))</f>
        <v/>
      </c>
      <c r="K323" s="67" t="str">
        <f ca="1">IF(VLOOKUP(Yards[[#This Row],[DEVELOPMENT]],ExtComp[],8,FALSE)&lt;=5,"new","old")</f>
        <v>old</v>
      </c>
      <c r="L323" s="104">
        <f>IF(Yards[[#This Row],[RAD/PACT by 2025]]="Yes",0,INDEX(UnitCosts[],MATCH(Yards[[#This Row],[WORK TYPE]],UnitCosts[Work Type],0),2))</f>
        <v>1159792.78</v>
      </c>
      <c r="M323" s="1"/>
      <c r="N323" s="1"/>
      <c r="O323" s="1"/>
      <c r="P323" s="16"/>
    </row>
    <row r="324" spans="1:16" x14ac:dyDescent="0.25">
      <c r="A324" s="13" t="s">
        <v>360</v>
      </c>
      <c r="B324" s="67" t="str">
        <f>VLOOKUP(Yards[[#This Row],[DEVELOPMENT]],Data[],2,FALSE)</f>
        <v>MANHATTAN</v>
      </c>
      <c r="C324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24" s="67">
        <f>VLOOKUP(Yards[[#This Row],[DEVELOPMENT]],Data[],30,FALSE)</f>
        <v>0</v>
      </c>
      <c r="E324" s="67">
        <f>VLOOKUP(Yards[[#This Row],[DEVELOPMENT]],Data[],28,FALSE)</f>
        <v>0</v>
      </c>
      <c r="F324" s="66">
        <f>VLOOKUP(Yards[[#This Row],[DEVELOPMENT]],Data[],8,FALSE)</f>
        <v>0</v>
      </c>
      <c r="G324" s="66">
        <f>VLOOKUP(Yards[[#This Row],[DEVELOPMENT]],Data[],9,FALSE)</f>
        <v>0</v>
      </c>
      <c r="H324" s="66"/>
      <c r="I324" s="67" t="str">
        <f>IFERROR(VLOOKUP(Yards[[#This Row],[DEVELOPMENT]],Data[],4,FALSE),"")</f>
        <v/>
      </c>
      <c r="J324" s="67" t="str">
        <f>IF(Yards[[#This Row],[RAD/PACT]]="","",IF((Yards[[#This Row],[RAD/PACT]]&lt;=2025),"Yes",""))</f>
        <v/>
      </c>
      <c r="K324" s="67" t="str">
        <f ca="1">IF(VLOOKUP(Yards[[#This Row],[DEVELOPMENT]],ExtComp[],8,FALSE)&lt;=5,"new","old")</f>
        <v>old</v>
      </c>
      <c r="L324" s="104">
        <f>IF(Yards[[#This Row],[RAD/PACT by 2025]]="Yes",0,INDEX(UnitCosts[],MATCH(Yards[[#This Row],[WORK TYPE]],UnitCosts[Work Type],0),2))</f>
        <v>1159792.78</v>
      </c>
      <c r="M324" s="1"/>
      <c r="N324" s="1"/>
      <c r="O324" s="1"/>
      <c r="P324" s="16"/>
    </row>
    <row r="325" spans="1:16" x14ac:dyDescent="0.25">
      <c r="A325" s="13" t="s">
        <v>361</v>
      </c>
      <c r="B325" s="67" t="str">
        <f>VLOOKUP(Yards[[#This Row],[DEVELOPMENT]],Data[],2,FALSE)</f>
        <v>BROOKLYN</v>
      </c>
      <c r="C325" s="67" t="str">
        <f>IF(Yards[[#This Row],['# Ext. Compactors to Replace]]=0,"New Waste Yard v1",IF(Yards[[#This Row],[ext comp age?]]="new","New Waste Yard v2",IF(Yards[[#This Row],['# Ext. Compactors to Replace]]=1,"New Waste Yard v1",IF(Yards[[#This Row],['# Ext. Compactors to Replace]]=2,"New Waste Yard v3",IF(Yards[[#This Row],['# Ext. Compactors to Replace]]=3,"New Waste Yard v4",IF(Yards[[#This Row],['# Ext. Compactors to Replace]]=4,"New Waste Yard v5",IF(Yards[[#This Row],['# Ext. Compactors to Replace]]=5,"New Waste Yard v6",IF(Yards[[#This Row],['# Ext. Compactors to Replace]]=6,"New Waste Yard v7","Error"))))))))</f>
        <v>New Waste Yard v1</v>
      </c>
      <c r="D325" s="67">
        <f>VLOOKUP(Yards[[#This Row],[DEVELOPMENT]],Data[],30,FALSE)</f>
        <v>0</v>
      </c>
      <c r="E325" s="67">
        <f>VLOOKUP(Yards[[#This Row],[DEVELOPMENT]],Data[],28,FALSE)</f>
        <v>0</v>
      </c>
      <c r="F325" s="66">
        <f>VLOOKUP(Yards[[#This Row],[DEVELOPMENT]],Data[],8,FALSE)</f>
        <v>0</v>
      </c>
      <c r="G325" s="66">
        <f>VLOOKUP(Yards[[#This Row],[DEVELOPMENT]],Data[],9,FALSE)</f>
        <v>0</v>
      </c>
      <c r="H325" s="66"/>
      <c r="I325" s="67" t="str">
        <f>IFERROR(VLOOKUP(Yards[[#This Row],[DEVELOPMENT]],Data[],4,FALSE),"")</f>
        <v/>
      </c>
      <c r="J325" s="67" t="str">
        <f>IF(Yards[[#This Row],[RAD/PACT]]="","",IF((Yards[[#This Row],[RAD/PACT]]&lt;=2025),"Yes",""))</f>
        <v/>
      </c>
      <c r="K325" s="67" t="str">
        <f ca="1">IF(VLOOKUP(Yards[[#This Row],[DEVELOPMENT]],ExtComp[],8,FALSE)&lt;=5,"new","old")</f>
        <v>old</v>
      </c>
      <c r="L325" s="104">
        <f>IF(Yards[[#This Row],[RAD/PACT by 2025]]="Yes",0,INDEX(UnitCosts[],MATCH(Yards[[#This Row],[WORK TYPE]],UnitCosts[Work Type],0),2))</f>
        <v>1159792.78</v>
      </c>
      <c r="M325" s="1"/>
      <c r="N325" s="1"/>
      <c r="O325" s="1"/>
      <c r="P325" s="16"/>
    </row>
    <row r="326" spans="1:16" x14ac:dyDescent="0.25">
      <c r="L326"/>
    </row>
    <row r="327" spans="1:16" x14ac:dyDescent="0.25">
      <c r="L327"/>
    </row>
    <row r="328" spans="1:16" x14ac:dyDescent="0.25">
      <c r="L328"/>
    </row>
    <row r="329" spans="1:16" x14ac:dyDescent="0.25">
      <c r="L329"/>
    </row>
    <row r="330" spans="1:16" x14ac:dyDescent="0.25">
      <c r="L330"/>
    </row>
    <row r="331" spans="1:16" x14ac:dyDescent="0.25">
      <c r="L331"/>
    </row>
    <row r="332" spans="1:16" x14ac:dyDescent="0.25">
      <c r="L332"/>
    </row>
    <row r="333" spans="1:16" x14ac:dyDescent="0.25">
      <c r="L333"/>
    </row>
    <row r="334" spans="1:16" x14ac:dyDescent="0.25">
      <c r="L334"/>
    </row>
    <row r="335" spans="1:16" x14ac:dyDescent="0.25">
      <c r="L335"/>
    </row>
    <row r="336" spans="1:16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</sheetData>
  <conditionalFormatting sqref="F5:J325 F4:O4">
    <cfRule type="containsErrors" dxfId="23" priority="21">
      <formula>ISERROR(F4)</formula>
    </cfRule>
  </conditionalFormatting>
  <conditionalFormatting sqref="A4:E4 B5:E325">
    <cfRule type="containsErrors" dxfId="22" priority="19">
      <formula>ISERROR(A4)</formula>
    </cfRule>
  </conditionalFormatting>
  <conditionalFormatting sqref="O4">
    <cfRule type="expression" dxfId="21" priority="35">
      <formula>O4&gt;#REF!</formula>
    </cfRule>
  </conditionalFormatting>
  <conditionalFormatting sqref="A7">
    <cfRule type="containsErrors" dxfId="20" priority="18">
      <formula>ISERROR(A7)</formula>
    </cfRule>
  </conditionalFormatting>
  <conditionalFormatting sqref="A9">
    <cfRule type="containsErrors" dxfId="19" priority="15">
      <formula>ISERROR(A9)</formula>
    </cfRule>
  </conditionalFormatting>
  <conditionalFormatting sqref="A8">
    <cfRule type="containsErrors" dxfId="18" priority="16">
      <formula>ISERROR(A8)</formula>
    </cfRule>
  </conditionalFormatting>
  <conditionalFormatting sqref="A12">
    <cfRule type="containsErrors" dxfId="17" priority="14">
      <formula>ISERROR(A12)</formula>
    </cfRule>
  </conditionalFormatting>
  <conditionalFormatting sqref="A13">
    <cfRule type="containsErrors" dxfId="16" priority="13">
      <formula>ISERROR(A13)</formula>
    </cfRule>
  </conditionalFormatting>
  <conditionalFormatting sqref="A14">
    <cfRule type="containsErrors" dxfId="15" priority="12">
      <formula>ISERROR(A14)</formula>
    </cfRule>
  </conditionalFormatting>
  <conditionalFormatting sqref="A26">
    <cfRule type="containsErrors" dxfId="14" priority="2">
      <formula>ISERROR(A26)</formula>
    </cfRule>
  </conditionalFormatting>
  <conditionalFormatting sqref="A18">
    <cfRule type="containsErrors" dxfId="13" priority="10">
      <formula>ISERROR(A18)</formula>
    </cfRule>
  </conditionalFormatting>
  <conditionalFormatting sqref="A19">
    <cfRule type="containsErrors" dxfId="12" priority="9">
      <formula>ISERROR(A19)</formula>
    </cfRule>
  </conditionalFormatting>
  <conditionalFormatting sqref="A20">
    <cfRule type="containsErrors" dxfId="11" priority="8">
      <formula>ISERROR(A20)</formula>
    </cfRule>
  </conditionalFormatting>
  <conditionalFormatting sqref="A21">
    <cfRule type="containsErrors" dxfId="10" priority="7">
      <formula>ISERROR(A21)</formula>
    </cfRule>
  </conditionalFormatting>
  <conditionalFormatting sqref="A22">
    <cfRule type="containsErrors" dxfId="9" priority="6">
      <formula>ISERROR(A22)</formula>
    </cfRule>
  </conditionalFormatting>
  <conditionalFormatting sqref="A23">
    <cfRule type="containsErrors" dxfId="8" priority="5">
      <formula>ISERROR(A23)</formula>
    </cfRule>
  </conditionalFormatting>
  <conditionalFormatting sqref="A24">
    <cfRule type="containsErrors" dxfId="7" priority="4">
      <formula>ISERROR(A24)</formula>
    </cfRule>
  </conditionalFormatting>
  <conditionalFormatting sqref="A25">
    <cfRule type="containsErrors" dxfId="6" priority="3">
      <formula>ISERROR(A25)</formula>
    </cfRule>
  </conditionalFormatting>
  <conditionalFormatting sqref="A5:A325">
    <cfRule type="duplicateValues" dxfId="5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CDD9-F384-46D5-B971-BF4526FAB250}">
  <dimension ref="A1:O324"/>
  <sheetViews>
    <sheetView topLeftCell="A76" workbookViewId="0">
      <selection activeCell="C81" sqref="C81"/>
    </sheetView>
  </sheetViews>
  <sheetFormatPr defaultRowHeight="15" x14ac:dyDescent="0.25"/>
  <cols>
    <col min="1" max="1" width="39.5703125" bestFit="1" customWidth="1"/>
    <col min="2" max="2" width="12.7109375" bestFit="1" customWidth="1"/>
    <col min="3" max="3" width="19.140625" bestFit="1" customWidth="1"/>
    <col min="4" max="4" width="7" bestFit="1" customWidth="1"/>
    <col min="5" max="5" width="15" bestFit="1" customWidth="1"/>
    <col min="6" max="6" width="12.42578125" bestFit="1" customWidth="1"/>
    <col min="7" max="7" width="22.28515625" bestFit="1" customWidth="1"/>
    <col min="8" max="8" width="16" bestFit="1" customWidth="1"/>
    <col min="9" max="9" width="14" bestFit="1" customWidth="1"/>
    <col min="10" max="10" width="23.42578125" bestFit="1" customWidth="1"/>
    <col min="11" max="11" width="8.5703125" bestFit="1" customWidth="1"/>
    <col min="12" max="12" width="11" bestFit="1" customWidth="1"/>
    <col min="13" max="13" width="19.140625" bestFit="1" customWidth="1"/>
    <col min="14" max="14" width="19.140625" customWidth="1"/>
    <col min="15" max="15" width="59.42578125" style="5" bestFit="1" customWidth="1"/>
  </cols>
  <sheetData>
    <row r="1" spans="1:15" x14ac:dyDescent="0.25">
      <c r="J1" t="s">
        <v>423</v>
      </c>
      <c r="L1">
        <v>2020</v>
      </c>
      <c r="M1" s="5"/>
      <c r="N1" s="5"/>
      <c r="O1"/>
    </row>
    <row r="2" spans="1:15" x14ac:dyDescent="0.25">
      <c r="J2" s="78">
        <v>3.5000000000000003E-2</v>
      </c>
      <c r="M2" s="5"/>
      <c r="N2" s="5"/>
      <c r="O2"/>
    </row>
    <row r="3" spans="1:15" s="60" customFormat="1" x14ac:dyDescent="0.25">
      <c r="A3" s="61" t="s">
        <v>7</v>
      </c>
      <c r="B3" s="62" t="s">
        <v>5</v>
      </c>
      <c r="C3" s="62" t="s">
        <v>11</v>
      </c>
      <c r="D3" s="62" t="s">
        <v>8</v>
      </c>
      <c r="E3" s="62" t="s">
        <v>9</v>
      </c>
      <c r="F3" s="62" t="s">
        <v>10</v>
      </c>
      <c r="G3" s="62" t="s">
        <v>390</v>
      </c>
      <c r="H3" s="62" t="s">
        <v>421</v>
      </c>
      <c r="I3" s="62" t="s">
        <v>422</v>
      </c>
      <c r="J3" s="62" t="s">
        <v>424</v>
      </c>
      <c r="K3" s="62" t="s">
        <v>3</v>
      </c>
      <c r="L3" s="62" t="s">
        <v>393</v>
      </c>
      <c r="M3" s="80" t="s">
        <v>376</v>
      </c>
      <c r="N3" s="80" t="s">
        <v>425</v>
      </c>
      <c r="O3" s="62" t="s">
        <v>426</v>
      </c>
    </row>
    <row r="4" spans="1:15" x14ac:dyDescent="0.25">
      <c r="A4" s="13" t="s">
        <v>361</v>
      </c>
      <c r="B4" s="9" t="str">
        <f>VLOOKUP(A4,Data[],2,FALSE)</f>
        <v>BROOKLYN</v>
      </c>
      <c r="C4" s="9" t="s">
        <v>68</v>
      </c>
      <c r="D4" s="66">
        <f>VLOOKUP(ExtComp[[#This Row],[DEVELOPMENT]],Data[],8,FALSE)</f>
        <v>0</v>
      </c>
      <c r="E4" s="66">
        <f>VLOOKUP(ExtComp[[#This Row],[DEVELOPMENT]],Data[],9,FALSE)</f>
        <v>0</v>
      </c>
      <c r="F4" s="66" t="str">
        <f>IFERROR(VLOOKUP(ExtComp[[#This Row],[DEVELOPMENT]],Data[],4,FALSE),"")</f>
        <v/>
      </c>
      <c r="G4" s="66" t="str">
        <f>IF(ExtComp[[#This Row],[RAD/PACT]]="","",IF(ExtComp[[#This Row],[RAD/PACT]]&lt;=2025,"Yes",""))</f>
        <v/>
      </c>
      <c r="H4" s="67" t="str">
        <f ca="1">IF(VLOOKUP(ExtComp[[#This Row],[DEVELOPMENT]],Data[],11,FALSE)=0,"",DATEDIF(VLOOKUP(ExtComp[[#This Row],[DEVELOPMENT]],Data[],13,FALSE),TODAY(),"Y"))</f>
        <v/>
      </c>
      <c r="I4" s="67">
        <f>IF(ExtComp[[#This Row],[RAD/PACT]]="",VLOOKUP(ExtComp[[#This Row],[DEVELOPMENT]],Data[],11,FALSE),IF(ExtComp[[#This Row],[RAD/PACT by 2025]]="yes",0,VLOOKUP(ExtComp[[#This Row],[DEVELOPMENT]],Data[],11,FALSE)))</f>
        <v>0</v>
      </c>
      <c r="J4" s="63">
        <f ca="1">(ExtComp[[#This Row],['# to Replace]]*'Unit Costs'!$B$6)*(1+((ExtComp[[#This Row],[est. Year]]-YEAR(TODAY()))*$J$2))</f>
        <v>0</v>
      </c>
      <c r="K4" s="67">
        <f>SUM(INDEX(ExtComp['# to Replace],1):ExtComp[[#This Row],['# to Replace]])</f>
        <v>0</v>
      </c>
      <c r="L4" s="67">
        <f>ROUNDDOWN(ExtComp[[#This Row],[Count]]/50,0)+$L$1</f>
        <v>2020</v>
      </c>
      <c r="M4" s="81">
        <f t="shared" ref="M4:M67" ca="1" si="0">IF(L4=L3,J4+M3,J4)</f>
        <v>0</v>
      </c>
      <c r="N4" s="89" t="str">
        <f>IFERROR(VLOOKUP(ExtComp[[#This Row],[DEVELOPMENT]],Data[],22,FALSE),"")</f>
        <v/>
      </c>
      <c r="O4" s="125" t="str">
        <f>IFERROR(VLOOKUP(ExtComp[[#This Row],[DEVELOPMENT]],Data[],23,FALSE),"")</f>
        <v/>
      </c>
    </row>
    <row r="5" spans="1:15" x14ac:dyDescent="0.25">
      <c r="A5" s="13" t="s">
        <v>360</v>
      </c>
      <c r="B5" s="9" t="str">
        <f>VLOOKUP(A5,Data[],2,FALSE)</f>
        <v>MANHATTAN</v>
      </c>
      <c r="C5" s="9" t="s">
        <v>68</v>
      </c>
      <c r="D5" s="66">
        <f>VLOOKUP(ExtComp[[#This Row],[DEVELOPMENT]],Data[],8,FALSE)</f>
        <v>0</v>
      </c>
      <c r="E5" s="66">
        <f>VLOOKUP(ExtComp[[#This Row],[DEVELOPMENT]],Data[],9,FALSE)</f>
        <v>0</v>
      </c>
      <c r="F5" s="66" t="str">
        <f>IFERROR(VLOOKUP(ExtComp[[#This Row],[DEVELOPMENT]],Data[],4,FALSE),"")</f>
        <v/>
      </c>
      <c r="G5" s="66" t="str">
        <f>IF(ExtComp[[#This Row],[RAD/PACT]]="","",IF(ExtComp[[#This Row],[RAD/PACT]]&lt;=2025,"Yes",""))</f>
        <v/>
      </c>
      <c r="H5" s="67" t="str">
        <f ca="1">IF(VLOOKUP(ExtComp[[#This Row],[DEVELOPMENT]],Data[],11,FALSE)=0,"",DATEDIF(VLOOKUP(ExtComp[[#This Row],[DEVELOPMENT]],Data[],13,FALSE),TODAY(),"Y"))</f>
        <v/>
      </c>
      <c r="I5" s="67">
        <f>IF(ExtComp[[#This Row],[RAD/PACT]]="",VLOOKUP(ExtComp[[#This Row],[DEVELOPMENT]],Data[],11,FALSE),IF(ExtComp[[#This Row],[RAD/PACT by 2025]]="yes",0,VLOOKUP(ExtComp[[#This Row],[DEVELOPMENT]],Data[],11,FALSE)))</f>
        <v>0</v>
      </c>
      <c r="J5" s="63">
        <f ca="1">(ExtComp[[#This Row],['# to Replace]]*'Unit Costs'!$B$6)*(1+((ExtComp[[#This Row],[est. Year]]-YEAR(TODAY()))*$J$2))</f>
        <v>0</v>
      </c>
      <c r="K5" s="67">
        <f>SUM(INDEX(ExtComp['# to Replace],1):ExtComp[[#This Row],['# to Replace]])</f>
        <v>0</v>
      </c>
      <c r="L5" s="67">
        <f>ROUNDDOWN(ExtComp[[#This Row],[Count]]/50,0)+$L$1</f>
        <v>2020</v>
      </c>
      <c r="M5" s="81">
        <f t="shared" ca="1" si="0"/>
        <v>0</v>
      </c>
      <c r="N5" s="81" t="str">
        <f>IFERROR(VLOOKUP(ExtComp[[#This Row],[DEVELOPMENT]],Data[],22,FALSE),"")</f>
        <v/>
      </c>
      <c r="O5" s="88" t="str">
        <f>IFERROR(VLOOKUP(ExtComp[[#This Row],[DEVELOPMENT]],Data[],23,FALSE),"")</f>
        <v/>
      </c>
    </row>
    <row r="6" spans="1:15" x14ac:dyDescent="0.25">
      <c r="A6" s="13" t="s">
        <v>359</v>
      </c>
      <c r="B6" s="9" t="str">
        <f>VLOOKUP(A6,Data[],2,FALSE)</f>
        <v>MANHATTAN</v>
      </c>
      <c r="C6" s="9" t="s">
        <v>68</v>
      </c>
      <c r="D6" s="66" t="str">
        <f>VLOOKUP(ExtComp[[#This Row],[DEVELOPMENT]],Data[],8,FALSE)</f>
        <v>Zone 4</v>
      </c>
      <c r="E6" s="66">
        <f>VLOOKUP(ExtComp[[#This Row],[DEVELOPMENT]],Data[],9,FALSE)</f>
        <v>0</v>
      </c>
      <c r="F6" s="66" t="str">
        <f>IFERROR(VLOOKUP(ExtComp[[#This Row],[DEVELOPMENT]],Data[],4,FALSE),"")</f>
        <v/>
      </c>
      <c r="G6" s="66" t="str">
        <f>IF(ExtComp[[#This Row],[RAD/PACT]]="","",IF(ExtComp[[#This Row],[RAD/PACT]]&lt;=2025,"Yes",""))</f>
        <v/>
      </c>
      <c r="H6" s="67" t="str">
        <f ca="1">IF(VLOOKUP(ExtComp[[#This Row],[DEVELOPMENT]],Data[],11,FALSE)=0,"",DATEDIF(VLOOKUP(ExtComp[[#This Row],[DEVELOPMENT]],Data[],13,FALSE),TODAY(),"Y"))</f>
        <v/>
      </c>
      <c r="I6" s="67">
        <f>IF(ExtComp[[#This Row],[RAD/PACT]]="",VLOOKUP(ExtComp[[#This Row],[DEVELOPMENT]],Data[],11,FALSE),IF(ExtComp[[#This Row],[RAD/PACT by 2025]]="yes",0,VLOOKUP(ExtComp[[#This Row],[DEVELOPMENT]],Data[],11,FALSE)))</f>
        <v>0</v>
      </c>
      <c r="J6" s="63">
        <f ca="1">(ExtComp[[#This Row],['# to Replace]]*'Unit Costs'!$B$6)*(1+((ExtComp[[#This Row],[est. Year]]-YEAR(TODAY()))*$J$2))</f>
        <v>0</v>
      </c>
      <c r="K6" s="67">
        <f>SUM(INDEX(ExtComp['# to Replace],1):ExtComp[[#This Row],['# to Replace]])</f>
        <v>0</v>
      </c>
      <c r="L6" s="67">
        <f>ROUNDDOWN(ExtComp[[#This Row],[Count]]/50,0)+$L$1</f>
        <v>2020</v>
      </c>
      <c r="M6" s="81">
        <f t="shared" ca="1" si="0"/>
        <v>0</v>
      </c>
      <c r="N6" s="81" t="str">
        <f>IFERROR(VLOOKUP(ExtComp[[#This Row],[DEVELOPMENT]],Data[],22,FALSE),"")</f>
        <v/>
      </c>
      <c r="O6" s="88" t="str">
        <f>IFERROR(VLOOKUP(ExtComp[[#This Row],[DEVELOPMENT]],Data[],23,FALSE),"")</f>
        <v/>
      </c>
    </row>
    <row r="7" spans="1:15" x14ac:dyDescent="0.25">
      <c r="A7" s="13" t="s">
        <v>358</v>
      </c>
      <c r="B7" s="9" t="str">
        <f>VLOOKUP(A7,Data[],2,FALSE)</f>
        <v>MANHATTAN</v>
      </c>
      <c r="C7" s="9" t="s">
        <v>68</v>
      </c>
      <c r="D7" s="66" t="str">
        <f>VLOOKUP(ExtComp[[#This Row],[DEVELOPMENT]],Data[],8,FALSE)</f>
        <v>Zone 4</v>
      </c>
      <c r="E7" s="66">
        <f>VLOOKUP(ExtComp[[#This Row],[DEVELOPMENT]],Data[],9,FALSE)</f>
        <v>0</v>
      </c>
      <c r="F7" s="66" t="str">
        <f>IFERROR(VLOOKUP(ExtComp[[#This Row],[DEVELOPMENT]],Data[],4,FALSE),"")</f>
        <v/>
      </c>
      <c r="G7" s="66" t="str">
        <f>IF(ExtComp[[#This Row],[RAD/PACT]]="","",IF(ExtComp[[#This Row],[RAD/PACT]]&lt;=2025,"Yes",""))</f>
        <v/>
      </c>
      <c r="H7" s="67" t="str">
        <f ca="1">IF(VLOOKUP(ExtComp[[#This Row],[DEVELOPMENT]],Data[],11,FALSE)=0,"",DATEDIF(VLOOKUP(ExtComp[[#This Row],[DEVELOPMENT]],Data[],13,FALSE),TODAY(),"Y"))</f>
        <v/>
      </c>
      <c r="I7" s="67">
        <f>IF(ExtComp[[#This Row],[RAD/PACT]]="",VLOOKUP(ExtComp[[#This Row],[DEVELOPMENT]],Data[],11,FALSE),IF(ExtComp[[#This Row],[RAD/PACT by 2025]]="yes",0,VLOOKUP(ExtComp[[#This Row],[DEVELOPMENT]],Data[],11,FALSE)))</f>
        <v>0</v>
      </c>
      <c r="J7" s="63">
        <f ca="1">(ExtComp[[#This Row],['# to Replace]]*'Unit Costs'!$B$6)*(1+((ExtComp[[#This Row],[est. Year]]-YEAR(TODAY()))*$J$2))</f>
        <v>0</v>
      </c>
      <c r="K7" s="67">
        <f>SUM(INDEX(ExtComp['# to Replace],1):ExtComp[[#This Row],['# to Replace]])</f>
        <v>0</v>
      </c>
      <c r="L7" s="67">
        <f>ROUNDDOWN(ExtComp[[#This Row],[Count]]/50,0)+$L$1</f>
        <v>2020</v>
      </c>
      <c r="M7" s="81">
        <f t="shared" ca="1" si="0"/>
        <v>0</v>
      </c>
      <c r="N7" s="81" t="str">
        <f>IFERROR(VLOOKUP(ExtComp[[#This Row],[DEVELOPMENT]],Data[],22,FALSE),"")</f>
        <v/>
      </c>
      <c r="O7" s="88" t="str">
        <f>IFERROR(VLOOKUP(ExtComp[[#This Row],[DEVELOPMENT]],Data[],23,FALSE),"")</f>
        <v/>
      </c>
    </row>
    <row r="8" spans="1:15" x14ac:dyDescent="0.25">
      <c r="A8" s="13" t="s">
        <v>357</v>
      </c>
      <c r="B8" s="9" t="str">
        <f>VLOOKUP(A8,Data[],2,FALSE)</f>
        <v>MANHATTAN</v>
      </c>
      <c r="C8" s="9" t="s">
        <v>68</v>
      </c>
      <c r="D8" s="66" t="str">
        <f>VLOOKUP(ExtComp[[#This Row],[DEVELOPMENT]],Data[],8,FALSE)</f>
        <v>Zone 4</v>
      </c>
      <c r="E8" s="66">
        <f>VLOOKUP(ExtComp[[#This Row],[DEVELOPMENT]],Data[],9,FALSE)</f>
        <v>0</v>
      </c>
      <c r="F8" s="66" t="str">
        <f>IFERROR(VLOOKUP(ExtComp[[#This Row],[DEVELOPMENT]],Data[],4,FALSE),"")</f>
        <v/>
      </c>
      <c r="G8" s="66" t="str">
        <f>IF(ExtComp[[#This Row],[RAD/PACT]]="","",IF(ExtComp[[#This Row],[RAD/PACT]]&lt;=2025,"Yes",""))</f>
        <v/>
      </c>
      <c r="H8" s="67" t="str">
        <f ca="1">IF(VLOOKUP(ExtComp[[#This Row],[DEVELOPMENT]],Data[],11,FALSE)=0,"",DATEDIF(VLOOKUP(ExtComp[[#This Row],[DEVELOPMENT]],Data[],13,FALSE),TODAY(),"Y"))</f>
        <v/>
      </c>
      <c r="I8" s="67">
        <f>IF(ExtComp[[#This Row],[RAD/PACT]]="",VLOOKUP(ExtComp[[#This Row],[DEVELOPMENT]],Data[],11,FALSE),IF(ExtComp[[#This Row],[RAD/PACT by 2025]]="yes",0,VLOOKUP(ExtComp[[#This Row],[DEVELOPMENT]],Data[],11,FALSE)))</f>
        <v>0</v>
      </c>
      <c r="J8" s="63">
        <f ca="1">(ExtComp[[#This Row],['# to Replace]]*'Unit Costs'!$B$6)*(1+((ExtComp[[#This Row],[est. Year]]-YEAR(TODAY()))*$J$2))</f>
        <v>0</v>
      </c>
      <c r="K8" s="67">
        <f>SUM(INDEX(ExtComp['# to Replace],1):ExtComp[[#This Row],['# to Replace]])</f>
        <v>0</v>
      </c>
      <c r="L8" s="67">
        <f>ROUNDDOWN(ExtComp[[#This Row],[Count]]/50,0)+$L$1</f>
        <v>2020</v>
      </c>
      <c r="M8" s="81">
        <f t="shared" ca="1" si="0"/>
        <v>0</v>
      </c>
      <c r="N8" s="81" t="str">
        <f>IFERROR(VLOOKUP(ExtComp[[#This Row],[DEVELOPMENT]],Data[],22,FALSE),"")</f>
        <v/>
      </c>
      <c r="O8" s="88" t="str">
        <f>IFERROR(VLOOKUP(ExtComp[[#This Row],[DEVELOPMENT]],Data[],23,FALSE),"")</f>
        <v/>
      </c>
    </row>
    <row r="9" spans="1:15" x14ac:dyDescent="0.25">
      <c r="A9" s="13" t="s">
        <v>356</v>
      </c>
      <c r="B9" s="9" t="str">
        <f>VLOOKUP(A9,Data[],2,FALSE)</f>
        <v>BROOKLYN</v>
      </c>
      <c r="C9" s="9" t="s">
        <v>68</v>
      </c>
      <c r="D9" s="66">
        <f>VLOOKUP(ExtComp[[#This Row],[DEVELOPMENT]],Data[],8,FALSE)</f>
        <v>0</v>
      </c>
      <c r="E9" s="66">
        <f>VLOOKUP(ExtComp[[#This Row],[DEVELOPMENT]],Data[],9,FALSE)</f>
        <v>0</v>
      </c>
      <c r="F9" s="66" t="str">
        <f>IFERROR(VLOOKUP(ExtComp[[#This Row],[DEVELOPMENT]],Data[],4,FALSE),"")</f>
        <v/>
      </c>
      <c r="G9" s="66" t="str">
        <f>IF(ExtComp[[#This Row],[RAD/PACT]]="","",IF(ExtComp[[#This Row],[RAD/PACT]]&lt;=2025,"Yes",""))</f>
        <v/>
      </c>
      <c r="H9" s="67" t="str">
        <f ca="1">IF(VLOOKUP(ExtComp[[#This Row],[DEVELOPMENT]],Data[],11,FALSE)=0,"",DATEDIF(VLOOKUP(ExtComp[[#This Row],[DEVELOPMENT]],Data[],13,FALSE),TODAY(),"Y"))</f>
        <v/>
      </c>
      <c r="I9" s="67">
        <f>IF(ExtComp[[#This Row],[RAD/PACT]]="",VLOOKUP(ExtComp[[#This Row],[DEVELOPMENT]],Data[],11,FALSE),IF(ExtComp[[#This Row],[RAD/PACT by 2025]]="yes",0,VLOOKUP(ExtComp[[#This Row],[DEVELOPMENT]],Data[],11,FALSE)))</f>
        <v>0</v>
      </c>
      <c r="J9" s="63">
        <f ca="1">(ExtComp[[#This Row],['# to Replace]]*'Unit Costs'!$B$6)*(1+((ExtComp[[#This Row],[est. Year]]-YEAR(TODAY()))*$J$2))</f>
        <v>0</v>
      </c>
      <c r="K9" s="67">
        <f>SUM(INDEX(ExtComp['# to Replace],1):ExtComp[[#This Row],['# to Replace]])</f>
        <v>0</v>
      </c>
      <c r="L9" s="67">
        <f>ROUNDDOWN(ExtComp[[#This Row],[Count]]/50,0)+$L$1</f>
        <v>2020</v>
      </c>
      <c r="M9" s="81">
        <f t="shared" ca="1" si="0"/>
        <v>0</v>
      </c>
      <c r="N9" s="81" t="str">
        <f>IFERROR(VLOOKUP(ExtComp[[#This Row],[DEVELOPMENT]],Data[],22,FALSE),"")</f>
        <v/>
      </c>
      <c r="O9" s="88" t="str">
        <f>IFERROR(VLOOKUP(ExtComp[[#This Row],[DEVELOPMENT]],Data[],23,FALSE),"")</f>
        <v/>
      </c>
    </row>
    <row r="10" spans="1:15" x14ac:dyDescent="0.25">
      <c r="A10" s="13" t="s">
        <v>355</v>
      </c>
      <c r="B10" s="9" t="str">
        <f>VLOOKUP(A10,Data[],2,FALSE)</f>
        <v>QUEENS</v>
      </c>
      <c r="C10" s="9" t="s">
        <v>68</v>
      </c>
      <c r="D10" s="66">
        <f>VLOOKUP(ExtComp[[#This Row],[DEVELOPMENT]],Data[],8,FALSE)</f>
        <v>0</v>
      </c>
      <c r="E10" s="66">
        <f>VLOOKUP(ExtComp[[#This Row],[DEVELOPMENT]],Data[],9,FALSE)</f>
        <v>0</v>
      </c>
      <c r="F10" s="66" t="str">
        <f>IFERROR(VLOOKUP(ExtComp[[#This Row],[DEVELOPMENT]],Data[],4,FALSE),"")</f>
        <v/>
      </c>
      <c r="G10" s="66" t="str">
        <f>IF(ExtComp[[#This Row],[RAD/PACT]]="","",IF(ExtComp[[#This Row],[RAD/PACT]]&lt;=2025,"Yes",""))</f>
        <v/>
      </c>
      <c r="H10" s="67" t="str">
        <f ca="1">IF(VLOOKUP(ExtComp[[#This Row],[DEVELOPMENT]],Data[],11,FALSE)=0,"",DATEDIF(VLOOKUP(ExtComp[[#This Row],[DEVELOPMENT]],Data[],13,FALSE),TODAY(),"Y"))</f>
        <v/>
      </c>
      <c r="I10" s="67">
        <f>IF(ExtComp[[#This Row],[RAD/PACT]]="",VLOOKUP(ExtComp[[#This Row],[DEVELOPMENT]],Data[],11,FALSE),IF(ExtComp[[#This Row],[RAD/PACT by 2025]]="yes",0,VLOOKUP(ExtComp[[#This Row],[DEVELOPMENT]],Data[],11,FALSE)))</f>
        <v>0</v>
      </c>
      <c r="J10" s="63">
        <f ca="1">(ExtComp[[#This Row],['# to Replace]]*'Unit Costs'!$B$6)*(1+((ExtComp[[#This Row],[est. Year]]-YEAR(TODAY()))*$J$2))</f>
        <v>0</v>
      </c>
      <c r="K10" s="67">
        <f>SUM(INDEX(ExtComp['# to Replace],1):ExtComp[[#This Row],['# to Replace]])</f>
        <v>0</v>
      </c>
      <c r="L10" s="67">
        <f>ROUNDDOWN(ExtComp[[#This Row],[Count]]/50,0)+$L$1</f>
        <v>2020</v>
      </c>
      <c r="M10" s="81">
        <f t="shared" ca="1" si="0"/>
        <v>0</v>
      </c>
      <c r="N10" s="81" t="str">
        <f>IFERROR(VLOOKUP(ExtComp[[#This Row],[DEVELOPMENT]],Data[],22,FALSE),"")</f>
        <v/>
      </c>
      <c r="O10" s="88" t="str">
        <f>IFERROR(VLOOKUP(ExtComp[[#This Row],[DEVELOPMENT]],Data[],23,FALSE),"")</f>
        <v/>
      </c>
    </row>
    <row r="11" spans="1:15" x14ac:dyDescent="0.25">
      <c r="A11" s="13" t="s">
        <v>354</v>
      </c>
      <c r="B11" s="9" t="str">
        <f>VLOOKUP(A11,Data[],2,FALSE)</f>
        <v>MANHATTAN</v>
      </c>
      <c r="C11" s="9"/>
      <c r="D11" s="66" t="str">
        <f>VLOOKUP(ExtComp[[#This Row],[DEVELOPMENT]],Data[],8,FALSE)</f>
        <v>Zone 4</v>
      </c>
      <c r="E11" s="66">
        <f>VLOOKUP(ExtComp[[#This Row],[DEVELOPMENT]],Data[],9,FALSE)</f>
        <v>0</v>
      </c>
      <c r="F11" s="66">
        <f>IFERROR(VLOOKUP(ExtComp[[#This Row],[DEVELOPMENT]],Data[],4,FALSE),"")</f>
        <v>2019</v>
      </c>
      <c r="G11" s="66" t="str">
        <f>IF(ExtComp[[#This Row],[RAD/PACT]]="","",IF(ExtComp[[#This Row],[RAD/PACT]]&lt;=2025,"Yes",""))</f>
        <v>Yes</v>
      </c>
      <c r="H11" s="67" t="str">
        <f ca="1">IF(VLOOKUP(ExtComp[[#This Row],[DEVELOPMENT]],Data[],11,FALSE)=0,"",DATEDIF(VLOOKUP(ExtComp[[#This Row],[DEVELOPMENT]],Data[],13,FALSE),TODAY(),"Y"))</f>
        <v/>
      </c>
      <c r="I11" s="67">
        <f>IF(ExtComp[[#This Row],[RAD/PACT]]="",VLOOKUP(ExtComp[[#This Row],[DEVELOPMENT]],Data[],11,FALSE),IF(ExtComp[[#This Row],[RAD/PACT by 2025]]="yes",0,VLOOKUP(ExtComp[[#This Row],[DEVELOPMENT]],Data[],11,FALSE)))</f>
        <v>0</v>
      </c>
      <c r="J11" s="63">
        <f ca="1">(ExtComp[[#This Row],['# to Replace]]*'Unit Costs'!$B$6)*(1+((ExtComp[[#This Row],[est. Year]]-YEAR(TODAY()))*$J$2))</f>
        <v>0</v>
      </c>
      <c r="K11" s="67">
        <f>SUM(INDEX(ExtComp['# to Replace],1):ExtComp[[#This Row],['# to Replace]])</f>
        <v>0</v>
      </c>
      <c r="L11" s="67">
        <f>ROUNDDOWN(ExtComp[[#This Row],[Count]]/50,0)+$L$1</f>
        <v>2020</v>
      </c>
      <c r="M11" s="81">
        <f t="shared" ca="1" si="0"/>
        <v>0</v>
      </c>
      <c r="N11" s="81" t="str">
        <f>IFERROR(VLOOKUP(ExtComp[[#This Row],[DEVELOPMENT]],Data[],22,FALSE),"")</f>
        <v/>
      </c>
      <c r="O11" s="88" t="str">
        <f>IFERROR(VLOOKUP(ExtComp[[#This Row],[DEVELOPMENT]],Data[],23,FALSE),"")</f>
        <v/>
      </c>
    </row>
    <row r="12" spans="1:15" x14ac:dyDescent="0.25">
      <c r="A12" s="13" t="s">
        <v>116</v>
      </c>
      <c r="B12" s="1" t="str">
        <f>VLOOKUP(A12,Data[],2,FALSE)</f>
        <v>MANHATTAN</v>
      </c>
      <c r="C12" s="9" t="s">
        <v>68</v>
      </c>
      <c r="D12" s="9" t="str">
        <f>VLOOKUP(ExtComp[[#This Row],[DEVELOPMENT]],Data[],8,FALSE)</f>
        <v>Zone 2</v>
      </c>
      <c r="E12" s="9" t="str">
        <f>VLOOKUP(ExtComp[[#This Row],[DEVELOPMENT]],Data[],9,FALSE)</f>
        <v>$</v>
      </c>
      <c r="F12" s="9" t="str">
        <f>IFERROR(VLOOKUP(ExtComp[[#This Row],[DEVELOPMENT]],Data[],4,FALSE),"")</f>
        <v/>
      </c>
      <c r="G12" s="9" t="str">
        <f>IF(ExtComp[[#This Row],[RAD/PACT]]="","",IF(ExtComp[[#This Row],[RAD/PACT]]&lt;=2025,"Yes",""))</f>
        <v/>
      </c>
      <c r="H12" s="1" t="str">
        <f ca="1">IF(VLOOKUP(ExtComp[[#This Row],[DEVELOPMENT]],Data[],11,FALSE)=0,"",DATEDIF(VLOOKUP(ExtComp[[#This Row],[DEVELOPMENT]],Data[],13,FALSE),TODAY(),"Y"))</f>
        <v/>
      </c>
      <c r="I12" s="1">
        <f>IF(ExtComp[[#This Row],[RAD/PACT]]="",VLOOKUP(ExtComp[[#This Row],[DEVELOPMENT]],Data[],11,FALSE),IF(ExtComp[[#This Row],[RAD/PACT by 2025]]="yes",0,VLOOKUP(ExtComp[[#This Row],[DEVELOPMENT]],Data[],11,FALSE)))</f>
        <v>0</v>
      </c>
      <c r="J12" s="63">
        <f ca="1">(ExtComp[[#This Row],['# to Replace]]*'Unit Costs'!$B$6)*(1+((ExtComp[[#This Row],[est. Year]]-YEAR(TODAY()))*$J$2))</f>
        <v>0</v>
      </c>
      <c r="K12" s="1">
        <f>SUM(INDEX(ExtComp['# to Replace],1):ExtComp[[#This Row],['# to Replace]])</f>
        <v>0</v>
      </c>
      <c r="L12" s="1">
        <f>ROUNDDOWN(ExtComp[[#This Row],[Count]]/50,0)+$L$1</f>
        <v>2020</v>
      </c>
      <c r="M12" s="81">
        <f t="shared" ca="1" si="0"/>
        <v>0</v>
      </c>
      <c r="N12" s="81" t="str">
        <f>IFERROR(VLOOKUP(ExtComp[[#This Row],[DEVELOPMENT]],Data[],22,FALSE),"")</f>
        <v/>
      </c>
      <c r="O12" s="88" t="str">
        <f>IFERROR(VLOOKUP(ExtComp[[#This Row],[DEVELOPMENT]],Data[],23,FALSE),"")</f>
        <v/>
      </c>
    </row>
    <row r="13" spans="1:15" x14ac:dyDescent="0.25">
      <c r="A13" s="13" t="s">
        <v>353</v>
      </c>
      <c r="B13" s="9" t="str">
        <f>VLOOKUP(A13,Data[],2,FALSE)</f>
        <v>BROOKLYN</v>
      </c>
      <c r="C13" s="9"/>
      <c r="D13" s="66">
        <f>VLOOKUP(ExtComp[[#This Row],[DEVELOPMENT]],Data[],8,FALSE)</f>
        <v>0</v>
      </c>
      <c r="E13" s="66">
        <f>VLOOKUP(ExtComp[[#This Row],[DEVELOPMENT]],Data[],9,FALSE)</f>
        <v>0</v>
      </c>
      <c r="F13" s="66">
        <f>IFERROR(VLOOKUP(ExtComp[[#This Row],[DEVELOPMENT]],Data[],4,FALSE),"")</f>
        <v>2020</v>
      </c>
      <c r="G13" s="66" t="str">
        <f>IF(ExtComp[[#This Row],[RAD/PACT]]="","",IF(ExtComp[[#This Row],[RAD/PACT]]&lt;=2025,"Yes",""))</f>
        <v>Yes</v>
      </c>
      <c r="H13" s="67" t="str">
        <f ca="1">IF(VLOOKUP(ExtComp[[#This Row],[DEVELOPMENT]],Data[],11,FALSE)=0,"",DATEDIF(VLOOKUP(ExtComp[[#This Row],[DEVELOPMENT]],Data[],13,FALSE),TODAY(),"Y"))</f>
        <v/>
      </c>
      <c r="I13" s="67">
        <f>IF(ExtComp[[#This Row],[RAD/PACT]]="",VLOOKUP(ExtComp[[#This Row],[DEVELOPMENT]],Data[],11,FALSE),IF(ExtComp[[#This Row],[RAD/PACT by 2025]]="yes",0,VLOOKUP(ExtComp[[#This Row],[DEVELOPMENT]],Data[],11,FALSE)))</f>
        <v>0</v>
      </c>
      <c r="J13" s="63">
        <f ca="1">(ExtComp[[#This Row],['# to Replace]]*'Unit Costs'!$B$6)*(1+((ExtComp[[#This Row],[est. Year]]-YEAR(TODAY()))*$J$2))</f>
        <v>0</v>
      </c>
      <c r="K13" s="67">
        <f>SUM(INDEX(ExtComp['# to Replace],1):ExtComp[[#This Row],['# to Replace]])</f>
        <v>0</v>
      </c>
      <c r="L13" s="67">
        <f>ROUNDDOWN(ExtComp[[#This Row],[Count]]/50,0)+$L$1</f>
        <v>2020</v>
      </c>
      <c r="M13" s="81">
        <f t="shared" ca="1" si="0"/>
        <v>0</v>
      </c>
      <c r="N13" s="81" t="str">
        <f>IFERROR(VLOOKUP(ExtComp[[#This Row],[DEVELOPMENT]],Data[],22,FALSE),"")</f>
        <v/>
      </c>
      <c r="O13" s="88" t="str">
        <f>IFERROR(VLOOKUP(ExtComp[[#This Row],[DEVELOPMENT]],Data[],23,FALSE),"")</f>
        <v/>
      </c>
    </row>
    <row r="14" spans="1:15" x14ac:dyDescent="0.25">
      <c r="A14" s="13" t="s">
        <v>352</v>
      </c>
      <c r="B14" s="9" t="str">
        <f>VLOOKUP(A14,Data[],2,FALSE)</f>
        <v>BROOKLYN</v>
      </c>
      <c r="C14" s="9"/>
      <c r="D14" s="66">
        <f>VLOOKUP(ExtComp[[#This Row],[DEVELOPMENT]],Data[],8,FALSE)</f>
        <v>0</v>
      </c>
      <c r="E14" s="66">
        <f>VLOOKUP(ExtComp[[#This Row],[DEVELOPMENT]],Data[],9,FALSE)</f>
        <v>0</v>
      </c>
      <c r="F14" s="66">
        <f>IFERROR(VLOOKUP(ExtComp[[#This Row],[DEVELOPMENT]],Data[],4,FALSE),"")</f>
        <v>2019</v>
      </c>
      <c r="G14" s="66" t="str">
        <f>IF(ExtComp[[#This Row],[RAD/PACT]]="","",IF(ExtComp[[#This Row],[RAD/PACT]]&lt;=2025,"Yes",""))</f>
        <v>Yes</v>
      </c>
      <c r="H14" s="67" t="str">
        <f ca="1">IF(VLOOKUP(ExtComp[[#This Row],[DEVELOPMENT]],Data[],11,FALSE)=0,"",DATEDIF(VLOOKUP(ExtComp[[#This Row],[DEVELOPMENT]],Data[],13,FALSE),TODAY(),"Y"))</f>
        <v/>
      </c>
      <c r="I14" s="67">
        <f>IF(ExtComp[[#This Row],[RAD/PACT]]="",VLOOKUP(ExtComp[[#This Row],[DEVELOPMENT]],Data[],11,FALSE),IF(ExtComp[[#This Row],[RAD/PACT by 2025]]="yes",0,VLOOKUP(ExtComp[[#This Row],[DEVELOPMENT]],Data[],11,FALSE)))</f>
        <v>0</v>
      </c>
      <c r="J14" s="63">
        <f ca="1">(ExtComp[[#This Row],['# to Replace]]*'Unit Costs'!$B$6)*(1+((ExtComp[[#This Row],[est. Year]]-YEAR(TODAY()))*$J$2))</f>
        <v>0</v>
      </c>
      <c r="K14" s="67">
        <f>SUM(INDEX(ExtComp['# to Replace],1):ExtComp[[#This Row],['# to Replace]])</f>
        <v>0</v>
      </c>
      <c r="L14" s="67">
        <f>ROUNDDOWN(ExtComp[[#This Row],[Count]]/50,0)+$L$1</f>
        <v>2020</v>
      </c>
      <c r="M14" s="81">
        <f t="shared" ca="1" si="0"/>
        <v>0</v>
      </c>
      <c r="N14" s="81" t="str">
        <f>IFERROR(VLOOKUP(ExtComp[[#This Row],[DEVELOPMENT]],Data[],22,FALSE),"")</f>
        <v/>
      </c>
      <c r="O14" s="88" t="str">
        <f>IFERROR(VLOOKUP(ExtComp[[#This Row],[DEVELOPMENT]],Data[],23,FALSE),"")</f>
        <v/>
      </c>
    </row>
    <row r="15" spans="1:15" x14ac:dyDescent="0.25">
      <c r="A15" s="13" t="s">
        <v>351</v>
      </c>
      <c r="B15" s="9" t="str">
        <f>VLOOKUP(A15,Data[],2,FALSE)</f>
        <v>BROOKLYN</v>
      </c>
      <c r="C15" s="9" t="s">
        <v>68</v>
      </c>
      <c r="D15" s="66">
        <f>VLOOKUP(ExtComp[[#This Row],[DEVELOPMENT]],Data[],8,FALSE)</f>
        <v>0</v>
      </c>
      <c r="E15" s="66">
        <f>VLOOKUP(ExtComp[[#This Row],[DEVELOPMENT]],Data[],9,FALSE)</f>
        <v>0</v>
      </c>
      <c r="F15" s="66" t="str">
        <f>IFERROR(VLOOKUP(ExtComp[[#This Row],[DEVELOPMENT]],Data[],4,FALSE),"")</f>
        <v/>
      </c>
      <c r="G15" s="66" t="str">
        <f>IF(ExtComp[[#This Row],[RAD/PACT]]="","",IF(ExtComp[[#This Row],[RAD/PACT]]&lt;=2025,"Yes",""))</f>
        <v/>
      </c>
      <c r="H15" s="67" t="str">
        <f ca="1">IF(VLOOKUP(ExtComp[[#This Row],[DEVELOPMENT]],Data[],11,FALSE)=0,"",DATEDIF(VLOOKUP(ExtComp[[#This Row],[DEVELOPMENT]],Data[],13,FALSE),TODAY(),"Y"))</f>
        <v/>
      </c>
      <c r="I15" s="67">
        <f>IF(ExtComp[[#This Row],[RAD/PACT]]="",VLOOKUP(ExtComp[[#This Row],[DEVELOPMENT]],Data[],11,FALSE),IF(ExtComp[[#This Row],[RAD/PACT by 2025]]="yes",0,VLOOKUP(ExtComp[[#This Row],[DEVELOPMENT]],Data[],11,FALSE)))</f>
        <v>0</v>
      </c>
      <c r="J15" s="63">
        <f ca="1">(ExtComp[[#This Row],['# to Replace]]*'Unit Costs'!$B$6)*(1+((ExtComp[[#This Row],[est. Year]]-YEAR(TODAY()))*$J$2))</f>
        <v>0</v>
      </c>
      <c r="K15" s="67">
        <f>SUM(INDEX(ExtComp['# to Replace],1):ExtComp[[#This Row],['# to Replace]])</f>
        <v>0</v>
      </c>
      <c r="L15" s="67">
        <f>ROUNDDOWN(ExtComp[[#This Row],[Count]]/50,0)+$L$1</f>
        <v>2020</v>
      </c>
      <c r="M15" s="81">
        <f t="shared" ca="1" si="0"/>
        <v>0</v>
      </c>
      <c r="N15" s="81" t="str">
        <f>IFERROR(VLOOKUP(ExtComp[[#This Row],[DEVELOPMENT]],Data[],22,FALSE),"")</f>
        <v/>
      </c>
      <c r="O15" s="88" t="str">
        <f>IFERROR(VLOOKUP(ExtComp[[#This Row],[DEVELOPMENT]],Data[],23,FALSE),"")</f>
        <v/>
      </c>
    </row>
    <row r="16" spans="1:15" x14ac:dyDescent="0.25">
      <c r="A16" s="13" t="s">
        <v>102</v>
      </c>
      <c r="B16" s="1" t="str">
        <f>VLOOKUP(A16,Data[],2,FALSE)</f>
        <v>MANHATTAN</v>
      </c>
      <c r="C16" s="9" t="s">
        <v>68</v>
      </c>
      <c r="D16" s="9" t="str">
        <f>VLOOKUP(ExtComp[[#This Row],[DEVELOPMENT]],Data[],8,FALSE)</f>
        <v>Zone 2</v>
      </c>
      <c r="E16" s="9" t="str">
        <f>VLOOKUP(ExtComp[[#This Row],[DEVELOPMENT]],Data[],9,FALSE)</f>
        <v>$</v>
      </c>
      <c r="F16" s="9" t="str">
        <f>IFERROR(VLOOKUP(ExtComp[[#This Row],[DEVELOPMENT]],Data[],4,FALSE),"")</f>
        <v/>
      </c>
      <c r="G16" s="9" t="str">
        <f>IF(ExtComp[[#This Row],[RAD/PACT]]="","",IF(ExtComp[[#This Row],[RAD/PACT]]&lt;=2025,"Yes",""))</f>
        <v/>
      </c>
      <c r="H16" s="1" t="str">
        <f ca="1">IF(VLOOKUP(ExtComp[[#This Row],[DEVELOPMENT]],Data[],11,FALSE)=0,"",DATEDIF(VLOOKUP(ExtComp[[#This Row],[DEVELOPMENT]],Data[],13,FALSE),TODAY(),"Y"))</f>
        <v/>
      </c>
      <c r="I16" s="1">
        <f>IF(ExtComp[[#This Row],[RAD/PACT]]="",VLOOKUP(ExtComp[[#This Row],[DEVELOPMENT]],Data[],11,FALSE),IF(ExtComp[[#This Row],[RAD/PACT by 2025]]="yes",0,VLOOKUP(ExtComp[[#This Row],[DEVELOPMENT]],Data[],11,FALSE)))</f>
        <v>0</v>
      </c>
      <c r="J16" s="63">
        <f ca="1">(ExtComp[[#This Row],['# to Replace]]*'Unit Costs'!$B$6)*(1+((ExtComp[[#This Row],[est. Year]]-YEAR(TODAY()))*$J$2))</f>
        <v>0</v>
      </c>
      <c r="K16" s="1">
        <f>SUM(INDEX(ExtComp['# to Replace],1):ExtComp[[#This Row],['# to Replace]])</f>
        <v>0</v>
      </c>
      <c r="L16" s="1">
        <f>ROUNDDOWN(ExtComp[[#This Row],[Count]]/50,0)+$L$1</f>
        <v>2020</v>
      </c>
      <c r="M16" s="81">
        <f t="shared" ca="1" si="0"/>
        <v>0</v>
      </c>
      <c r="N16" s="81" t="str">
        <f>IFERROR(VLOOKUP(ExtComp[[#This Row],[DEVELOPMENT]],Data[],22,FALSE),"")</f>
        <v/>
      </c>
      <c r="O16" s="67" t="str">
        <f>IFERROR(VLOOKUP(ExtComp[[#This Row],[DEVELOPMENT]],Data[],23,FALSE),"")</f>
        <v/>
      </c>
    </row>
    <row r="17" spans="1:15" x14ac:dyDescent="0.25">
      <c r="A17" s="13" t="s">
        <v>350</v>
      </c>
      <c r="B17" s="9" t="str">
        <f>VLOOKUP(A17,Data[],2,FALSE)</f>
        <v>BRONX</v>
      </c>
      <c r="C17" s="9" t="s">
        <v>68</v>
      </c>
      <c r="D17" s="66" t="str">
        <f>VLOOKUP(ExtComp[[#This Row],[DEVELOPMENT]],Data[],8,FALSE)</f>
        <v>Zone 4</v>
      </c>
      <c r="E17" s="66">
        <f>VLOOKUP(ExtComp[[#This Row],[DEVELOPMENT]],Data[],9,FALSE)</f>
        <v>0</v>
      </c>
      <c r="F17" s="66" t="str">
        <f>IFERROR(VLOOKUP(ExtComp[[#This Row],[DEVELOPMENT]],Data[],4,FALSE),"")</f>
        <v/>
      </c>
      <c r="G17" s="66" t="str">
        <f>IF(ExtComp[[#This Row],[RAD/PACT]]="","",IF(ExtComp[[#This Row],[RAD/PACT]]&lt;=2025,"Yes",""))</f>
        <v/>
      </c>
      <c r="H17" s="67" t="str">
        <f ca="1">IF(VLOOKUP(ExtComp[[#This Row],[DEVELOPMENT]],Data[],11,FALSE)=0,"",DATEDIF(VLOOKUP(ExtComp[[#This Row],[DEVELOPMENT]],Data[],13,FALSE),TODAY(),"Y"))</f>
        <v/>
      </c>
      <c r="I17" s="67">
        <f>IF(ExtComp[[#This Row],[RAD/PACT]]="",VLOOKUP(ExtComp[[#This Row],[DEVELOPMENT]],Data[],11,FALSE),IF(ExtComp[[#This Row],[RAD/PACT by 2025]]="yes",0,VLOOKUP(ExtComp[[#This Row],[DEVELOPMENT]],Data[],11,FALSE)))</f>
        <v>0</v>
      </c>
      <c r="J17" s="63">
        <f ca="1">(ExtComp[[#This Row],['# to Replace]]*'Unit Costs'!$B$6)*(1+((ExtComp[[#This Row],[est. Year]]-YEAR(TODAY()))*$J$2))</f>
        <v>0</v>
      </c>
      <c r="K17" s="67">
        <f>SUM(INDEX(ExtComp['# to Replace],1):ExtComp[[#This Row],['# to Replace]])</f>
        <v>0</v>
      </c>
      <c r="L17" s="67">
        <f>ROUNDDOWN(ExtComp[[#This Row],[Count]]/50,0)+$L$1</f>
        <v>2020</v>
      </c>
      <c r="M17" s="81">
        <f t="shared" ca="1" si="0"/>
        <v>0</v>
      </c>
      <c r="N17" s="81" t="str">
        <f>IFERROR(VLOOKUP(ExtComp[[#This Row],[DEVELOPMENT]],Data[],22,FALSE),"")</f>
        <v/>
      </c>
      <c r="O17" s="88" t="str">
        <f>IFERROR(VLOOKUP(ExtComp[[#This Row],[DEVELOPMENT]],Data[],23,FALSE),"")</f>
        <v/>
      </c>
    </row>
    <row r="18" spans="1:15" x14ac:dyDescent="0.25">
      <c r="A18" s="13" t="s">
        <v>349</v>
      </c>
      <c r="B18" s="9" t="str">
        <f>VLOOKUP(A18,Data[],2,FALSE)</f>
        <v>BRONX</v>
      </c>
      <c r="C18" s="9" t="s">
        <v>68</v>
      </c>
      <c r="D18" s="66">
        <f>VLOOKUP(ExtComp[[#This Row],[DEVELOPMENT]],Data[],8,FALSE)</f>
        <v>0</v>
      </c>
      <c r="E18" s="66">
        <f>VLOOKUP(ExtComp[[#This Row],[DEVELOPMENT]],Data[],9,FALSE)</f>
        <v>0</v>
      </c>
      <c r="F18" s="66" t="str">
        <f>IFERROR(VLOOKUP(ExtComp[[#This Row],[DEVELOPMENT]],Data[],4,FALSE),"")</f>
        <v/>
      </c>
      <c r="G18" s="66" t="str">
        <f>IF(ExtComp[[#This Row],[RAD/PACT]]="","",IF(ExtComp[[#This Row],[RAD/PACT]]&lt;=2025,"Yes",""))</f>
        <v/>
      </c>
      <c r="H18" s="67" t="str">
        <f ca="1">IF(VLOOKUP(ExtComp[[#This Row],[DEVELOPMENT]],Data[],11,FALSE)=0,"",DATEDIF(VLOOKUP(ExtComp[[#This Row],[DEVELOPMENT]],Data[],13,FALSE),TODAY(),"Y"))</f>
        <v/>
      </c>
      <c r="I18" s="67">
        <f>IF(ExtComp[[#This Row],[RAD/PACT]]="",VLOOKUP(ExtComp[[#This Row],[DEVELOPMENT]],Data[],11,FALSE),IF(ExtComp[[#This Row],[RAD/PACT by 2025]]="yes",0,VLOOKUP(ExtComp[[#This Row],[DEVELOPMENT]],Data[],11,FALSE)))</f>
        <v>0</v>
      </c>
      <c r="J18" s="63">
        <f ca="1">(ExtComp[[#This Row],['# to Replace]]*'Unit Costs'!$B$6)*(1+((ExtComp[[#This Row],[est. Year]]-YEAR(TODAY()))*$J$2))</f>
        <v>0</v>
      </c>
      <c r="K18" s="67">
        <f>SUM(INDEX(ExtComp['# to Replace],1):ExtComp[[#This Row],['# to Replace]])</f>
        <v>0</v>
      </c>
      <c r="L18" s="67">
        <f>ROUNDDOWN(ExtComp[[#This Row],[Count]]/50,0)+$L$1</f>
        <v>2020</v>
      </c>
      <c r="M18" s="81">
        <f t="shared" ca="1" si="0"/>
        <v>0</v>
      </c>
      <c r="N18" s="81" t="str">
        <f>IFERROR(VLOOKUP(ExtComp[[#This Row],[DEVELOPMENT]],Data[],22,FALSE),"")</f>
        <v/>
      </c>
      <c r="O18" s="88" t="str">
        <f>IFERROR(VLOOKUP(ExtComp[[#This Row],[DEVELOPMENT]],Data[],23,FALSE),"")</f>
        <v/>
      </c>
    </row>
    <row r="19" spans="1:15" x14ac:dyDescent="0.25">
      <c r="A19" s="13" t="s">
        <v>348</v>
      </c>
      <c r="B19" s="9" t="str">
        <f>VLOOKUP(A19,Data[],2,FALSE)</f>
        <v>BRONX</v>
      </c>
      <c r="C19" s="9" t="s">
        <v>68</v>
      </c>
      <c r="D19" s="66">
        <f>VLOOKUP(ExtComp[[#This Row],[DEVELOPMENT]],Data[],8,FALSE)</f>
        <v>0</v>
      </c>
      <c r="E19" s="66">
        <f>VLOOKUP(ExtComp[[#This Row],[DEVELOPMENT]],Data[],9,FALSE)</f>
        <v>0</v>
      </c>
      <c r="F19" s="66" t="str">
        <f>IFERROR(VLOOKUP(ExtComp[[#This Row],[DEVELOPMENT]],Data[],4,FALSE),"")</f>
        <v/>
      </c>
      <c r="G19" s="66" t="str">
        <f>IF(ExtComp[[#This Row],[RAD/PACT]]="","",IF(ExtComp[[#This Row],[RAD/PACT]]&lt;=2025,"Yes",""))</f>
        <v/>
      </c>
      <c r="H19" s="67" t="str">
        <f ca="1">IF(VLOOKUP(ExtComp[[#This Row],[DEVELOPMENT]],Data[],11,FALSE)=0,"",DATEDIF(VLOOKUP(ExtComp[[#This Row],[DEVELOPMENT]],Data[],13,FALSE),TODAY(),"Y"))</f>
        <v/>
      </c>
      <c r="I19" s="67">
        <f>IF(ExtComp[[#This Row],[RAD/PACT]]="",VLOOKUP(ExtComp[[#This Row],[DEVELOPMENT]],Data[],11,FALSE),IF(ExtComp[[#This Row],[RAD/PACT by 2025]]="yes",0,VLOOKUP(ExtComp[[#This Row],[DEVELOPMENT]],Data[],11,FALSE)))</f>
        <v>0</v>
      </c>
      <c r="J19" s="63">
        <f ca="1">(ExtComp[[#This Row],['# to Replace]]*'Unit Costs'!$B$6)*(1+((ExtComp[[#This Row],[est. Year]]-YEAR(TODAY()))*$J$2))</f>
        <v>0</v>
      </c>
      <c r="K19" s="67">
        <f>SUM(INDEX(ExtComp['# to Replace],1):ExtComp[[#This Row],['# to Replace]])</f>
        <v>0</v>
      </c>
      <c r="L19" s="67">
        <f>ROUNDDOWN(ExtComp[[#This Row],[Count]]/50,0)+$L$1</f>
        <v>2020</v>
      </c>
      <c r="M19" s="81">
        <f t="shared" ca="1" si="0"/>
        <v>0</v>
      </c>
      <c r="N19" s="81" t="str">
        <f>IFERROR(VLOOKUP(ExtComp[[#This Row],[DEVELOPMENT]],Data[],22,FALSE),"")</f>
        <v/>
      </c>
      <c r="O19" s="88" t="str">
        <f>IFERROR(VLOOKUP(ExtComp[[#This Row],[DEVELOPMENT]],Data[],23,FALSE),"")</f>
        <v/>
      </c>
    </row>
    <row r="20" spans="1:15" x14ac:dyDescent="0.25">
      <c r="A20" s="13" t="s">
        <v>347</v>
      </c>
      <c r="B20" s="9" t="str">
        <f>VLOOKUP(A20,Data[],2,FALSE)</f>
        <v>STATEN ISLAND</v>
      </c>
      <c r="C20" s="9" t="s">
        <v>68</v>
      </c>
      <c r="D20" s="66">
        <f>VLOOKUP(ExtComp[[#This Row],[DEVELOPMENT]],Data[],8,FALSE)</f>
        <v>0</v>
      </c>
      <c r="E20" s="66">
        <f>VLOOKUP(ExtComp[[#This Row],[DEVELOPMENT]],Data[],9,FALSE)</f>
        <v>0</v>
      </c>
      <c r="F20" s="66" t="str">
        <f>IFERROR(VLOOKUP(ExtComp[[#This Row],[DEVELOPMENT]],Data[],4,FALSE),"")</f>
        <v/>
      </c>
      <c r="G20" s="66" t="str">
        <f>IF(ExtComp[[#This Row],[RAD/PACT]]="","",IF(ExtComp[[#This Row],[RAD/PACT]]&lt;=2025,"Yes",""))</f>
        <v/>
      </c>
      <c r="H20" s="67" t="str">
        <f ca="1">IF(VLOOKUP(ExtComp[[#This Row],[DEVELOPMENT]],Data[],11,FALSE)=0,"",DATEDIF(VLOOKUP(ExtComp[[#This Row],[DEVELOPMENT]],Data[],13,FALSE),TODAY(),"Y"))</f>
        <v/>
      </c>
      <c r="I20" s="67">
        <f>IF(ExtComp[[#This Row],[RAD/PACT]]="",VLOOKUP(ExtComp[[#This Row],[DEVELOPMENT]],Data[],11,FALSE),IF(ExtComp[[#This Row],[RAD/PACT by 2025]]="yes",0,VLOOKUP(ExtComp[[#This Row],[DEVELOPMENT]],Data[],11,FALSE)))</f>
        <v>0</v>
      </c>
      <c r="J20" s="63">
        <f ca="1">(ExtComp[[#This Row],['# to Replace]]*'Unit Costs'!$B$6)*(1+((ExtComp[[#This Row],[est. Year]]-YEAR(TODAY()))*$J$2))</f>
        <v>0</v>
      </c>
      <c r="K20" s="67">
        <f>SUM(INDEX(ExtComp['# to Replace],1):ExtComp[[#This Row],['# to Replace]])</f>
        <v>0</v>
      </c>
      <c r="L20" s="67">
        <f>ROUNDDOWN(ExtComp[[#This Row],[Count]]/50,0)+$L$1</f>
        <v>2020</v>
      </c>
      <c r="M20" s="81">
        <f t="shared" ca="1" si="0"/>
        <v>0</v>
      </c>
      <c r="N20" s="81" t="str">
        <f>IFERROR(VLOOKUP(ExtComp[[#This Row],[DEVELOPMENT]],Data[],22,FALSE),"")</f>
        <v/>
      </c>
      <c r="O20" s="88" t="str">
        <f>IFERROR(VLOOKUP(ExtComp[[#This Row],[DEVELOPMENT]],Data[],23,FALSE),"")</f>
        <v/>
      </c>
    </row>
    <row r="21" spans="1:15" x14ac:dyDescent="0.25">
      <c r="A21" s="13" t="s">
        <v>346</v>
      </c>
      <c r="B21" s="9" t="str">
        <f>VLOOKUP(A21,Data[],2,FALSE)</f>
        <v>STATEN ISLAND</v>
      </c>
      <c r="C21" s="9" t="s">
        <v>68</v>
      </c>
      <c r="D21" s="66">
        <f>VLOOKUP(ExtComp[[#This Row],[DEVELOPMENT]],Data[],8,FALSE)</f>
        <v>0</v>
      </c>
      <c r="E21" s="66">
        <f>VLOOKUP(ExtComp[[#This Row],[DEVELOPMENT]],Data[],9,FALSE)</f>
        <v>0</v>
      </c>
      <c r="F21" s="66" t="str">
        <f>IFERROR(VLOOKUP(ExtComp[[#This Row],[DEVELOPMENT]],Data[],4,FALSE),"")</f>
        <v/>
      </c>
      <c r="G21" s="66" t="str">
        <f>IF(ExtComp[[#This Row],[RAD/PACT]]="","",IF(ExtComp[[#This Row],[RAD/PACT]]&lt;=2025,"Yes",""))</f>
        <v/>
      </c>
      <c r="H21" s="67" t="str">
        <f ca="1">IF(VLOOKUP(ExtComp[[#This Row],[DEVELOPMENT]],Data[],11,FALSE)=0,"",DATEDIF(VLOOKUP(ExtComp[[#This Row],[DEVELOPMENT]],Data[],13,FALSE),TODAY(),"Y"))</f>
        <v/>
      </c>
      <c r="I21" s="67">
        <f>IF(ExtComp[[#This Row],[RAD/PACT]]="",VLOOKUP(ExtComp[[#This Row],[DEVELOPMENT]],Data[],11,FALSE),IF(ExtComp[[#This Row],[RAD/PACT by 2025]]="yes",0,VLOOKUP(ExtComp[[#This Row],[DEVELOPMENT]],Data[],11,FALSE)))</f>
        <v>0</v>
      </c>
      <c r="J21" s="63">
        <f ca="1">(ExtComp[[#This Row],['# to Replace]]*'Unit Costs'!$B$6)*(1+((ExtComp[[#This Row],[est. Year]]-YEAR(TODAY()))*$J$2))</f>
        <v>0</v>
      </c>
      <c r="K21" s="67">
        <f>SUM(INDEX(ExtComp['# to Replace],1):ExtComp[[#This Row],['# to Replace]])</f>
        <v>0</v>
      </c>
      <c r="L21" s="67">
        <f>ROUNDDOWN(ExtComp[[#This Row],[Count]]/50,0)+$L$1</f>
        <v>2020</v>
      </c>
      <c r="M21" s="81">
        <f t="shared" ca="1" si="0"/>
        <v>0</v>
      </c>
      <c r="N21" s="81" t="str">
        <f>IFERROR(VLOOKUP(ExtComp[[#This Row],[DEVELOPMENT]],Data[],22,FALSE),"")</f>
        <v/>
      </c>
      <c r="O21" s="88" t="str">
        <f>IFERROR(VLOOKUP(ExtComp[[#This Row],[DEVELOPMENT]],Data[],23,FALSE),"")</f>
        <v/>
      </c>
    </row>
    <row r="22" spans="1:15" x14ac:dyDescent="0.25">
      <c r="A22" s="13" t="s">
        <v>345</v>
      </c>
      <c r="B22" s="9" t="str">
        <f>VLOOKUP(A22,Data[],2,FALSE)</f>
        <v>BROOKLYN</v>
      </c>
      <c r="C22" s="9"/>
      <c r="D22" s="66">
        <f>VLOOKUP(ExtComp[[#This Row],[DEVELOPMENT]],Data[],8,FALSE)</f>
        <v>0</v>
      </c>
      <c r="E22" s="66">
        <f>VLOOKUP(ExtComp[[#This Row],[DEVELOPMENT]],Data[],9,FALSE)</f>
        <v>0</v>
      </c>
      <c r="F22" s="66">
        <f>IFERROR(VLOOKUP(ExtComp[[#This Row],[DEVELOPMENT]],Data[],4,FALSE),"")</f>
        <v>2019</v>
      </c>
      <c r="G22" s="66" t="str">
        <f>IF(ExtComp[[#This Row],[RAD/PACT]]="","",IF(ExtComp[[#This Row],[RAD/PACT]]&lt;=2025,"Yes",""))</f>
        <v>Yes</v>
      </c>
      <c r="H22" s="67" t="str">
        <f ca="1">IF(VLOOKUP(ExtComp[[#This Row],[DEVELOPMENT]],Data[],11,FALSE)=0,"",DATEDIF(VLOOKUP(ExtComp[[#This Row],[DEVELOPMENT]],Data[],13,FALSE),TODAY(),"Y"))</f>
        <v/>
      </c>
      <c r="I22" s="67">
        <f>IF(ExtComp[[#This Row],[RAD/PACT]]="",VLOOKUP(ExtComp[[#This Row],[DEVELOPMENT]],Data[],11,FALSE),IF(ExtComp[[#This Row],[RAD/PACT by 2025]]="yes",0,VLOOKUP(ExtComp[[#This Row],[DEVELOPMENT]],Data[],11,FALSE)))</f>
        <v>0</v>
      </c>
      <c r="J22" s="63">
        <f ca="1">(ExtComp[[#This Row],['# to Replace]]*'Unit Costs'!$B$6)*(1+((ExtComp[[#This Row],[est. Year]]-YEAR(TODAY()))*$J$2))</f>
        <v>0</v>
      </c>
      <c r="K22" s="67">
        <f>SUM(INDEX(ExtComp['# to Replace],1):ExtComp[[#This Row],['# to Replace]])</f>
        <v>0</v>
      </c>
      <c r="L22" s="67">
        <f>ROUNDDOWN(ExtComp[[#This Row],[Count]]/50,0)+$L$1</f>
        <v>2020</v>
      </c>
      <c r="M22" s="81">
        <f t="shared" ca="1" si="0"/>
        <v>0</v>
      </c>
      <c r="N22" s="81" t="str">
        <f>IFERROR(VLOOKUP(ExtComp[[#This Row],[DEVELOPMENT]],Data[],22,FALSE),"")</f>
        <v/>
      </c>
      <c r="O22" s="88" t="str">
        <f>IFERROR(VLOOKUP(ExtComp[[#This Row],[DEVELOPMENT]],Data[],23,FALSE),"")</f>
        <v/>
      </c>
    </row>
    <row r="23" spans="1:15" x14ac:dyDescent="0.25">
      <c r="A23" s="13" t="s">
        <v>47</v>
      </c>
      <c r="B23" s="1" t="str">
        <f>VLOOKUP(A23,Data[],2,FALSE)</f>
        <v>BRONX</v>
      </c>
      <c r="C23" s="9" t="s">
        <v>68</v>
      </c>
      <c r="D23" s="9" t="str">
        <f>VLOOKUP(ExtComp[[#This Row],[DEVELOPMENT]],Data[],8,FALSE)</f>
        <v>Zone 1</v>
      </c>
      <c r="E23" s="9" t="str">
        <f>VLOOKUP(ExtComp[[#This Row],[DEVELOPMENT]],Data[],9,FALSE)</f>
        <v>$</v>
      </c>
      <c r="F23" s="9" t="str">
        <f>IFERROR(VLOOKUP(ExtComp[[#This Row],[DEVELOPMENT]],Data[],4,FALSE),"")</f>
        <v/>
      </c>
      <c r="G23" s="9" t="str">
        <f>IF(ExtComp[[#This Row],[RAD/PACT]]="","",IF(ExtComp[[#This Row],[RAD/PACT]]&lt;=2025,"Yes",""))</f>
        <v/>
      </c>
      <c r="H23" s="1" t="str">
        <f ca="1">IF(VLOOKUP(ExtComp[[#This Row],[DEVELOPMENT]],Data[],11,FALSE)=0,"",DATEDIF(VLOOKUP(ExtComp[[#This Row],[DEVELOPMENT]],Data[],13,FALSE),TODAY(),"Y"))</f>
        <v/>
      </c>
      <c r="I23" s="1">
        <f>IF(ExtComp[[#This Row],[RAD/PACT]]="",VLOOKUP(ExtComp[[#This Row],[DEVELOPMENT]],Data[],11,FALSE),IF(ExtComp[[#This Row],[RAD/PACT by 2025]]="yes",0,VLOOKUP(ExtComp[[#This Row],[DEVELOPMENT]],Data[],11,FALSE)))</f>
        <v>0</v>
      </c>
      <c r="J23" s="63">
        <f ca="1">(ExtComp[[#This Row],['# to Replace]]*'Unit Costs'!$B$6)*(1+((ExtComp[[#This Row],[est. Year]]-YEAR(TODAY()))*$J$2))</f>
        <v>0</v>
      </c>
      <c r="K23" s="1">
        <f>SUM(INDEX(ExtComp['# to Replace],1):ExtComp[[#This Row],['# to Replace]])</f>
        <v>0</v>
      </c>
      <c r="L23" s="1">
        <f>ROUNDDOWN(ExtComp[[#This Row],[Count]]/50,0)+$L$1</f>
        <v>2020</v>
      </c>
      <c r="M23" s="81">
        <f t="shared" ca="1" si="0"/>
        <v>0</v>
      </c>
      <c r="N23" s="81" t="str">
        <f>IFERROR(VLOOKUP(ExtComp[[#This Row],[DEVELOPMENT]],Data[],22,FALSE),"")</f>
        <v/>
      </c>
      <c r="O23" s="88" t="str">
        <f>IFERROR(VLOOKUP(ExtComp[[#This Row],[DEVELOPMENT]],Data[],23,FALSE),"")</f>
        <v/>
      </c>
    </row>
    <row r="24" spans="1:15" x14ac:dyDescent="0.25">
      <c r="A24" s="13" t="s">
        <v>344</v>
      </c>
      <c r="B24" s="9" t="str">
        <f>VLOOKUP(A24,Data[],2,FALSE)</f>
        <v>MANHATTAN</v>
      </c>
      <c r="C24" s="9"/>
      <c r="D24" s="66">
        <f>VLOOKUP(ExtComp[[#This Row],[DEVELOPMENT]],Data[],8,FALSE)</f>
        <v>0</v>
      </c>
      <c r="E24" s="66">
        <f>VLOOKUP(ExtComp[[#This Row],[DEVELOPMENT]],Data[],9,FALSE)</f>
        <v>0</v>
      </c>
      <c r="F24" s="66">
        <f>IFERROR(VLOOKUP(ExtComp[[#This Row],[DEVELOPMENT]],Data[],4,FALSE),"")</f>
        <v>2019</v>
      </c>
      <c r="G24" s="66" t="str">
        <f>IF(ExtComp[[#This Row],[RAD/PACT]]="","",IF(ExtComp[[#This Row],[RAD/PACT]]&lt;=2025,"Yes",""))</f>
        <v>Yes</v>
      </c>
      <c r="H24" s="67" t="str">
        <f ca="1">IF(VLOOKUP(ExtComp[[#This Row],[DEVELOPMENT]],Data[],11,FALSE)=0,"",DATEDIF(VLOOKUP(ExtComp[[#This Row],[DEVELOPMENT]],Data[],13,FALSE),TODAY(),"Y"))</f>
        <v/>
      </c>
      <c r="I24" s="67">
        <f>IF(ExtComp[[#This Row],[RAD/PACT]]="",VLOOKUP(ExtComp[[#This Row],[DEVELOPMENT]],Data[],11,FALSE),IF(ExtComp[[#This Row],[RAD/PACT by 2025]]="yes",0,VLOOKUP(ExtComp[[#This Row],[DEVELOPMENT]],Data[],11,FALSE)))</f>
        <v>0</v>
      </c>
      <c r="J24" s="63">
        <f ca="1">(ExtComp[[#This Row],['# to Replace]]*'Unit Costs'!$B$6)*(1+((ExtComp[[#This Row],[est. Year]]-YEAR(TODAY()))*$J$2))</f>
        <v>0</v>
      </c>
      <c r="K24" s="67">
        <f>SUM(INDEX(ExtComp['# to Replace],1):ExtComp[[#This Row],['# to Replace]])</f>
        <v>0</v>
      </c>
      <c r="L24" s="67">
        <f>ROUNDDOWN(ExtComp[[#This Row],[Count]]/50,0)+$L$1</f>
        <v>2020</v>
      </c>
      <c r="M24" s="81">
        <f t="shared" ca="1" si="0"/>
        <v>0</v>
      </c>
      <c r="N24" s="81" t="str">
        <f>IFERROR(VLOOKUP(ExtComp[[#This Row],[DEVELOPMENT]],Data[],22,FALSE),"")</f>
        <v/>
      </c>
      <c r="O24" s="88" t="str">
        <f>IFERROR(VLOOKUP(ExtComp[[#This Row],[DEVELOPMENT]],Data[],23,FALSE),"")</f>
        <v/>
      </c>
    </row>
    <row r="25" spans="1:15" x14ac:dyDescent="0.25">
      <c r="A25" s="13" t="s">
        <v>343</v>
      </c>
      <c r="B25" s="9" t="str">
        <f>VLOOKUP(A25,Data[],2,FALSE)</f>
        <v>MANHATTAN</v>
      </c>
      <c r="C25" s="9"/>
      <c r="D25" s="66">
        <f>VLOOKUP(ExtComp[[#This Row],[DEVELOPMENT]],Data[],8,FALSE)</f>
        <v>0</v>
      </c>
      <c r="E25" s="66">
        <f>VLOOKUP(ExtComp[[#This Row],[DEVELOPMENT]],Data[],9,FALSE)</f>
        <v>0</v>
      </c>
      <c r="F25" s="66">
        <f>IFERROR(VLOOKUP(ExtComp[[#This Row],[DEVELOPMENT]],Data[],4,FALSE),"")</f>
        <v>2019</v>
      </c>
      <c r="G25" s="66" t="str">
        <f>IF(ExtComp[[#This Row],[RAD/PACT]]="","",IF(ExtComp[[#This Row],[RAD/PACT]]&lt;=2025,"Yes",""))</f>
        <v>Yes</v>
      </c>
      <c r="H25" s="67" t="str">
        <f ca="1">IF(VLOOKUP(ExtComp[[#This Row],[DEVELOPMENT]],Data[],11,FALSE)=0,"",DATEDIF(VLOOKUP(ExtComp[[#This Row],[DEVELOPMENT]],Data[],13,FALSE),TODAY(),"Y"))</f>
        <v/>
      </c>
      <c r="I25" s="67">
        <f>IF(ExtComp[[#This Row],[RAD/PACT]]="",VLOOKUP(ExtComp[[#This Row],[DEVELOPMENT]],Data[],11,FALSE),IF(ExtComp[[#This Row],[RAD/PACT by 2025]]="yes",0,VLOOKUP(ExtComp[[#This Row],[DEVELOPMENT]],Data[],11,FALSE)))</f>
        <v>0</v>
      </c>
      <c r="J25" s="63">
        <f ca="1">(ExtComp[[#This Row],['# to Replace]]*'Unit Costs'!$B$6)*(1+((ExtComp[[#This Row],[est. Year]]-YEAR(TODAY()))*$J$2))</f>
        <v>0</v>
      </c>
      <c r="K25" s="67">
        <f>SUM(INDEX(ExtComp['# to Replace],1):ExtComp[[#This Row],['# to Replace]])</f>
        <v>0</v>
      </c>
      <c r="L25" s="67">
        <f>ROUNDDOWN(ExtComp[[#This Row],[Count]]/50,0)+$L$1</f>
        <v>2020</v>
      </c>
      <c r="M25" s="81">
        <f t="shared" ca="1" si="0"/>
        <v>0</v>
      </c>
      <c r="N25" s="81" t="str">
        <f>IFERROR(VLOOKUP(ExtComp[[#This Row],[DEVELOPMENT]],Data[],22,FALSE),"")</f>
        <v/>
      </c>
      <c r="O25" s="88" t="str">
        <f>IFERROR(VLOOKUP(ExtComp[[#This Row],[DEVELOPMENT]],Data[],23,FALSE),"")</f>
        <v/>
      </c>
    </row>
    <row r="26" spans="1:15" x14ac:dyDescent="0.25">
      <c r="A26" s="13" t="s">
        <v>342</v>
      </c>
      <c r="B26" s="9" t="str">
        <f>VLOOKUP(A26,Data[],2,FALSE)</f>
        <v>MANHATTAN</v>
      </c>
      <c r="C26" s="9" t="s">
        <v>68</v>
      </c>
      <c r="D26" s="66">
        <f>VLOOKUP(ExtComp[[#This Row],[DEVELOPMENT]],Data[],8,FALSE)</f>
        <v>0</v>
      </c>
      <c r="E26" s="66">
        <f>VLOOKUP(ExtComp[[#This Row],[DEVELOPMENT]],Data[],9,FALSE)</f>
        <v>0</v>
      </c>
      <c r="F26" s="66" t="str">
        <f>IFERROR(VLOOKUP(ExtComp[[#This Row],[DEVELOPMENT]],Data[],4,FALSE),"")</f>
        <v/>
      </c>
      <c r="G26" s="66" t="str">
        <f>IF(ExtComp[[#This Row],[RAD/PACT]]="","",IF(ExtComp[[#This Row],[RAD/PACT]]&lt;=2025,"Yes",""))</f>
        <v/>
      </c>
      <c r="H26" s="67" t="str">
        <f ca="1">IF(VLOOKUP(ExtComp[[#This Row],[DEVELOPMENT]],Data[],11,FALSE)=0,"",DATEDIF(VLOOKUP(ExtComp[[#This Row],[DEVELOPMENT]],Data[],13,FALSE),TODAY(),"Y"))</f>
        <v/>
      </c>
      <c r="I26" s="67">
        <f>IF(ExtComp[[#This Row],[RAD/PACT]]="",VLOOKUP(ExtComp[[#This Row],[DEVELOPMENT]],Data[],11,FALSE),IF(ExtComp[[#This Row],[RAD/PACT by 2025]]="yes",0,VLOOKUP(ExtComp[[#This Row],[DEVELOPMENT]],Data[],11,FALSE)))</f>
        <v>0</v>
      </c>
      <c r="J26" s="63">
        <f ca="1">(ExtComp[[#This Row],['# to Replace]]*'Unit Costs'!$B$6)*(1+((ExtComp[[#This Row],[est. Year]]-YEAR(TODAY()))*$J$2))</f>
        <v>0</v>
      </c>
      <c r="K26" s="67">
        <f>SUM(INDEX(ExtComp['# to Replace],1):ExtComp[[#This Row],['# to Replace]])</f>
        <v>0</v>
      </c>
      <c r="L26" s="67">
        <f>ROUNDDOWN(ExtComp[[#This Row],[Count]]/50,0)+$L$1</f>
        <v>2020</v>
      </c>
      <c r="M26" s="81">
        <f t="shared" ca="1" si="0"/>
        <v>0</v>
      </c>
      <c r="N26" s="81" t="str">
        <f>IFERROR(VLOOKUP(ExtComp[[#This Row],[DEVELOPMENT]],Data[],22,FALSE),"")</f>
        <v/>
      </c>
      <c r="O26" s="88" t="str">
        <f>IFERROR(VLOOKUP(ExtComp[[#This Row],[DEVELOPMENT]],Data[],23,FALSE),"")</f>
        <v/>
      </c>
    </row>
    <row r="27" spans="1:15" x14ac:dyDescent="0.25">
      <c r="A27" s="13" t="s">
        <v>341</v>
      </c>
      <c r="B27" s="9" t="str">
        <f>VLOOKUP(A27,Data[],2,FALSE)</f>
        <v>MANHATTAN</v>
      </c>
      <c r="C27" s="9" t="s">
        <v>68</v>
      </c>
      <c r="D27" s="66">
        <f>VLOOKUP(ExtComp[[#This Row],[DEVELOPMENT]],Data[],8,FALSE)</f>
        <v>0</v>
      </c>
      <c r="E27" s="66">
        <f>VLOOKUP(ExtComp[[#This Row],[DEVELOPMENT]],Data[],9,FALSE)</f>
        <v>0</v>
      </c>
      <c r="F27" s="66" t="str">
        <f>IFERROR(VLOOKUP(ExtComp[[#This Row],[DEVELOPMENT]],Data[],4,FALSE),"")</f>
        <v/>
      </c>
      <c r="G27" s="66" t="str">
        <f>IF(ExtComp[[#This Row],[RAD/PACT]]="","",IF(ExtComp[[#This Row],[RAD/PACT]]&lt;=2025,"Yes",""))</f>
        <v/>
      </c>
      <c r="H27" s="67" t="str">
        <f ca="1">IF(VLOOKUP(ExtComp[[#This Row],[DEVELOPMENT]],Data[],11,FALSE)=0,"",DATEDIF(VLOOKUP(ExtComp[[#This Row],[DEVELOPMENT]],Data[],13,FALSE),TODAY(),"Y"))</f>
        <v/>
      </c>
      <c r="I27" s="67">
        <f>IF(ExtComp[[#This Row],[RAD/PACT]]="",VLOOKUP(ExtComp[[#This Row],[DEVELOPMENT]],Data[],11,FALSE),IF(ExtComp[[#This Row],[RAD/PACT by 2025]]="yes",0,VLOOKUP(ExtComp[[#This Row],[DEVELOPMENT]],Data[],11,FALSE)))</f>
        <v>0</v>
      </c>
      <c r="J27" s="63">
        <f ca="1">(ExtComp[[#This Row],['# to Replace]]*'Unit Costs'!$B$6)*(1+((ExtComp[[#This Row],[est. Year]]-YEAR(TODAY()))*$J$2))</f>
        <v>0</v>
      </c>
      <c r="K27" s="67">
        <f>SUM(INDEX(ExtComp['# to Replace],1):ExtComp[[#This Row],['# to Replace]])</f>
        <v>0</v>
      </c>
      <c r="L27" s="67">
        <f>ROUNDDOWN(ExtComp[[#This Row],[Count]]/50,0)+$L$1</f>
        <v>2020</v>
      </c>
      <c r="M27" s="81">
        <f t="shared" ca="1" si="0"/>
        <v>0</v>
      </c>
      <c r="N27" s="81" t="str">
        <f>IFERROR(VLOOKUP(ExtComp[[#This Row],[DEVELOPMENT]],Data[],22,FALSE),"")</f>
        <v/>
      </c>
      <c r="O27" s="88" t="str">
        <f>IFERROR(VLOOKUP(ExtComp[[#This Row],[DEVELOPMENT]],Data[],23,FALSE),"")</f>
        <v/>
      </c>
    </row>
    <row r="28" spans="1:15" x14ac:dyDescent="0.25">
      <c r="A28" s="13" t="s">
        <v>101</v>
      </c>
      <c r="B28" s="1" t="str">
        <f>VLOOKUP(A28,Data[],2,FALSE)</f>
        <v>MANHATTAN</v>
      </c>
      <c r="C28" s="9" t="s">
        <v>68</v>
      </c>
      <c r="D28" s="9" t="str">
        <f>VLOOKUP(ExtComp[[#This Row],[DEVELOPMENT]],Data[],8,FALSE)</f>
        <v>Zone 3</v>
      </c>
      <c r="E28" s="9" t="str">
        <f>VLOOKUP(ExtComp[[#This Row],[DEVELOPMENT]],Data[],9,FALSE)</f>
        <v>$</v>
      </c>
      <c r="F28" s="9">
        <f>IFERROR(VLOOKUP(ExtComp[[#This Row],[DEVELOPMENT]],Data[],4,FALSE),"")</f>
        <v>2019</v>
      </c>
      <c r="G28" s="9" t="str">
        <f>IF(ExtComp[[#This Row],[RAD/PACT]]="","",IF(ExtComp[[#This Row],[RAD/PACT]]&lt;=2025,"Yes",""))</f>
        <v>Yes</v>
      </c>
      <c r="H28" s="1" t="str">
        <f ca="1">IF(VLOOKUP(ExtComp[[#This Row],[DEVELOPMENT]],Data[],11,FALSE)=0,"",DATEDIF(VLOOKUP(ExtComp[[#This Row],[DEVELOPMENT]],Data[],13,FALSE),TODAY(),"Y"))</f>
        <v/>
      </c>
      <c r="I28" s="1">
        <f>IF(ExtComp[[#This Row],[RAD/PACT]]="",VLOOKUP(ExtComp[[#This Row],[DEVELOPMENT]],Data[],11,FALSE),IF(ExtComp[[#This Row],[RAD/PACT by 2025]]="yes",0,VLOOKUP(ExtComp[[#This Row],[DEVELOPMENT]],Data[],11,FALSE)))</f>
        <v>0</v>
      </c>
      <c r="J28" s="63">
        <f ca="1">(ExtComp[[#This Row],['# to Replace]]*'Unit Costs'!$B$6)*(1+((ExtComp[[#This Row],[est. Year]]-YEAR(TODAY()))*$J$2))</f>
        <v>0</v>
      </c>
      <c r="K28" s="1">
        <f>SUM(INDEX(ExtComp['# to Replace],1):ExtComp[[#This Row],['# to Replace]])</f>
        <v>0</v>
      </c>
      <c r="L28" s="1">
        <f>ROUNDDOWN(ExtComp[[#This Row],[Count]]/50,0)+$L$1</f>
        <v>2020</v>
      </c>
      <c r="M28" s="81">
        <f t="shared" ca="1" si="0"/>
        <v>0</v>
      </c>
      <c r="N28" s="81" t="str">
        <f>IFERROR(VLOOKUP(ExtComp[[#This Row],[DEVELOPMENT]],Data[],22,FALSE),"")</f>
        <v/>
      </c>
      <c r="O28" s="67" t="str">
        <f>IFERROR(VLOOKUP(ExtComp[[#This Row],[DEVELOPMENT]],Data[],23,FALSE),"")</f>
        <v/>
      </c>
    </row>
    <row r="29" spans="1:15" x14ac:dyDescent="0.25">
      <c r="A29" s="13" t="s">
        <v>340</v>
      </c>
      <c r="B29" s="9" t="str">
        <f>VLOOKUP(A29,Data[],2,FALSE)</f>
        <v>MANHATTAN</v>
      </c>
      <c r="C29" s="9"/>
      <c r="D29" s="66">
        <f>VLOOKUP(ExtComp[[#This Row],[DEVELOPMENT]],Data[],8,FALSE)</f>
        <v>0</v>
      </c>
      <c r="E29" s="66">
        <f>VLOOKUP(ExtComp[[#This Row],[DEVELOPMENT]],Data[],9,FALSE)</f>
        <v>0</v>
      </c>
      <c r="F29" s="66">
        <f>IFERROR(VLOOKUP(ExtComp[[#This Row],[DEVELOPMENT]],Data[],4,FALSE),"")</f>
        <v>2019</v>
      </c>
      <c r="G29" s="66" t="str">
        <f>IF(ExtComp[[#This Row],[RAD/PACT]]="","",IF(ExtComp[[#This Row],[RAD/PACT]]&lt;=2025,"Yes",""))</f>
        <v>Yes</v>
      </c>
      <c r="H29" s="67" t="str">
        <f ca="1">IF(VLOOKUP(ExtComp[[#This Row],[DEVELOPMENT]],Data[],11,FALSE)=0,"",DATEDIF(VLOOKUP(ExtComp[[#This Row],[DEVELOPMENT]],Data[],13,FALSE),TODAY(),"Y"))</f>
        <v/>
      </c>
      <c r="I29" s="67">
        <f>IF(ExtComp[[#This Row],[RAD/PACT]]="",VLOOKUP(ExtComp[[#This Row],[DEVELOPMENT]],Data[],11,FALSE),IF(ExtComp[[#This Row],[RAD/PACT by 2025]]="yes",0,VLOOKUP(ExtComp[[#This Row],[DEVELOPMENT]],Data[],11,FALSE)))</f>
        <v>0</v>
      </c>
      <c r="J29" s="63">
        <f ca="1">(ExtComp[[#This Row],['# to Replace]]*'Unit Costs'!$B$6)*(1+((ExtComp[[#This Row],[est. Year]]-YEAR(TODAY()))*$J$2))</f>
        <v>0</v>
      </c>
      <c r="K29" s="67">
        <f>SUM(INDEX(ExtComp['# to Replace],1):ExtComp[[#This Row],['# to Replace]])</f>
        <v>0</v>
      </c>
      <c r="L29" s="67">
        <f>ROUNDDOWN(ExtComp[[#This Row],[Count]]/50,0)+$L$1</f>
        <v>2020</v>
      </c>
      <c r="M29" s="81">
        <f t="shared" ca="1" si="0"/>
        <v>0</v>
      </c>
      <c r="N29" s="81" t="str">
        <f>IFERROR(VLOOKUP(ExtComp[[#This Row],[DEVELOPMENT]],Data[],22,FALSE),"")</f>
        <v/>
      </c>
      <c r="O29" s="88" t="str">
        <f>IFERROR(VLOOKUP(ExtComp[[#This Row],[DEVELOPMENT]],Data[],23,FALSE),"")</f>
        <v/>
      </c>
    </row>
    <row r="30" spans="1:15" x14ac:dyDescent="0.25">
      <c r="A30" s="13" t="s">
        <v>137</v>
      </c>
      <c r="B30" s="1" t="str">
        <f>VLOOKUP(A30,Data[],2,FALSE)</f>
        <v>MANHATTAN</v>
      </c>
      <c r="C30" s="9" t="s">
        <v>68</v>
      </c>
      <c r="D30" s="9" t="str">
        <f>VLOOKUP(ExtComp[[#This Row],[DEVELOPMENT]],Data[],8,FALSE)</f>
        <v>Zone 2</v>
      </c>
      <c r="E30" s="9" t="str">
        <f>VLOOKUP(ExtComp[[#This Row],[DEVELOPMENT]],Data[],9,FALSE)</f>
        <v>$$$</v>
      </c>
      <c r="F30" s="9">
        <f>IFERROR(VLOOKUP(ExtComp[[#This Row],[DEVELOPMENT]],Data[],4,FALSE),"")</f>
        <v>2023</v>
      </c>
      <c r="G30" s="9" t="str">
        <f>IF(ExtComp[[#This Row],[RAD/PACT]]="","",IF(ExtComp[[#This Row],[RAD/PACT]]&lt;=2025,"Yes",""))</f>
        <v>Yes</v>
      </c>
      <c r="H30" s="1" t="str">
        <f ca="1">IF(VLOOKUP(ExtComp[[#This Row],[DEVELOPMENT]],Data[],11,FALSE)=0,"",DATEDIF(VLOOKUP(ExtComp[[#This Row],[DEVELOPMENT]],Data[],13,FALSE),TODAY(),"Y"))</f>
        <v/>
      </c>
      <c r="I30" s="1">
        <f>IF(ExtComp[[#This Row],[RAD/PACT]]="",VLOOKUP(ExtComp[[#This Row],[DEVELOPMENT]],Data[],11,FALSE),IF(ExtComp[[#This Row],[RAD/PACT by 2025]]="yes",0,VLOOKUP(ExtComp[[#This Row],[DEVELOPMENT]],Data[],11,FALSE)))</f>
        <v>0</v>
      </c>
      <c r="J30" s="63">
        <f ca="1">(ExtComp[[#This Row],['# to Replace]]*'Unit Costs'!$B$6)*(1+((ExtComp[[#This Row],[est. Year]]-YEAR(TODAY()))*$J$2))</f>
        <v>0</v>
      </c>
      <c r="K30" s="1">
        <f>SUM(INDEX(ExtComp['# to Replace],1):ExtComp[[#This Row],['# to Replace]])</f>
        <v>0</v>
      </c>
      <c r="L30" s="1">
        <f>ROUNDDOWN(ExtComp[[#This Row],[Count]]/50,0)+$L$1</f>
        <v>2020</v>
      </c>
      <c r="M30" s="81">
        <f t="shared" ca="1" si="0"/>
        <v>0</v>
      </c>
      <c r="N30" s="81" t="str">
        <f>IFERROR(VLOOKUP(ExtComp[[#This Row],[DEVELOPMENT]],Data[],22,FALSE),"")</f>
        <v/>
      </c>
      <c r="O30" s="88" t="str">
        <f>IFERROR(VLOOKUP(ExtComp[[#This Row],[DEVELOPMENT]],Data[],23,FALSE),"")</f>
        <v/>
      </c>
    </row>
    <row r="31" spans="1:15" x14ac:dyDescent="0.25">
      <c r="A31" s="82" t="s">
        <v>66</v>
      </c>
      <c r="B31" s="1" t="str">
        <f>VLOOKUP(A31,Data[],2,FALSE)</f>
        <v>MANHATTAN</v>
      </c>
      <c r="C31" s="9" t="s">
        <v>68</v>
      </c>
      <c r="D31" s="9" t="str">
        <f>VLOOKUP(ExtComp[[#This Row],[DEVELOPMENT]],Data[],8,FALSE)</f>
        <v>Zone 1</v>
      </c>
      <c r="E31" s="9" t="str">
        <f>VLOOKUP(ExtComp[[#This Row],[DEVELOPMENT]],Data[],9,FALSE)</f>
        <v>$</v>
      </c>
      <c r="F31" s="9" t="str">
        <f>IFERROR(VLOOKUP(ExtComp[[#This Row],[DEVELOPMENT]],Data[],4,FALSE),"")</f>
        <v/>
      </c>
      <c r="G31" s="9" t="str">
        <f>IF(ExtComp[[#This Row],[RAD/PACT]]="","",IF(ExtComp[[#This Row],[RAD/PACT]]&lt;=2025,"Yes",""))</f>
        <v/>
      </c>
      <c r="H31" s="1" t="str">
        <f ca="1">IF(VLOOKUP(ExtComp[[#This Row],[DEVELOPMENT]],Data[],11,FALSE)=0,"",DATEDIF(VLOOKUP(ExtComp[[#This Row],[DEVELOPMENT]],Data[],13,FALSE),TODAY(),"Y"))</f>
        <v/>
      </c>
      <c r="I31" s="1">
        <f>IF(ExtComp[[#This Row],[RAD/PACT]]="",VLOOKUP(ExtComp[[#This Row],[DEVELOPMENT]],Data[],11,FALSE),IF(ExtComp[[#This Row],[RAD/PACT by 2025]]="yes",0,VLOOKUP(ExtComp[[#This Row],[DEVELOPMENT]],Data[],11,FALSE)))</f>
        <v>0</v>
      </c>
      <c r="J31" s="63">
        <f ca="1">(ExtComp[[#This Row],['# to Replace]]*'Unit Costs'!$B$6)*(1+((ExtComp[[#This Row],[est. Year]]-YEAR(TODAY()))*$J$2))</f>
        <v>0</v>
      </c>
      <c r="K31" s="1">
        <f>SUM(INDEX(ExtComp['# to Replace],1):ExtComp[[#This Row],['# to Replace]])</f>
        <v>0</v>
      </c>
      <c r="L31" s="1">
        <f>ROUNDDOWN(ExtComp[[#This Row],[Count]]/50,0)+$L$1</f>
        <v>2020</v>
      </c>
      <c r="M31" s="81">
        <f t="shared" ca="1" si="0"/>
        <v>0</v>
      </c>
      <c r="N31" s="81" t="str">
        <f>IFERROR(VLOOKUP(ExtComp[[#This Row],[DEVELOPMENT]],Data[],22,FALSE),"")</f>
        <v/>
      </c>
      <c r="O31" s="88" t="str">
        <f>IFERROR(VLOOKUP(ExtComp[[#This Row],[DEVELOPMENT]],Data[],23,FALSE),"")</f>
        <v/>
      </c>
    </row>
    <row r="32" spans="1:15" x14ac:dyDescent="0.25">
      <c r="A32" s="13" t="s">
        <v>127</v>
      </c>
      <c r="B32" s="1" t="str">
        <f>VLOOKUP(A32,Data[],2,FALSE)</f>
        <v>MANHATTAN</v>
      </c>
      <c r="C32" s="9" t="s">
        <v>68</v>
      </c>
      <c r="D32" s="9" t="str">
        <f>VLOOKUP(ExtComp[[#This Row],[DEVELOPMENT]],Data[],8,FALSE)</f>
        <v>Zone 2</v>
      </c>
      <c r="E32" s="9" t="str">
        <f>VLOOKUP(ExtComp[[#This Row],[DEVELOPMENT]],Data[],9,FALSE)</f>
        <v>$</v>
      </c>
      <c r="F32" s="9" t="str">
        <f>IFERROR(VLOOKUP(ExtComp[[#This Row],[DEVELOPMENT]],Data[],4,FALSE),"")</f>
        <v/>
      </c>
      <c r="G32" s="9" t="str">
        <f>IF(ExtComp[[#This Row],[RAD/PACT]]="","",IF(ExtComp[[#This Row],[RAD/PACT]]&lt;=2025,"Yes",""))</f>
        <v/>
      </c>
      <c r="H32" s="1" t="str">
        <f ca="1">IF(VLOOKUP(ExtComp[[#This Row],[DEVELOPMENT]],Data[],11,FALSE)=0,"",DATEDIF(VLOOKUP(ExtComp[[#This Row],[DEVELOPMENT]],Data[],13,FALSE),TODAY(),"Y"))</f>
        <v/>
      </c>
      <c r="I32" s="1">
        <f>IF(ExtComp[[#This Row],[RAD/PACT]]="",VLOOKUP(ExtComp[[#This Row],[DEVELOPMENT]],Data[],11,FALSE),IF(ExtComp[[#This Row],[RAD/PACT by 2025]]="yes",0,VLOOKUP(ExtComp[[#This Row],[DEVELOPMENT]],Data[],11,FALSE)))</f>
        <v>0</v>
      </c>
      <c r="J32" s="63">
        <f ca="1">(ExtComp[[#This Row],['# to Replace]]*'Unit Costs'!$B$6)*(1+((ExtComp[[#This Row],[est. Year]]-YEAR(TODAY()))*$J$2))</f>
        <v>0</v>
      </c>
      <c r="K32" s="1">
        <f>SUM(INDEX(ExtComp['# to Replace],1):ExtComp[[#This Row],['# to Replace]])</f>
        <v>0</v>
      </c>
      <c r="L32" s="1">
        <f>ROUNDDOWN(ExtComp[[#This Row],[Count]]/50,0)+$L$1</f>
        <v>2020</v>
      </c>
      <c r="M32" s="81">
        <f t="shared" ca="1" si="0"/>
        <v>0</v>
      </c>
      <c r="N32" s="81" t="str">
        <f>IFERROR(VLOOKUP(ExtComp[[#This Row],[DEVELOPMENT]],Data[],22,FALSE),"")</f>
        <v/>
      </c>
      <c r="O32" s="88" t="str">
        <f>IFERROR(VLOOKUP(ExtComp[[#This Row],[DEVELOPMENT]],Data[],23,FALSE),"")</f>
        <v/>
      </c>
    </row>
    <row r="33" spans="1:15" x14ac:dyDescent="0.25">
      <c r="A33" s="13" t="s">
        <v>108</v>
      </c>
      <c r="B33" s="1" t="str">
        <f>VLOOKUP(A33,Data[],2,FALSE)</f>
        <v>MANHATTAN</v>
      </c>
      <c r="C33" s="9" t="s">
        <v>68</v>
      </c>
      <c r="D33" s="9" t="str">
        <f>VLOOKUP(ExtComp[[#This Row],[DEVELOPMENT]],Data[],8,FALSE)</f>
        <v>Zone 1</v>
      </c>
      <c r="E33" s="9" t="str">
        <f>VLOOKUP(ExtComp[[#This Row],[DEVELOPMENT]],Data[],9,FALSE)</f>
        <v>$</v>
      </c>
      <c r="F33" s="9" t="str">
        <f>IFERROR(VLOOKUP(ExtComp[[#This Row],[DEVELOPMENT]],Data[],4,FALSE),"")</f>
        <v/>
      </c>
      <c r="G33" s="9" t="str">
        <f>IF(ExtComp[[#This Row],[RAD/PACT]]="","",IF(ExtComp[[#This Row],[RAD/PACT]]&lt;=2025,"Yes",""))</f>
        <v/>
      </c>
      <c r="H33" s="1" t="str">
        <f ca="1">IF(VLOOKUP(ExtComp[[#This Row],[DEVELOPMENT]],Data[],11,FALSE)=0,"",DATEDIF(VLOOKUP(ExtComp[[#This Row],[DEVELOPMENT]],Data[],13,FALSE),TODAY(),"Y"))</f>
        <v/>
      </c>
      <c r="I33" s="1">
        <f>IF(ExtComp[[#This Row],[RAD/PACT]]="",VLOOKUP(ExtComp[[#This Row],[DEVELOPMENT]],Data[],11,FALSE),IF(ExtComp[[#This Row],[RAD/PACT by 2025]]="yes",0,VLOOKUP(ExtComp[[#This Row],[DEVELOPMENT]],Data[],11,FALSE)))</f>
        <v>0</v>
      </c>
      <c r="J33" s="63">
        <f ca="1">(ExtComp[[#This Row],['# to Replace]]*'Unit Costs'!$B$6)*(1+((ExtComp[[#This Row],[est. Year]]-YEAR(TODAY()))*$J$2))</f>
        <v>0</v>
      </c>
      <c r="K33" s="1">
        <f>SUM(INDEX(ExtComp['# to Replace],1):ExtComp[[#This Row],['# to Replace]])</f>
        <v>0</v>
      </c>
      <c r="L33" s="1">
        <f>ROUNDDOWN(ExtComp[[#This Row],[Count]]/50,0)+$L$1</f>
        <v>2020</v>
      </c>
      <c r="M33" s="81">
        <f t="shared" ca="1" si="0"/>
        <v>0</v>
      </c>
      <c r="N33" s="81" t="str">
        <f>IFERROR(VLOOKUP(ExtComp[[#This Row],[DEVELOPMENT]],Data[],22,FALSE),"")</f>
        <v/>
      </c>
      <c r="O33" s="67" t="str">
        <f>IFERROR(VLOOKUP(ExtComp[[#This Row],[DEVELOPMENT]],Data[],23,FALSE),"")</f>
        <v/>
      </c>
    </row>
    <row r="34" spans="1:15" x14ac:dyDescent="0.25">
      <c r="A34" s="82" t="s">
        <v>56</v>
      </c>
      <c r="B34" s="1" t="str">
        <f>VLOOKUP(A34,Data[],2,FALSE)</f>
        <v>MANHATTAN</v>
      </c>
      <c r="C34" s="9" t="s">
        <v>68</v>
      </c>
      <c r="D34" s="9" t="str">
        <f>VLOOKUP(ExtComp[[#This Row],[DEVELOPMENT]],Data[],8,FALSE)</f>
        <v>Zone 1</v>
      </c>
      <c r="E34" s="9" t="str">
        <f>VLOOKUP(ExtComp[[#This Row],[DEVELOPMENT]],Data[],9,FALSE)</f>
        <v>$$</v>
      </c>
      <c r="F34" s="9" t="str">
        <f>IFERROR(VLOOKUP(ExtComp[[#This Row],[DEVELOPMENT]],Data[],4,FALSE),"")</f>
        <v/>
      </c>
      <c r="G34" s="9" t="str">
        <f>IF(ExtComp[[#This Row],[RAD/PACT]]="","",IF(ExtComp[[#This Row],[RAD/PACT]]&lt;=2025,"Yes",""))</f>
        <v/>
      </c>
      <c r="H34" s="1" t="str">
        <f ca="1">IF(VLOOKUP(ExtComp[[#This Row],[DEVELOPMENT]],Data[],11,FALSE)=0,"",DATEDIF(VLOOKUP(ExtComp[[#This Row],[DEVELOPMENT]],Data[],13,FALSE),TODAY(),"Y"))</f>
        <v/>
      </c>
      <c r="I34" s="1">
        <f>IF(ExtComp[[#This Row],[RAD/PACT]]="",VLOOKUP(ExtComp[[#This Row],[DEVELOPMENT]],Data[],11,FALSE),IF(ExtComp[[#This Row],[RAD/PACT by 2025]]="yes",0,VLOOKUP(ExtComp[[#This Row],[DEVELOPMENT]],Data[],11,FALSE)))</f>
        <v>0</v>
      </c>
      <c r="J34" s="63">
        <f ca="1">(ExtComp[[#This Row],['# to Replace]]*'Unit Costs'!$B$6)*(1+((ExtComp[[#This Row],[est. Year]]-YEAR(TODAY()))*$J$2))</f>
        <v>0</v>
      </c>
      <c r="K34" s="1">
        <f>SUM(INDEX(ExtComp['# to Replace],1):ExtComp[[#This Row],['# to Replace]])</f>
        <v>0</v>
      </c>
      <c r="L34" s="1">
        <f>ROUNDDOWN(ExtComp[[#This Row],[Count]]/50,0)+$L$1</f>
        <v>2020</v>
      </c>
      <c r="M34" s="81">
        <f t="shared" ca="1" si="0"/>
        <v>0</v>
      </c>
      <c r="N34" s="81" t="str">
        <f>IFERROR(VLOOKUP(ExtComp[[#This Row],[DEVELOPMENT]],Data[],22,FALSE),"")</f>
        <v/>
      </c>
      <c r="O34" s="67" t="str">
        <f>IFERROR(VLOOKUP(ExtComp[[#This Row],[DEVELOPMENT]],Data[],23,FALSE),"")</f>
        <v/>
      </c>
    </row>
    <row r="35" spans="1:15" x14ac:dyDescent="0.25">
      <c r="A35" s="13" t="s">
        <v>339</v>
      </c>
      <c r="B35" s="9" t="str">
        <f>VLOOKUP(A35,Data[],2,FALSE)</f>
        <v>BROOKLYN</v>
      </c>
      <c r="C35" s="9" t="s">
        <v>68</v>
      </c>
      <c r="D35" s="66">
        <f>VLOOKUP(ExtComp[[#This Row],[DEVELOPMENT]],Data[],8,FALSE)</f>
        <v>0</v>
      </c>
      <c r="E35" s="66">
        <f>VLOOKUP(ExtComp[[#This Row],[DEVELOPMENT]],Data[],9,FALSE)</f>
        <v>0</v>
      </c>
      <c r="F35" s="66" t="str">
        <f>IFERROR(VLOOKUP(ExtComp[[#This Row],[DEVELOPMENT]],Data[],4,FALSE),"")</f>
        <v/>
      </c>
      <c r="G35" s="66" t="str">
        <f>IF(ExtComp[[#This Row],[RAD/PACT]]="","",IF(ExtComp[[#This Row],[RAD/PACT]]&lt;=2025,"Yes",""))</f>
        <v/>
      </c>
      <c r="H35" s="67" t="str">
        <f ca="1">IF(VLOOKUP(ExtComp[[#This Row],[DEVELOPMENT]],Data[],11,FALSE)=0,"",DATEDIF(VLOOKUP(ExtComp[[#This Row],[DEVELOPMENT]],Data[],13,FALSE),TODAY(),"Y"))</f>
        <v/>
      </c>
      <c r="I35" s="67">
        <f>IF(ExtComp[[#This Row],[RAD/PACT]]="",VLOOKUP(ExtComp[[#This Row],[DEVELOPMENT]],Data[],11,FALSE),IF(ExtComp[[#This Row],[RAD/PACT by 2025]]="yes",0,VLOOKUP(ExtComp[[#This Row],[DEVELOPMENT]],Data[],11,FALSE)))</f>
        <v>0</v>
      </c>
      <c r="J35" s="63">
        <f ca="1">(ExtComp[[#This Row],['# to Replace]]*'Unit Costs'!$B$6)*(1+((ExtComp[[#This Row],[est. Year]]-YEAR(TODAY()))*$J$2))</f>
        <v>0</v>
      </c>
      <c r="K35" s="67">
        <f>SUM(INDEX(ExtComp['# to Replace],1):ExtComp[[#This Row],['# to Replace]])</f>
        <v>0</v>
      </c>
      <c r="L35" s="67">
        <f>ROUNDDOWN(ExtComp[[#This Row],[Count]]/50,0)+$L$1</f>
        <v>2020</v>
      </c>
      <c r="M35" s="81">
        <f t="shared" ca="1" si="0"/>
        <v>0</v>
      </c>
      <c r="N35" s="81" t="str">
        <f>IFERROR(VLOOKUP(ExtComp[[#This Row],[DEVELOPMENT]],Data[],22,FALSE),"")</f>
        <v/>
      </c>
      <c r="O35" s="88" t="str">
        <f>IFERROR(VLOOKUP(ExtComp[[#This Row],[DEVELOPMENT]],Data[],23,FALSE),"")</f>
        <v/>
      </c>
    </row>
    <row r="36" spans="1:15" x14ac:dyDescent="0.25">
      <c r="A36" s="13" t="s">
        <v>338</v>
      </c>
      <c r="B36" s="9" t="str">
        <f>VLOOKUP(A36,Data[],2,FALSE)</f>
        <v>BROOKLYN</v>
      </c>
      <c r="C36" s="9" t="s">
        <v>68</v>
      </c>
      <c r="D36" s="66">
        <f>VLOOKUP(ExtComp[[#This Row],[DEVELOPMENT]],Data[],8,FALSE)</f>
        <v>0</v>
      </c>
      <c r="E36" s="66">
        <f>VLOOKUP(ExtComp[[#This Row],[DEVELOPMENT]],Data[],9,FALSE)</f>
        <v>0</v>
      </c>
      <c r="F36" s="66" t="str">
        <f>IFERROR(VLOOKUP(ExtComp[[#This Row],[DEVELOPMENT]],Data[],4,FALSE),"")</f>
        <v/>
      </c>
      <c r="G36" s="66" t="str">
        <f>IF(ExtComp[[#This Row],[RAD/PACT]]="","",IF(ExtComp[[#This Row],[RAD/PACT]]&lt;=2025,"Yes",""))</f>
        <v/>
      </c>
      <c r="H36" s="67" t="str">
        <f ca="1">IF(VLOOKUP(ExtComp[[#This Row],[DEVELOPMENT]],Data[],11,FALSE)=0,"",DATEDIF(VLOOKUP(ExtComp[[#This Row],[DEVELOPMENT]],Data[],13,FALSE),TODAY(),"Y"))</f>
        <v/>
      </c>
      <c r="I36" s="67">
        <f>IF(ExtComp[[#This Row],[RAD/PACT]]="",VLOOKUP(ExtComp[[#This Row],[DEVELOPMENT]],Data[],11,FALSE),IF(ExtComp[[#This Row],[RAD/PACT by 2025]]="yes",0,VLOOKUP(ExtComp[[#This Row],[DEVELOPMENT]],Data[],11,FALSE)))</f>
        <v>0</v>
      </c>
      <c r="J36" s="63">
        <f ca="1">(ExtComp[[#This Row],['# to Replace]]*'Unit Costs'!$B$6)*(1+((ExtComp[[#This Row],[est. Year]]-YEAR(TODAY()))*$J$2))</f>
        <v>0</v>
      </c>
      <c r="K36" s="67">
        <f>SUM(INDEX(ExtComp['# to Replace],1):ExtComp[[#This Row],['# to Replace]])</f>
        <v>0</v>
      </c>
      <c r="L36" s="67">
        <f>ROUNDDOWN(ExtComp[[#This Row],[Count]]/50,0)+$L$1</f>
        <v>2020</v>
      </c>
      <c r="M36" s="81">
        <f t="shared" ca="1" si="0"/>
        <v>0</v>
      </c>
      <c r="N36" s="81" t="str">
        <f>IFERROR(VLOOKUP(ExtComp[[#This Row],[DEVELOPMENT]],Data[],22,FALSE),"")</f>
        <v/>
      </c>
      <c r="O36" s="88" t="str">
        <f>IFERROR(VLOOKUP(ExtComp[[#This Row],[DEVELOPMENT]],Data[],23,FALSE),"")</f>
        <v/>
      </c>
    </row>
    <row r="37" spans="1:15" x14ac:dyDescent="0.25">
      <c r="A37" s="13" t="s">
        <v>337</v>
      </c>
      <c r="B37" s="9" t="str">
        <f>VLOOKUP(A37,Data[],2,FALSE)</f>
        <v>BROOKLYN</v>
      </c>
      <c r="C37" s="9"/>
      <c r="D37" s="66">
        <f>VLOOKUP(ExtComp[[#This Row],[DEVELOPMENT]],Data[],8,FALSE)</f>
        <v>0</v>
      </c>
      <c r="E37" s="66">
        <f>VLOOKUP(ExtComp[[#This Row],[DEVELOPMENT]],Data[],9,FALSE)</f>
        <v>0</v>
      </c>
      <c r="F37" s="66">
        <f>IFERROR(VLOOKUP(ExtComp[[#This Row],[DEVELOPMENT]],Data[],4,FALSE),"")</f>
        <v>2024</v>
      </c>
      <c r="G37" s="66" t="str">
        <f>IF(ExtComp[[#This Row],[RAD/PACT]]="","",IF(ExtComp[[#This Row],[RAD/PACT]]&lt;=2025,"Yes",""))</f>
        <v>Yes</v>
      </c>
      <c r="H37" s="67" t="str">
        <f ca="1">IF(VLOOKUP(ExtComp[[#This Row],[DEVELOPMENT]],Data[],11,FALSE)=0,"",DATEDIF(VLOOKUP(ExtComp[[#This Row],[DEVELOPMENT]],Data[],13,FALSE),TODAY(),"Y"))</f>
        <v/>
      </c>
      <c r="I37" s="67">
        <f>IF(ExtComp[[#This Row],[RAD/PACT]]="",VLOOKUP(ExtComp[[#This Row],[DEVELOPMENT]],Data[],11,FALSE),IF(ExtComp[[#This Row],[RAD/PACT by 2025]]="yes",0,VLOOKUP(ExtComp[[#This Row],[DEVELOPMENT]],Data[],11,FALSE)))</f>
        <v>0</v>
      </c>
      <c r="J37" s="63">
        <f ca="1">(ExtComp[[#This Row],['# to Replace]]*'Unit Costs'!$B$6)*(1+((ExtComp[[#This Row],[est. Year]]-YEAR(TODAY()))*$J$2))</f>
        <v>0</v>
      </c>
      <c r="K37" s="67">
        <f>SUM(INDEX(ExtComp['# to Replace],1):ExtComp[[#This Row],['# to Replace]])</f>
        <v>0</v>
      </c>
      <c r="L37" s="67">
        <f>ROUNDDOWN(ExtComp[[#This Row],[Count]]/50,0)+$L$1</f>
        <v>2020</v>
      </c>
      <c r="M37" s="81">
        <f t="shared" ca="1" si="0"/>
        <v>0</v>
      </c>
      <c r="N37" s="81" t="str">
        <f>IFERROR(VLOOKUP(ExtComp[[#This Row],[DEVELOPMENT]],Data[],22,FALSE),"")</f>
        <v/>
      </c>
      <c r="O37" s="88" t="str">
        <f>IFERROR(VLOOKUP(ExtComp[[#This Row],[DEVELOPMENT]],Data[],23,FALSE),"")</f>
        <v/>
      </c>
    </row>
    <row r="38" spans="1:15" x14ac:dyDescent="0.25">
      <c r="A38" s="13" t="s">
        <v>100</v>
      </c>
      <c r="B38" s="1" t="str">
        <f>VLOOKUP(A38,Data[],2,FALSE)</f>
        <v>MANHATTAN</v>
      </c>
      <c r="C38" s="9" t="s">
        <v>68</v>
      </c>
      <c r="D38" s="9" t="str">
        <f>VLOOKUP(ExtComp[[#This Row],[DEVELOPMENT]],Data[],8,FALSE)</f>
        <v>Zone 2</v>
      </c>
      <c r="E38" s="9" t="str">
        <f>VLOOKUP(ExtComp[[#This Row],[DEVELOPMENT]],Data[],9,FALSE)</f>
        <v>$</v>
      </c>
      <c r="F38" s="9" t="str">
        <f>IFERROR(VLOOKUP(ExtComp[[#This Row],[DEVELOPMENT]],Data[],4,FALSE),"")</f>
        <v/>
      </c>
      <c r="G38" s="9" t="str">
        <f>IF(ExtComp[[#This Row],[RAD/PACT]]="","",IF(ExtComp[[#This Row],[RAD/PACT]]&lt;=2025,"Yes",""))</f>
        <v/>
      </c>
      <c r="H38" s="1" t="str">
        <f ca="1">IF(VLOOKUP(ExtComp[[#This Row],[DEVELOPMENT]],Data[],11,FALSE)=0,"",DATEDIF(VLOOKUP(ExtComp[[#This Row],[DEVELOPMENT]],Data[],13,FALSE),TODAY(),"Y"))</f>
        <v/>
      </c>
      <c r="I38" s="1">
        <f>IF(ExtComp[[#This Row],[RAD/PACT]]="",VLOOKUP(ExtComp[[#This Row],[DEVELOPMENT]],Data[],11,FALSE),IF(ExtComp[[#This Row],[RAD/PACT by 2025]]="yes",0,VLOOKUP(ExtComp[[#This Row],[DEVELOPMENT]],Data[],11,FALSE)))</f>
        <v>0</v>
      </c>
      <c r="J38" s="63">
        <f ca="1">(ExtComp[[#This Row],['# to Replace]]*'Unit Costs'!$B$6)*(1+((ExtComp[[#This Row],[est. Year]]-YEAR(TODAY()))*$J$2))</f>
        <v>0</v>
      </c>
      <c r="K38" s="1">
        <f>SUM(INDEX(ExtComp['# to Replace],1):ExtComp[[#This Row],['# to Replace]])</f>
        <v>0</v>
      </c>
      <c r="L38" s="1">
        <f>ROUNDDOWN(ExtComp[[#This Row],[Count]]/50,0)+$L$1</f>
        <v>2020</v>
      </c>
      <c r="M38" s="81">
        <f t="shared" ca="1" si="0"/>
        <v>0</v>
      </c>
      <c r="N38" s="81" t="str">
        <f>IFERROR(VLOOKUP(ExtComp[[#This Row],[DEVELOPMENT]],Data[],22,FALSE),"")</f>
        <v/>
      </c>
      <c r="O38" s="67" t="str">
        <f>IFERROR(VLOOKUP(ExtComp[[#This Row],[DEVELOPMENT]],Data[],23,FALSE),"")</f>
        <v/>
      </c>
    </row>
    <row r="39" spans="1:15" x14ac:dyDescent="0.25">
      <c r="A39" s="13" t="s">
        <v>126</v>
      </c>
      <c r="B39" s="1" t="str">
        <f>VLOOKUP(A39,Data[],2,FALSE)</f>
        <v>MANHATTAN</v>
      </c>
      <c r="C39" s="9" t="s">
        <v>68</v>
      </c>
      <c r="D39" s="9" t="str">
        <f>VLOOKUP(ExtComp[[#This Row],[DEVELOPMENT]],Data[],8,FALSE)</f>
        <v>Zone 2</v>
      </c>
      <c r="E39" s="9" t="str">
        <f>VLOOKUP(ExtComp[[#This Row],[DEVELOPMENT]],Data[],9,FALSE)</f>
        <v>$</v>
      </c>
      <c r="F39" s="9" t="str">
        <f>IFERROR(VLOOKUP(ExtComp[[#This Row],[DEVELOPMENT]],Data[],4,FALSE),"")</f>
        <v/>
      </c>
      <c r="G39" s="9" t="str">
        <f>IF(ExtComp[[#This Row],[RAD/PACT]]="","",IF(ExtComp[[#This Row],[RAD/PACT]]&lt;=2025,"Yes",""))</f>
        <v/>
      </c>
      <c r="H39" s="1" t="str">
        <f ca="1">IF(VLOOKUP(ExtComp[[#This Row],[DEVELOPMENT]],Data[],11,FALSE)=0,"",DATEDIF(VLOOKUP(ExtComp[[#This Row],[DEVELOPMENT]],Data[],13,FALSE),TODAY(),"Y"))</f>
        <v/>
      </c>
      <c r="I39" s="1">
        <f>IF(ExtComp[[#This Row],[RAD/PACT]]="",VLOOKUP(ExtComp[[#This Row],[DEVELOPMENT]],Data[],11,FALSE),IF(ExtComp[[#This Row],[RAD/PACT by 2025]]="yes",0,VLOOKUP(ExtComp[[#This Row],[DEVELOPMENT]],Data[],11,FALSE)))</f>
        <v>0</v>
      </c>
      <c r="J39" s="63">
        <f ca="1">(ExtComp[[#This Row],['# to Replace]]*'Unit Costs'!$B$6)*(1+((ExtComp[[#This Row],[est. Year]]-YEAR(TODAY()))*$J$2))</f>
        <v>0</v>
      </c>
      <c r="K39" s="1">
        <f>SUM(INDEX(ExtComp['# to Replace],1):ExtComp[[#This Row],['# to Replace]])</f>
        <v>0</v>
      </c>
      <c r="L39" s="1">
        <f>ROUNDDOWN(ExtComp[[#This Row],[Count]]/50,0)+$L$1</f>
        <v>2020</v>
      </c>
      <c r="M39" s="81">
        <f t="shared" ca="1" si="0"/>
        <v>0</v>
      </c>
      <c r="N39" s="81" t="str">
        <f>IFERROR(VLOOKUP(ExtComp[[#This Row],[DEVELOPMENT]],Data[],22,FALSE),"")</f>
        <v/>
      </c>
      <c r="O39" s="88" t="str">
        <f>IFERROR(VLOOKUP(ExtComp[[#This Row],[DEVELOPMENT]],Data[],23,FALSE),"")</f>
        <v/>
      </c>
    </row>
    <row r="40" spans="1:15" x14ac:dyDescent="0.25">
      <c r="A40" s="13" t="s">
        <v>336</v>
      </c>
      <c r="B40" s="9" t="str">
        <f>VLOOKUP(A40,Data[],2,FALSE)</f>
        <v>BRONX</v>
      </c>
      <c r="C40" s="9" t="s">
        <v>68</v>
      </c>
      <c r="D40" s="66">
        <f>VLOOKUP(ExtComp[[#This Row],[DEVELOPMENT]],Data[],8,FALSE)</f>
        <v>0</v>
      </c>
      <c r="E40" s="66">
        <f>VLOOKUP(ExtComp[[#This Row],[DEVELOPMENT]],Data[],9,FALSE)</f>
        <v>0</v>
      </c>
      <c r="F40" s="66" t="str">
        <f>IFERROR(VLOOKUP(ExtComp[[#This Row],[DEVELOPMENT]],Data[],4,FALSE),"")</f>
        <v/>
      </c>
      <c r="G40" s="66" t="str">
        <f>IF(ExtComp[[#This Row],[RAD/PACT]]="","",IF(ExtComp[[#This Row],[RAD/PACT]]&lt;=2025,"Yes",""))</f>
        <v/>
      </c>
      <c r="H40" s="67" t="str">
        <f ca="1">IF(VLOOKUP(ExtComp[[#This Row],[DEVELOPMENT]],Data[],11,FALSE)=0,"",DATEDIF(VLOOKUP(ExtComp[[#This Row],[DEVELOPMENT]],Data[],13,FALSE),TODAY(),"Y"))</f>
        <v/>
      </c>
      <c r="I40" s="67">
        <f>IF(ExtComp[[#This Row],[RAD/PACT]]="",VLOOKUP(ExtComp[[#This Row],[DEVELOPMENT]],Data[],11,FALSE),IF(ExtComp[[#This Row],[RAD/PACT by 2025]]="yes",0,VLOOKUP(ExtComp[[#This Row],[DEVELOPMENT]],Data[],11,FALSE)))</f>
        <v>0</v>
      </c>
      <c r="J40" s="63">
        <f ca="1">(ExtComp[[#This Row],['# to Replace]]*'Unit Costs'!$B$6)*(1+((ExtComp[[#This Row],[est. Year]]-YEAR(TODAY()))*$J$2))</f>
        <v>0</v>
      </c>
      <c r="K40" s="67">
        <f>SUM(INDEX(ExtComp['# to Replace],1):ExtComp[[#This Row],['# to Replace]])</f>
        <v>0</v>
      </c>
      <c r="L40" s="67">
        <f>ROUNDDOWN(ExtComp[[#This Row],[Count]]/50,0)+$L$1</f>
        <v>2020</v>
      </c>
      <c r="M40" s="81">
        <f t="shared" ca="1" si="0"/>
        <v>0</v>
      </c>
      <c r="N40" s="81" t="str">
        <f>IFERROR(VLOOKUP(ExtComp[[#This Row],[DEVELOPMENT]],Data[],22,FALSE),"")</f>
        <v/>
      </c>
      <c r="O40" s="88" t="str">
        <f>IFERROR(VLOOKUP(ExtComp[[#This Row],[DEVELOPMENT]],Data[],23,FALSE),"")</f>
        <v/>
      </c>
    </row>
    <row r="41" spans="1:15" x14ac:dyDescent="0.25">
      <c r="A41" s="13" t="s">
        <v>335</v>
      </c>
      <c r="B41" s="9" t="str">
        <f>VLOOKUP(A41,Data[],2,FALSE)</f>
        <v>BROOKLYN</v>
      </c>
      <c r="C41" s="9" t="s">
        <v>68</v>
      </c>
      <c r="D41" s="66">
        <f>VLOOKUP(ExtComp[[#This Row],[DEVELOPMENT]],Data[],8,FALSE)</f>
        <v>0</v>
      </c>
      <c r="E41" s="66">
        <f>VLOOKUP(ExtComp[[#This Row],[DEVELOPMENT]],Data[],9,FALSE)</f>
        <v>0</v>
      </c>
      <c r="F41" s="66">
        <f>IFERROR(VLOOKUP(ExtComp[[#This Row],[DEVELOPMENT]],Data[],4,FALSE),"")</f>
        <v>2026</v>
      </c>
      <c r="G41" s="66" t="str">
        <f>IF(ExtComp[[#This Row],[RAD/PACT]]="","",IF(ExtComp[[#This Row],[RAD/PACT]]&lt;=2025,"Yes",""))</f>
        <v/>
      </c>
      <c r="H41" s="67" t="str">
        <f ca="1">IF(VLOOKUP(ExtComp[[#This Row],[DEVELOPMENT]],Data[],11,FALSE)=0,"",DATEDIF(VLOOKUP(ExtComp[[#This Row],[DEVELOPMENT]],Data[],13,FALSE),TODAY(),"Y"))</f>
        <v/>
      </c>
      <c r="I41" s="67">
        <f>IF(ExtComp[[#This Row],[RAD/PACT]]="",VLOOKUP(ExtComp[[#This Row],[DEVELOPMENT]],Data[],11,FALSE),IF(ExtComp[[#This Row],[RAD/PACT by 2025]]="yes",0,VLOOKUP(ExtComp[[#This Row],[DEVELOPMENT]],Data[],11,FALSE)))</f>
        <v>0</v>
      </c>
      <c r="J41" s="63">
        <f ca="1">(ExtComp[[#This Row],['# to Replace]]*'Unit Costs'!$B$6)*(1+((ExtComp[[#This Row],[est. Year]]-YEAR(TODAY()))*$J$2))</f>
        <v>0</v>
      </c>
      <c r="K41" s="67">
        <f>SUM(INDEX(ExtComp['# to Replace],1):ExtComp[[#This Row],['# to Replace]])</f>
        <v>0</v>
      </c>
      <c r="L41" s="67">
        <f>ROUNDDOWN(ExtComp[[#This Row],[Count]]/50,0)+$L$1</f>
        <v>2020</v>
      </c>
      <c r="M41" s="81">
        <f t="shared" ca="1" si="0"/>
        <v>0</v>
      </c>
      <c r="N41" s="81" t="str">
        <f>IFERROR(VLOOKUP(ExtComp[[#This Row],[DEVELOPMENT]],Data[],22,FALSE),"")</f>
        <v/>
      </c>
      <c r="O41" s="88" t="str">
        <f>IFERROR(VLOOKUP(ExtComp[[#This Row],[DEVELOPMENT]],Data[],23,FALSE),"")</f>
        <v/>
      </c>
    </row>
    <row r="42" spans="1:15" x14ac:dyDescent="0.25">
      <c r="A42" s="13" t="s">
        <v>334</v>
      </c>
      <c r="B42" s="9" t="str">
        <f>VLOOKUP(A42,Data[],2,FALSE)</f>
        <v>BROOKLYN</v>
      </c>
      <c r="C42" s="9" t="s">
        <v>68</v>
      </c>
      <c r="D42" s="66">
        <f>VLOOKUP(ExtComp[[#This Row],[DEVELOPMENT]],Data[],8,FALSE)</f>
        <v>0</v>
      </c>
      <c r="E42" s="66">
        <f>VLOOKUP(ExtComp[[#This Row],[DEVELOPMENT]],Data[],9,FALSE)</f>
        <v>0</v>
      </c>
      <c r="F42" s="66">
        <f>IFERROR(VLOOKUP(ExtComp[[#This Row],[DEVELOPMENT]],Data[],4,FALSE),"")</f>
        <v>2026</v>
      </c>
      <c r="G42" s="66" t="str">
        <f>IF(ExtComp[[#This Row],[RAD/PACT]]="","",IF(ExtComp[[#This Row],[RAD/PACT]]&lt;=2025,"Yes",""))</f>
        <v/>
      </c>
      <c r="H42" s="67" t="str">
        <f ca="1">IF(VLOOKUP(ExtComp[[#This Row],[DEVELOPMENT]],Data[],11,FALSE)=0,"",DATEDIF(VLOOKUP(ExtComp[[#This Row],[DEVELOPMENT]],Data[],13,FALSE),TODAY(),"Y"))</f>
        <v/>
      </c>
      <c r="I42" s="67">
        <f>IF(ExtComp[[#This Row],[RAD/PACT]]="",VLOOKUP(ExtComp[[#This Row],[DEVELOPMENT]],Data[],11,FALSE),IF(ExtComp[[#This Row],[RAD/PACT by 2025]]="yes",0,VLOOKUP(ExtComp[[#This Row],[DEVELOPMENT]],Data[],11,FALSE)))</f>
        <v>0</v>
      </c>
      <c r="J42" s="63">
        <f ca="1">(ExtComp[[#This Row],['# to Replace]]*'Unit Costs'!$B$6)*(1+((ExtComp[[#This Row],[est. Year]]-YEAR(TODAY()))*$J$2))</f>
        <v>0</v>
      </c>
      <c r="K42" s="67">
        <f>SUM(INDEX(ExtComp['# to Replace],1):ExtComp[[#This Row],['# to Replace]])</f>
        <v>0</v>
      </c>
      <c r="L42" s="67">
        <f>ROUNDDOWN(ExtComp[[#This Row],[Count]]/50,0)+$L$1</f>
        <v>2020</v>
      </c>
      <c r="M42" s="81">
        <f t="shared" ca="1" si="0"/>
        <v>0</v>
      </c>
      <c r="N42" s="81" t="str">
        <f>IFERROR(VLOOKUP(ExtComp[[#This Row],[DEVELOPMENT]],Data[],22,FALSE),"")</f>
        <v/>
      </c>
      <c r="O42" s="88" t="str">
        <f>IFERROR(VLOOKUP(ExtComp[[#This Row],[DEVELOPMENT]],Data[],23,FALSE),"")</f>
        <v/>
      </c>
    </row>
    <row r="43" spans="1:15" x14ac:dyDescent="0.25">
      <c r="A43" s="13" t="s">
        <v>99</v>
      </c>
      <c r="B43" s="1" t="str">
        <f>VLOOKUP(A43,Data[],2,FALSE)</f>
        <v>BRONX</v>
      </c>
      <c r="C43" s="9" t="s">
        <v>68</v>
      </c>
      <c r="D43" s="9" t="str">
        <f>VLOOKUP(ExtComp[[#This Row],[DEVELOPMENT]],Data[],8,FALSE)</f>
        <v>Zone 3</v>
      </c>
      <c r="E43" s="9" t="str">
        <f>VLOOKUP(ExtComp[[#This Row],[DEVELOPMENT]],Data[],9,FALSE)</f>
        <v>$</v>
      </c>
      <c r="F43" s="9">
        <f>IFERROR(VLOOKUP(ExtComp[[#This Row],[DEVELOPMENT]],Data[],4,FALSE),"")</f>
        <v>2026</v>
      </c>
      <c r="G43" s="9" t="str">
        <f>IF(ExtComp[[#This Row],[RAD/PACT]]="","",IF(ExtComp[[#This Row],[RAD/PACT]]&lt;=2025,"Yes",""))</f>
        <v/>
      </c>
      <c r="H43" s="1" t="str">
        <f ca="1">IF(VLOOKUP(ExtComp[[#This Row],[DEVELOPMENT]],Data[],11,FALSE)=0,"",DATEDIF(VLOOKUP(ExtComp[[#This Row],[DEVELOPMENT]],Data[],13,FALSE),TODAY(),"Y"))</f>
        <v/>
      </c>
      <c r="I43" s="1">
        <f>IF(ExtComp[[#This Row],[RAD/PACT]]="",VLOOKUP(ExtComp[[#This Row],[DEVELOPMENT]],Data[],11,FALSE),IF(ExtComp[[#This Row],[RAD/PACT by 2025]]="yes",0,VLOOKUP(ExtComp[[#This Row],[DEVELOPMENT]],Data[],11,FALSE)))</f>
        <v>0</v>
      </c>
      <c r="J43" s="63">
        <f ca="1">(ExtComp[[#This Row],['# to Replace]]*'Unit Costs'!$B$6)*(1+((ExtComp[[#This Row],[est. Year]]-YEAR(TODAY()))*$J$2))</f>
        <v>0</v>
      </c>
      <c r="K43" s="1">
        <f>SUM(INDEX(ExtComp['# to Replace],1):ExtComp[[#This Row],['# to Replace]])</f>
        <v>0</v>
      </c>
      <c r="L43" s="1">
        <f>ROUNDDOWN(ExtComp[[#This Row],[Count]]/50,0)+$L$1</f>
        <v>2020</v>
      </c>
      <c r="M43" s="81">
        <f t="shared" ca="1" si="0"/>
        <v>0</v>
      </c>
      <c r="N43" s="81" t="str">
        <f>IFERROR(VLOOKUP(ExtComp[[#This Row],[DEVELOPMENT]],Data[],22,FALSE),"")</f>
        <v/>
      </c>
      <c r="O43" s="67" t="str">
        <f>IFERROR(VLOOKUP(ExtComp[[#This Row],[DEVELOPMENT]],Data[],23,FALSE),"")</f>
        <v/>
      </c>
    </row>
    <row r="44" spans="1:15" x14ac:dyDescent="0.25">
      <c r="A44" s="13" t="s">
        <v>98</v>
      </c>
      <c r="B44" s="1" t="str">
        <f>VLOOKUP(A44,Data[],2,FALSE)</f>
        <v>BRONX</v>
      </c>
      <c r="C44" s="9" t="s">
        <v>68</v>
      </c>
      <c r="D44" s="9" t="str">
        <f>VLOOKUP(ExtComp[[#This Row],[DEVELOPMENT]],Data[],8,FALSE)</f>
        <v>Zone 3</v>
      </c>
      <c r="E44" s="9" t="str">
        <f>VLOOKUP(ExtComp[[#This Row],[DEVELOPMENT]],Data[],9,FALSE)</f>
        <v>$</v>
      </c>
      <c r="F44" s="9">
        <f>IFERROR(VLOOKUP(ExtComp[[#This Row],[DEVELOPMENT]],Data[],4,FALSE),"")</f>
        <v>2026</v>
      </c>
      <c r="G44" s="9" t="str">
        <f>IF(ExtComp[[#This Row],[RAD/PACT]]="","",IF(ExtComp[[#This Row],[RAD/PACT]]&lt;=2025,"Yes",""))</f>
        <v/>
      </c>
      <c r="H44" s="1" t="str">
        <f ca="1">IF(VLOOKUP(ExtComp[[#This Row],[DEVELOPMENT]],Data[],11,FALSE)=0,"",DATEDIF(VLOOKUP(ExtComp[[#This Row],[DEVELOPMENT]],Data[],13,FALSE),TODAY(),"Y"))</f>
        <v/>
      </c>
      <c r="I44" s="1">
        <f>IF(ExtComp[[#This Row],[RAD/PACT]]="",VLOOKUP(ExtComp[[#This Row],[DEVELOPMENT]],Data[],11,FALSE),IF(ExtComp[[#This Row],[RAD/PACT by 2025]]="yes",0,VLOOKUP(ExtComp[[#This Row],[DEVELOPMENT]],Data[],11,FALSE)))</f>
        <v>0</v>
      </c>
      <c r="J44" s="63">
        <f ca="1">(ExtComp[[#This Row],['# to Replace]]*'Unit Costs'!$B$6)*(1+((ExtComp[[#This Row],[est. Year]]-YEAR(TODAY()))*$J$2))</f>
        <v>0</v>
      </c>
      <c r="K44" s="1">
        <f>SUM(INDEX(ExtComp['# to Replace],1):ExtComp[[#This Row],['# to Replace]])</f>
        <v>0</v>
      </c>
      <c r="L44" s="1">
        <f>ROUNDDOWN(ExtComp[[#This Row],[Count]]/50,0)+$L$1</f>
        <v>2020</v>
      </c>
      <c r="M44" s="81">
        <f t="shared" ca="1" si="0"/>
        <v>0</v>
      </c>
      <c r="N44" s="81" t="str">
        <f>IFERROR(VLOOKUP(ExtComp[[#This Row],[DEVELOPMENT]],Data[],22,FALSE),"")</f>
        <v/>
      </c>
      <c r="O44" s="67" t="str">
        <f>IFERROR(VLOOKUP(ExtComp[[#This Row],[DEVELOPMENT]],Data[],23,FALSE),"")</f>
        <v/>
      </c>
    </row>
    <row r="45" spans="1:15" x14ac:dyDescent="0.25">
      <c r="A45" s="82" t="s">
        <v>51</v>
      </c>
      <c r="B45" s="1" t="str">
        <f>VLOOKUP(A45,Data[],2,FALSE)</f>
        <v>MANHATTAN</v>
      </c>
      <c r="C45" s="9" t="s">
        <v>68</v>
      </c>
      <c r="D45" s="9" t="str">
        <f>VLOOKUP(ExtComp[[#This Row],[DEVELOPMENT]],Data[],8,FALSE)</f>
        <v>Zone 1</v>
      </c>
      <c r="E45" s="9" t="str">
        <f>VLOOKUP(ExtComp[[#This Row],[DEVELOPMENT]],Data[],9,FALSE)</f>
        <v>$</v>
      </c>
      <c r="F45" s="9" t="str">
        <f>IFERROR(VLOOKUP(ExtComp[[#This Row],[DEVELOPMENT]],Data[],4,FALSE),"")</f>
        <v/>
      </c>
      <c r="G45" s="9" t="str">
        <f>IF(ExtComp[[#This Row],[RAD/PACT]]="","",IF(ExtComp[[#This Row],[RAD/PACT]]&lt;=2025,"Yes",""))</f>
        <v/>
      </c>
      <c r="H45" s="1" t="str">
        <f ca="1">IF(VLOOKUP(ExtComp[[#This Row],[DEVELOPMENT]],Data[],11,FALSE)=0,"",DATEDIF(VLOOKUP(ExtComp[[#This Row],[DEVELOPMENT]],Data[],13,FALSE),TODAY(),"Y"))</f>
        <v/>
      </c>
      <c r="I45" s="1">
        <f>IF(ExtComp[[#This Row],[RAD/PACT]]="",VLOOKUP(ExtComp[[#This Row],[DEVELOPMENT]],Data[],11,FALSE),IF(ExtComp[[#This Row],[RAD/PACT by 2025]]="yes",0,VLOOKUP(ExtComp[[#This Row],[DEVELOPMENT]],Data[],11,FALSE)))</f>
        <v>0</v>
      </c>
      <c r="J45" s="63">
        <f ca="1">(ExtComp[[#This Row],['# to Replace]]*'Unit Costs'!$B$6)*(1+((ExtComp[[#This Row],[est. Year]]-YEAR(TODAY()))*$J$2))</f>
        <v>0</v>
      </c>
      <c r="K45" s="1">
        <f>SUM(INDEX(ExtComp['# to Replace],1):ExtComp[[#This Row],['# to Replace]])</f>
        <v>0</v>
      </c>
      <c r="L45" s="1">
        <f>ROUNDDOWN(ExtComp[[#This Row],[Count]]/50,0)+$L$1</f>
        <v>2020</v>
      </c>
      <c r="M45" s="81">
        <f t="shared" ca="1" si="0"/>
        <v>0</v>
      </c>
      <c r="N45" s="81" t="str">
        <f>IFERROR(VLOOKUP(ExtComp[[#This Row],[DEVELOPMENT]],Data[],22,FALSE),"")</f>
        <v/>
      </c>
      <c r="O45" s="67" t="str">
        <f>IFERROR(VLOOKUP(ExtComp[[#This Row],[DEVELOPMENT]],Data[],23,FALSE),"")</f>
        <v/>
      </c>
    </row>
    <row r="46" spans="1:15" x14ac:dyDescent="0.25">
      <c r="A46" s="82" t="s">
        <v>138</v>
      </c>
      <c r="B46" s="1" t="str">
        <f>VLOOKUP(A46,Data[],2,FALSE)</f>
        <v>BRONX</v>
      </c>
      <c r="C46" s="9" t="s">
        <v>68</v>
      </c>
      <c r="D46" s="9" t="str">
        <f>VLOOKUP(ExtComp[[#This Row],[DEVELOPMENT]],Data[],8,FALSE)</f>
        <v>Zone 1</v>
      </c>
      <c r="E46" s="9" t="str">
        <f>VLOOKUP(ExtComp[[#This Row],[DEVELOPMENT]],Data[],9,FALSE)</f>
        <v>$</v>
      </c>
      <c r="F46" s="9" t="str">
        <f>IFERROR(VLOOKUP(ExtComp[[#This Row],[DEVELOPMENT]],Data[],4,FALSE),"")</f>
        <v/>
      </c>
      <c r="G46" s="9" t="str">
        <f>IF(ExtComp[[#This Row],[RAD/PACT]]="","",IF(ExtComp[[#This Row],[RAD/PACT]]&lt;=2025,"Yes",""))</f>
        <v/>
      </c>
      <c r="H46" s="1" t="str">
        <f ca="1">IF(VLOOKUP(ExtComp[[#This Row],[DEVELOPMENT]],Data[],11,FALSE)=0,"",DATEDIF(VLOOKUP(ExtComp[[#This Row],[DEVELOPMENT]],Data[],13,FALSE),TODAY(),"Y"))</f>
        <v/>
      </c>
      <c r="I46" s="1">
        <f>IF(ExtComp[[#This Row],[RAD/PACT]]="",VLOOKUP(ExtComp[[#This Row],[DEVELOPMENT]],Data[],11,FALSE),IF(ExtComp[[#This Row],[RAD/PACT by 2025]]="yes",0,VLOOKUP(ExtComp[[#This Row],[DEVELOPMENT]],Data[],11,FALSE)))</f>
        <v>0</v>
      </c>
      <c r="J46" s="63">
        <f ca="1">(ExtComp[[#This Row],['# to Replace]]*'Unit Costs'!$B$6)*(1+((ExtComp[[#This Row],[est. Year]]-YEAR(TODAY()))*$J$2))</f>
        <v>0</v>
      </c>
      <c r="K46" s="1">
        <f>SUM(INDEX(ExtComp['# to Replace],1):ExtComp[[#This Row],['# to Replace]])</f>
        <v>0</v>
      </c>
      <c r="L46" s="1">
        <f>ROUNDDOWN(ExtComp[[#This Row],[Count]]/50,0)+$L$1</f>
        <v>2020</v>
      </c>
      <c r="M46" s="81">
        <f t="shared" ca="1" si="0"/>
        <v>0</v>
      </c>
      <c r="N46" s="81" t="str">
        <f>IFERROR(VLOOKUP(ExtComp[[#This Row],[DEVELOPMENT]],Data[],22,FALSE),"")</f>
        <v/>
      </c>
      <c r="O46" s="67" t="str">
        <f>IFERROR(VLOOKUP(ExtComp[[#This Row],[DEVELOPMENT]],Data[],23,FALSE),"")</f>
        <v/>
      </c>
    </row>
    <row r="47" spans="1:15" x14ac:dyDescent="0.25">
      <c r="A47" s="82" t="s">
        <v>46</v>
      </c>
      <c r="B47" s="1" t="str">
        <f>VLOOKUP(A47,Data[],2,FALSE)</f>
        <v>BROOKLYN</v>
      </c>
      <c r="C47" s="9" t="s">
        <v>68</v>
      </c>
      <c r="D47" s="9" t="str">
        <f>VLOOKUP(ExtComp[[#This Row],[DEVELOPMENT]],Data[],8,FALSE)</f>
        <v>Zone 1</v>
      </c>
      <c r="E47" s="9" t="str">
        <f>VLOOKUP(ExtComp[[#This Row],[DEVELOPMENT]],Data[],9,FALSE)</f>
        <v>$</v>
      </c>
      <c r="F47" s="9" t="str">
        <f>IFERROR(VLOOKUP(ExtComp[[#This Row],[DEVELOPMENT]],Data[],4,FALSE),"")</f>
        <v/>
      </c>
      <c r="G47" s="9" t="str">
        <f>IF(ExtComp[[#This Row],[RAD/PACT]]="","",IF(ExtComp[[#This Row],[RAD/PACT]]&lt;=2025,"Yes",""))</f>
        <v/>
      </c>
      <c r="H47" s="1" t="str">
        <f ca="1">IF(VLOOKUP(ExtComp[[#This Row],[DEVELOPMENT]],Data[],11,FALSE)=0,"",DATEDIF(VLOOKUP(ExtComp[[#This Row],[DEVELOPMENT]],Data[],13,FALSE),TODAY(),"Y"))</f>
        <v/>
      </c>
      <c r="I47" s="1">
        <f>IF(ExtComp[[#This Row],[RAD/PACT]]="",VLOOKUP(ExtComp[[#This Row],[DEVELOPMENT]],Data[],11,FALSE),IF(ExtComp[[#This Row],[RAD/PACT by 2025]]="yes",0,VLOOKUP(ExtComp[[#This Row],[DEVELOPMENT]],Data[],11,FALSE)))</f>
        <v>0</v>
      </c>
      <c r="J47" s="63">
        <f ca="1">(ExtComp[[#This Row],['# to Replace]]*'Unit Costs'!$B$6)*(1+((ExtComp[[#This Row],[est. Year]]-YEAR(TODAY()))*$J$2))</f>
        <v>0</v>
      </c>
      <c r="K47" s="1">
        <f>SUM(INDEX(ExtComp['# to Replace],1):ExtComp[[#This Row],['# to Replace]])</f>
        <v>0</v>
      </c>
      <c r="L47" s="1">
        <f>ROUNDDOWN(ExtComp[[#This Row],[Count]]/50,0)+$L$1</f>
        <v>2020</v>
      </c>
      <c r="M47" s="81">
        <f t="shared" ca="1" si="0"/>
        <v>0</v>
      </c>
      <c r="N47" s="81" t="str">
        <f>IFERROR(VLOOKUP(ExtComp[[#This Row],[DEVELOPMENT]],Data[],22,FALSE),"")</f>
        <v/>
      </c>
      <c r="O47" s="88" t="str">
        <f>IFERROR(VLOOKUP(ExtComp[[#This Row],[DEVELOPMENT]],Data[],23,FALSE),"")</f>
        <v/>
      </c>
    </row>
    <row r="48" spans="1:15" x14ac:dyDescent="0.25">
      <c r="A48" s="13" t="s">
        <v>333</v>
      </c>
      <c r="B48" s="9" t="str">
        <f>VLOOKUP(A48,Data[],2,FALSE)</f>
        <v>STATEN ISLAND</v>
      </c>
      <c r="C48" s="9" t="s">
        <v>68</v>
      </c>
      <c r="D48" s="66">
        <f>VLOOKUP(ExtComp[[#This Row],[DEVELOPMENT]],Data[],8,FALSE)</f>
        <v>0</v>
      </c>
      <c r="E48" s="66">
        <f>VLOOKUP(ExtComp[[#This Row],[DEVELOPMENT]],Data[],9,FALSE)</f>
        <v>0</v>
      </c>
      <c r="F48" s="66" t="str">
        <f>IFERROR(VLOOKUP(ExtComp[[#This Row],[DEVELOPMENT]],Data[],4,FALSE),"")</f>
        <v/>
      </c>
      <c r="G48" s="66" t="str">
        <f>IF(ExtComp[[#This Row],[RAD/PACT]]="","",IF(ExtComp[[#This Row],[RAD/PACT]]&lt;=2025,"Yes",""))</f>
        <v/>
      </c>
      <c r="H48" s="67" t="str">
        <f ca="1">IF(VLOOKUP(ExtComp[[#This Row],[DEVELOPMENT]],Data[],11,FALSE)=0,"",DATEDIF(VLOOKUP(ExtComp[[#This Row],[DEVELOPMENT]],Data[],13,FALSE),TODAY(),"Y"))</f>
        <v/>
      </c>
      <c r="I48" s="67">
        <f>IF(ExtComp[[#This Row],[RAD/PACT]]="",VLOOKUP(ExtComp[[#This Row],[DEVELOPMENT]],Data[],11,FALSE),IF(ExtComp[[#This Row],[RAD/PACT by 2025]]="yes",0,VLOOKUP(ExtComp[[#This Row],[DEVELOPMENT]],Data[],11,FALSE)))</f>
        <v>0</v>
      </c>
      <c r="J48" s="63">
        <f ca="1">(ExtComp[[#This Row],['# to Replace]]*'Unit Costs'!$B$6)*(1+((ExtComp[[#This Row],[est. Year]]-YEAR(TODAY()))*$J$2))</f>
        <v>0</v>
      </c>
      <c r="K48" s="67">
        <f>SUM(INDEX(ExtComp['# to Replace],1):ExtComp[[#This Row],['# to Replace]])</f>
        <v>0</v>
      </c>
      <c r="L48" s="67">
        <f>ROUNDDOWN(ExtComp[[#This Row],[Count]]/50,0)+$L$1</f>
        <v>2020</v>
      </c>
      <c r="M48" s="81">
        <f t="shared" ca="1" si="0"/>
        <v>0</v>
      </c>
      <c r="N48" s="81" t="str">
        <f>IFERROR(VLOOKUP(ExtComp[[#This Row],[DEVELOPMENT]],Data[],22,FALSE),"")</f>
        <v/>
      </c>
      <c r="O48" s="88" t="str">
        <f>IFERROR(VLOOKUP(ExtComp[[#This Row],[DEVELOPMENT]],Data[],23,FALSE),"")</f>
        <v/>
      </c>
    </row>
    <row r="49" spans="1:15" x14ac:dyDescent="0.25">
      <c r="A49" s="13" t="s">
        <v>332</v>
      </c>
      <c r="B49" s="9" t="str">
        <f>VLOOKUP(A49,Data[],2,FALSE)</f>
        <v>BROOKLYN</v>
      </c>
      <c r="C49" s="9" t="s">
        <v>68</v>
      </c>
      <c r="D49" s="66">
        <f>VLOOKUP(ExtComp[[#This Row],[DEVELOPMENT]],Data[],8,FALSE)</f>
        <v>0</v>
      </c>
      <c r="E49" s="66">
        <f>VLOOKUP(ExtComp[[#This Row],[DEVELOPMENT]],Data[],9,FALSE)</f>
        <v>0</v>
      </c>
      <c r="F49" s="66" t="str">
        <f>IFERROR(VLOOKUP(ExtComp[[#This Row],[DEVELOPMENT]],Data[],4,FALSE),"")</f>
        <v/>
      </c>
      <c r="G49" s="66" t="str">
        <f>IF(ExtComp[[#This Row],[RAD/PACT]]="","",IF(ExtComp[[#This Row],[RAD/PACT]]&lt;=2025,"Yes",""))</f>
        <v/>
      </c>
      <c r="H49" s="67" t="str">
        <f ca="1">IF(VLOOKUP(ExtComp[[#This Row],[DEVELOPMENT]],Data[],11,FALSE)=0,"",DATEDIF(VLOOKUP(ExtComp[[#This Row],[DEVELOPMENT]],Data[],13,FALSE),TODAY(),"Y"))</f>
        <v/>
      </c>
      <c r="I49" s="67">
        <f>IF(ExtComp[[#This Row],[RAD/PACT]]="",VLOOKUP(ExtComp[[#This Row],[DEVELOPMENT]],Data[],11,FALSE),IF(ExtComp[[#This Row],[RAD/PACT by 2025]]="yes",0,VLOOKUP(ExtComp[[#This Row],[DEVELOPMENT]],Data[],11,FALSE)))</f>
        <v>0</v>
      </c>
      <c r="J49" s="63">
        <f ca="1">(ExtComp[[#This Row],['# to Replace]]*'Unit Costs'!$B$6)*(1+((ExtComp[[#This Row],[est. Year]]-YEAR(TODAY()))*$J$2))</f>
        <v>0</v>
      </c>
      <c r="K49" s="67">
        <f>SUM(INDEX(ExtComp['# to Replace],1):ExtComp[[#This Row],['# to Replace]])</f>
        <v>0</v>
      </c>
      <c r="L49" s="67">
        <f>ROUNDDOWN(ExtComp[[#This Row],[Count]]/50,0)+$L$1</f>
        <v>2020</v>
      </c>
      <c r="M49" s="81">
        <f t="shared" ca="1" si="0"/>
        <v>0</v>
      </c>
      <c r="N49" s="81" t="str">
        <f>IFERROR(VLOOKUP(ExtComp[[#This Row],[DEVELOPMENT]],Data[],22,FALSE),"")</f>
        <v/>
      </c>
      <c r="O49" s="88" t="str">
        <f>IFERROR(VLOOKUP(ExtComp[[#This Row],[DEVELOPMENT]],Data[],23,FALSE),"")</f>
        <v/>
      </c>
    </row>
    <row r="50" spans="1:15" x14ac:dyDescent="0.25">
      <c r="A50" s="13" t="s">
        <v>331</v>
      </c>
      <c r="B50" s="9" t="str">
        <f>VLOOKUP(A50,Data[],2,FALSE)</f>
        <v>BRONX</v>
      </c>
      <c r="C50" s="9"/>
      <c r="D50" s="66">
        <f>VLOOKUP(ExtComp[[#This Row],[DEVELOPMENT]],Data[],8,FALSE)</f>
        <v>0</v>
      </c>
      <c r="E50" s="66">
        <f>VLOOKUP(ExtComp[[#This Row],[DEVELOPMENT]],Data[],9,FALSE)</f>
        <v>0</v>
      </c>
      <c r="F50" s="66">
        <f>IFERROR(VLOOKUP(ExtComp[[#This Row],[DEVELOPMENT]],Data[],4,FALSE),"")</f>
        <v>2022</v>
      </c>
      <c r="G50" s="66" t="str">
        <f>IF(ExtComp[[#This Row],[RAD/PACT]]="","",IF(ExtComp[[#This Row],[RAD/PACT]]&lt;=2025,"Yes",""))</f>
        <v>Yes</v>
      </c>
      <c r="H50" s="67" t="str">
        <f ca="1">IF(VLOOKUP(ExtComp[[#This Row],[DEVELOPMENT]],Data[],11,FALSE)=0,"",DATEDIF(VLOOKUP(ExtComp[[#This Row],[DEVELOPMENT]],Data[],13,FALSE),TODAY(),"Y"))</f>
        <v/>
      </c>
      <c r="I50" s="67">
        <f>IF(ExtComp[[#This Row],[RAD/PACT]]="",VLOOKUP(ExtComp[[#This Row],[DEVELOPMENT]],Data[],11,FALSE),IF(ExtComp[[#This Row],[RAD/PACT by 2025]]="yes",0,VLOOKUP(ExtComp[[#This Row],[DEVELOPMENT]],Data[],11,FALSE)))</f>
        <v>0</v>
      </c>
      <c r="J50" s="63">
        <f ca="1">(ExtComp[[#This Row],['# to Replace]]*'Unit Costs'!$B$6)*(1+((ExtComp[[#This Row],[est. Year]]-YEAR(TODAY()))*$J$2))</f>
        <v>0</v>
      </c>
      <c r="K50" s="67">
        <f>SUM(INDEX(ExtComp['# to Replace],1):ExtComp[[#This Row],['# to Replace]])</f>
        <v>0</v>
      </c>
      <c r="L50" s="67">
        <f>ROUNDDOWN(ExtComp[[#This Row],[Count]]/50,0)+$L$1</f>
        <v>2020</v>
      </c>
      <c r="M50" s="81">
        <f t="shared" ca="1" si="0"/>
        <v>0</v>
      </c>
      <c r="N50" s="81" t="str">
        <f>IFERROR(VLOOKUP(ExtComp[[#This Row],[DEVELOPMENT]],Data[],22,FALSE),"")</f>
        <v/>
      </c>
      <c r="O50" s="88" t="str">
        <f>IFERROR(VLOOKUP(ExtComp[[#This Row],[DEVELOPMENT]],Data[],23,FALSE),"")</f>
        <v/>
      </c>
    </row>
    <row r="51" spans="1:15" x14ac:dyDescent="0.25">
      <c r="A51" s="13" t="s">
        <v>330</v>
      </c>
      <c r="B51" s="9" t="str">
        <f>VLOOKUP(A51,Data[],2,FALSE)</f>
        <v>BRONX</v>
      </c>
      <c r="C51" s="9"/>
      <c r="D51" s="66">
        <f>VLOOKUP(ExtComp[[#This Row],[DEVELOPMENT]],Data[],8,FALSE)</f>
        <v>0</v>
      </c>
      <c r="E51" s="66">
        <f>VLOOKUP(ExtComp[[#This Row],[DEVELOPMENT]],Data[],9,FALSE)</f>
        <v>0</v>
      </c>
      <c r="F51" s="66">
        <f>IFERROR(VLOOKUP(ExtComp[[#This Row],[DEVELOPMENT]],Data[],4,FALSE),"")</f>
        <v>2022</v>
      </c>
      <c r="G51" s="66" t="str">
        <f>IF(ExtComp[[#This Row],[RAD/PACT]]="","",IF(ExtComp[[#This Row],[RAD/PACT]]&lt;=2025,"Yes",""))</f>
        <v>Yes</v>
      </c>
      <c r="H51" s="67" t="str">
        <f ca="1">IF(VLOOKUP(ExtComp[[#This Row],[DEVELOPMENT]],Data[],11,FALSE)=0,"",DATEDIF(VLOOKUP(ExtComp[[#This Row],[DEVELOPMENT]],Data[],13,FALSE),TODAY(),"Y"))</f>
        <v/>
      </c>
      <c r="I51" s="67">
        <f>IF(ExtComp[[#This Row],[RAD/PACT]]="",VLOOKUP(ExtComp[[#This Row],[DEVELOPMENT]],Data[],11,FALSE),IF(ExtComp[[#This Row],[RAD/PACT by 2025]]="yes",0,VLOOKUP(ExtComp[[#This Row],[DEVELOPMENT]],Data[],11,FALSE)))</f>
        <v>0</v>
      </c>
      <c r="J51" s="63">
        <f ca="1">(ExtComp[[#This Row],['# to Replace]]*'Unit Costs'!$B$6)*(1+((ExtComp[[#This Row],[est. Year]]-YEAR(TODAY()))*$J$2))</f>
        <v>0</v>
      </c>
      <c r="K51" s="67">
        <f>SUM(INDEX(ExtComp['# to Replace],1):ExtComp[[#This Row],['# to Replace]])</f>
        <v>0</v>
      </c>
      <c r="L51" s="67">
        <f>ROUNDDOWN(ExtComp[[#This Row],[Count]]/50,0)+$L$1</f>
        <v>2020</v>
      </c>
      <c r="M51" s="81">
        <f t="shared" ca="1" si="0"/>
        <v>0</v>
      </c>
      <c r="N51" s="81" t="str">
        <f>IFERROR(VLOOKUP(ExtComp[[#This Row],[DEVELOPMENT]],Data[],22,FALSE),"")</f>
        <v/>
      </c>
      <c r="O51" s="88" t="str">
        <f>IFERROR(VLOOKUP(ExtComp[[#This Row],[DEVELOPMENT]],Data[],23,FALSE),"")</f>
        <v/>
      </c>
    </row>
    <row r="52" spans="1:15" x14ac:dyDescent="0.25">
      <c r="A52" s="13" t="s">
        <v>329</v>
      </c>
      <c r="B52" s="9" t="str">
        <f>VLOOKUP(A52,Data[],2,FALSE)</f>
        <v>MANHATTAN</v>
      </c>
      <c r="C52" s="9" t="s">
        <v>68</v>
      </c>
      <c r="D52" s="66" t="str">
        <f>VLOOKUP(ExtComp[[#This Row],[DEVELOPMENT]],Data[],8,FALSE)</f>
        <v>Zone 4</v>
      </c>
      <c r="E52" s="66">
        <f>VLOOKUP(ExtComp[[#This Row],[DEVELOPMENT]],Data[],9,FALSE)</f>
        <v>0</v>
      </c>
      <c r="F52" s="66" t="str">
        <f>IFERROR(VLOOKUP(ExtComp[[#This Row],[DEVELOPMENT]],Data[],4,FALSE),"")</f>
        <v/>
      </c>
      <c r="G52" s="66" t="str">
        <f>IF(ExtComp[[#This Row],[RAD/PACT]]="","",IF(ExtComp[[#This Row],[RAD/PACT]]&lt;=2025,"Yes",""))</f>
        <v/>
      </c>
      <c r="H52" s="67" t="str">
        <f ca="1">IF(VLOOKUP(ExtComp[[#This Row],[DEVELOPMENT]],Data[],11,FALSE)=0,"",DATEDIF(VLOOKUP(ExtComp[[#This Row],[DEVELOPMENT]],Data[],13,FALSE),TODAY(),"Y"))</f>
        <v/>
      </c>
      <c r="I52" s="67">
        <f>IF(ExtComp[[#This Row],[RAD/PACT]]="",VLOOKUP(ExtComp[[#This Row],[DEVELOPMENT]],Data[],11,FALSE),IF(ExtComp[[#This Row],[RAD/PACT by 2025]]="yes",0,VLOOKUP(ExtComp[[#This Row],[DEVELOPMENT]],Data[],11,FALSE)))</f>
        <v>0</v>
      </c>
      <c r="J52" s="63">
        <f ca="1">(ExtComp[[#This Row],['# to Replace]]*'Unit Costs'!$B$6)*(1+((ExtComp[[#This Row],[est. Year]]-YEAR(TODAY()))*$J$2))</f>
        <v>0</v>
      </c>
      <c r="K52" s="67">
        <f>SUM(INDEX(ExtComp['# to Replace],1):ExtComp[[#This Row],['# to Replace]])</f>
        <v>0</v>
      </c>
      <c r="L52" s="67">
        <f>ROUNDDOWN(ExtComp[[#This Row],[Count]]/50,0)+$L$1</f>
        <v>2020</v>
      </c>
      <c r="M52" s="81">
        <f t="shared" ca="1" si="0"/>
        <v>0</v>
      </c>
      <c r="N52" s="81" t="str">
        <f>IFERROR(VLOOKUP(ExtComp[[#This Row],[DEVELOPMENT]],Data[],22,FALSE),"")</f>
        <v/>
      </c>
      <c r="O52" s="88" t="str">
        <f>IFERROR(VLOOKUP(ExtComp[[#This Row],[DEVELOPMENT]],Data[],23,FALSE),"")</f>
        <v/>
      </c>
    </row>
    <row r="53" spans="1:15" x14ac:dyDescent="0.25">
      <c r="A53" s="82" t="s">
        <v>149</v>
      </c>
      <c r="B53" s="1" t="str">
        <f>VLOOKUP(A53,Data[],2,FALSE)</f>
        <v>BRONX</v>
      </c>
      <c r="C53" s="9" t="s">
        <v>68</v>
      </c>
      <c r="D53" s="9" t="str">
        <f>VLOOKUP(ExtComp[[#This Row],[DEVELOPMENT]],Data[],8,FALSE)</f>
        <v>Zone 1</v>
      </c>
      <c r="E53" s="9" t="str">
        <f>VLOOKUP(ExtComp[[#This Row],[DEVELOPMENT]],Data[],9,FALSE)</f>
        <v>$</v>
      </c>
      <c r="F53" s="9">
        <f>IFERROR(VLOOKUP(ExtComp[[#This Row],[DEVELOPMENT]],Data[],4,FALSE),"")</f>
        <v>2025</v>
      </c>
      <c r="G53" s="9" t="str">
        <f>IF(ExtComp[[#This Row],[RAD/PACT]]="","",IF(ExtComp[[#This Row],[RAD/PACT]]&lt;=2025,"Yes",""))</f>
        <v>Yes</v>
      </c>
      <c r="H53" s="1" t="str">
        <f ca="1">IF(VLOOKUP(ExtComp[[#This Row],[DEVELOPMENT]],Data[],11,FALSE)=0,"",DATEDIF(VLOOKUP(ExtComp[[#This Row],[DEVELOPMENT]],Data[],13,FALSE),TODAY(),"Y"))</f>
        <v/>
      </c>
      <c r="I53" s="1">
        <f>IF(ExtComp[[#This Row],[RAD/PACT]]="",VLOOKUP(ExtComp[[#This Row],[DEVELOPMENT]],Data[],11,FALSE),IF(ExtComp[[#This Row],[RAD/PACT by 2025]]="yes",0,VLOOKUP(ExtComp[[#This Row],[DEVELOPMENT]],Data[],11,FALSE)))</f>
        <v>0</v>
      </c>
      <c r="J53" s="63">
        <f ca="1">(ExtComp[[#This Row],['# to Replace]]*'Unit Costs'!$B$6)*(1+((ExtComp[[#This Row],[est. Year]]-YEAR(TODAY()))*$J$2))</f>
        <v>0</v>
      </c>
      <c r="K53" s="1">
        <f>SUM(INDEX(ExtComp['# to Replace],1):ExtComp[[#This Row],['# to Replace]])</f>
        <v>0</v>
      </c>
      <c r="L53" s="1">
        <f>ROUNDDOWN(ExtComp[[#This Row],[Count]]/50,0)+$L$1</f>
        <v>2020</v>
      </c>
      <c r="M53" s="81">
        <f t="shared" ca="1" si="0"/>
        <v>0</v>
      </c>
      <c r="N53" s="81" t="str">
        <f>IFERROR(VLOOKUP(ExtComp[[#This Row],[DEVELOPMENT]],Data[],22,FALSE),"")</f>
        <v/>
      </c>
      <c r="O53" s="67" t="str">
        <f>IFERROR(VLOOKUP(ExtComp[[#This Row],[DEVELOPMENT]],Data[],23,FALSE),"")</f>
        <v/>
      </c>
    </row>
    <row r="54" spans="1:15" x14ac:dyDescent="0.25">
      <c r="A54" s="13" t="s">
        <v>328</v>
      </c>
      <c r="B54" s="9" t="str">
        <f>VLOOKUP(A54,Data[],2,FALSE)</f>
        <v>BROOKLYN</v>
      </c>
      <c r="C54" s="9" t="s">
        <v>68</v>
      </c>
      <c r="D54" s="66">
        <f>VLOOKUP(ExtComp[[#This Row],[DEVELOPMENT]],Data[],8,FALSE)</f>
        <v>0</v>
      </c>
      <c r="E54" s="66">
        <f>VLOOKUP(ExtComp[[#This Row],[DEVELOPMENT]],Data[],9,FALSE)</f>
        <v>0</v>
      </c>
      <c r="F54" s="66" t="str">
        <f>IFERROR(VLOOKUP(ExtComp[[#This Row],[DEVELOPMENT]],Data[],4,FALSE),"")</f>
        <v/>
      </c>
      <c r="G54" s="66" t="str">
        <f>IF(ExtComp[[#This Row],[RAD/PACT]]="","",IF(ExtComp[[#This Row],[RAD/PACT]]&lt;=2025,"Yes",""))</f>
        <v/>
      </c>
      <c r="H54" s="67" t="str">
        <f ca="1">IF(VLOOKUP(ExtComp[[#This Row],[DEVELOPMENT]],Data[],11,FALSE)=0,"",DATEDIF(VLOOKUP(ExtComp[[#This Row],[DEVELOPMENT]],Data[],13,FALSE),TODAY(),"Y"))</f>
        <v/>
      </c>
      <c r="I54" s="67">
        <f>IF(ExtComp[[#This Row],[RAD/PACT]]="",VLOOKUP(ExtComp[[#This Row],[DEVELOPMENT]],Data[],11,FALSE),IF(ExtComp[[#This Row],[RAD/PACT by 2025]]="yes",0,VLOOKUP(ExtComp[[#This Row],[DEVELOPMENT]],Data[],11,FALSE)))</f>
        <v>0</v>
      </c>
      <c r="J54" s="63">
        <f ca="1">(ExtComp[[#This Row],['# to Replace]]*'Unit Costs'!$B$6)*(1+((ExtComp[[#This Row],[est. Year]]-YEAR(TODAY()))*$J$2))</f>
        <v>0</v>
      </c>
      <c r="K54" s="67">
        <f>SUM(INDEX(ExtComp['# to Replace],1):ExtComp[[#This Row],['# to Replace]])</f>
        <v>0</v>
      </c>
      <c r="L54" s="67">
        <f>ROUNDDOWN(ExtComp[[#This Row],[Count]]/50,0)+$L$1</f>
        <v>2020</v>
      </c>
      <c r="M54" s="81">
        <f t="shared" ca="1" si="0"/>
        <v>0</v>
      </c>
      <c r="N54" s="81" t="str">
        <f>IFERROR(VLOOKUP(ExtComp[[#This Row],[DEVELOPMENT]],Data[],22,FALSE),"")</f>
        <v/>
      </c>
      <c r="O54" s="88" t="str">
        <f>IFERROR(VLOOKUP(ExtComp[[#This Row],[DEVELOPMENT]],Data[],23,FALSE),"")</f>
        <v/>
      </c>
    </row>
    <row r="55" spans="1:15" x14ac:dyDescent="0.25">
      <c r="A55" s="13" t="s">
        <v>327</v>
      </c>
      <c r="B55" s="9" t="str">
        <f>VLOOKUP(A55,Data[],2,FALSE)</f>
        <v>BROOKLYN</v>
      </c>
      <c r="C55" s="9"/>
      <c r="D55" s="66">
        <f>VLOOKUP(ExtComp[[#This Row],[DEVELOPMENT]],Data[],8,FALSE)</f>
        <v>0</v>
      </c>
      <c r="E55" s="66">
        <f>VLOOKUP(ExtComp[[#This Row],[DEVELOPMENT]],Data[],9,FALSE)</f>
        <v>0</v>
      </c>
      <c r="F55" s="66">
        <f>IFERROR(VLOOKUP(ExtComp[[#This Row],[DEVELOPMENT]],Data[],4,FALSE),"")</f>
        <v>2021</v>
      </c>
      <c r="G55" s="66" t="str">
        <f>IF(ExtComp[[#This Row],[RAD/PACT]]="","",IF(ExtComp[[#This Row],[RAD/PACT]]&lt;=2025,"Yes",""))</f>
        <v>Yes</v>
      </c>
      <c r="H55" s="67" t="str">
        <f ca="1">IF(VLOOKUP(ExtComp[[#This Row],[DEVELOPMENT]],Data[],11,FALSE)=0,"",DATEDIF(VLOOKUP(ExtComp[[#This Row],[DEVELOPMENT]],Data[],13,FALSE),TODAY(),"Y"))</f>
        <v/>
      </c>
      <c r="I55" s="67">
        <f>IF(ExtComp[[#This Row],[RAD/PACT]]="",VLOOKUP(ExtComp[[#This Row],[DEVELOPMENT]],Data[],11,FALSE),IF(ExtComp[[#This Row],[RAD/PACT by 2025]]="yes",0,VLOOKUP(ExtComp[[#This Row],[DEVELOPMENT]],Data[],11,FALSE)))</f>
        <v>0</v>
      </c>
      <c r="J55" s="63">
        <f ca="1">(ExtComp[[#This Row],['# to Replace]]*'Unit Costs'!$B$6)*(1+((ExtComp[[#This Row],[est. Year]]-YEAR(TODAY()))*$J$2))</f>
        <v>0</v>
      </c>
      <c r="K55" s="67">
        <f>SUM(INDEX(ExtComp['# to Replace],1):ExtComp[[#This Row],['# to Replace]])</f>
        <v>0</v>
      </c>
      <c r="L55" s="67">
        <f>ROUNDDOWN(ExtComp[[#This Row],[Count]]/50,0)+$L$1</f>
        <v>2020</v>
      </c>
      <c r="M55" s="81">
        <f t="shared" ca="1" si="0"/>
        <v>0</v>
      </c>
      <c r="N55" s="81" t="str">
        <f>IFERROR(VLOOKUP(ExtComp[[#This Row],[DEVELOPMENT]],Data[],22,FALSE),"")</f>
        <v/>
      </c>
      <c r="O55" s="88" t="str">
        <f>IFERROR(VLOOKUP(ExtComp[[#This Row],[DEVELOPMENT]],Data[],23,FALSE),"")</f>
        <v/>
      </c>
    </row>
    <row r="56" spans="1:15" x14ac:dyDescent="0.25">
      <c r="A56" s="13" t="s">
        <v>128</v>
      </c>
      <c r="B56" s="1" t="str">
        <f>VLOOKUP(A56,Data[],2,FALSE)</f>
        <v>MANHATTAN</v>
      </c>
      <c r="C56" s="9" t="s">
        <v>68</v>
      </c>
      <c r="D56" s="9" t="str">
        <f>VLOOKUP(ExtComp[[#This Row],[DEVELOPMENT]],Data[],8,FALSE)</f>
        <v>Zone 2</v>
      </c>
      <c r="E56" s="9" t="str">
        <f>VLOOKUP(ExtComp[[#This Row],[DEVELOPMENT]],Data[],9,FALSE)</f>
        <v>$$$</v>
      </c>
      <c r="F56" s="9" t="str">
        <f>IFERROR(VLOOKUP(ExtComp[[#This Row],[DEVELOPMENT]],Data[],4,FALSE),"")</f>
        <v/>
      </c>
      <c r="G56" s="9" t="str">
        <f>IF(ExtComp[[#This Row],[RAD/PACT]]="","",IF(ExtComp[[#This Row],[RAD/PACT]]&lt;=2025,"Yes",""))</f>
        <v/>
      </c>
      <c r="H56" s="1" t="str">
        <f ca="1">IF(VLOOKUP(ExtComp[[#This Row],[DEVELOPMENT]],Data[],11,FALSE)=0,"",DATEDIF(VLOOKUP(ExtComp[[#This Row],[DEVELOPMENT]],Data[],13,FALSE),TODAY(),"Y"))</f>
        <v/>
      </c>
      <c r="I56" s="1">
        <f>IF(ExtComp[[#This Row],[RAD/PACT]]="",VLOOKUP(ExtComp[[#This Row],[DEVELOPMENT]],Data[],11,FALSE),IF(ExtComp[[#This Row],[RAD/PACT by 2025]]="yes",0,VLOOKUP(ExtComp[[#This Row],[DEVELOPMENT]],Data[],11,FALSE)))</f>
        <v>0</v>
      </c>
      <c r="J56" s="63">
        <f ca="1">(ExtComp[[#This Row],['# to Replace]]*'Unit Costs'!$B$6)*(1+((ExtComp[[#This Row],[est. Year]]-YEAR(TODAY()))*$J$2))</f>
        <v>0</v>
      </c>
      <c r="K56" s="1">
        <f>SUM(INDEX(ExtComp['# to Replace],1):ExtComp[[#This Row],['# to Replace]])</f>
        <v>0</v>
      </c>
      <c r="L56" s="1">
        <f>ROUNDDOWN(ExtComp[[#This Row],[Count]]/50,0)+$L$1</f>
        <v>2020</v>
      </c>
      <c r="M56" s="81">
        <f t="shared" ca="1" si="0"/>
        <v>0</v>
      </c>
      <c r="N56" s="81" t="str">
        <f>IFERROR(VLOOKUP(ExtComp[[#This Row],[DEVELOPMENT]],Data[],22,FALSE),"")</f>
        <v/>
      </c>
      <c r="O56" s="88" t="str">
        <f>IFERROR(VLOOKUP(ExtComp[[#This Row],[DEVELOPMENT]],Data[],23,FALSE),"")</f>
        <v/>
      </c>
    </row>
    <row r="57" spans="1:15" x14ac:dyDescent="0.25">
      <c r="A57" s="13" t="s">
        <v>326</v>
      </c>
      <c r="B57" s="9" t="str">
        <f>VLOOKUP(A57,Data[],2,FALSE)</f>
        <v>BROOKLYN</v>
      </c>
      <c r="C57" s="9"/>
      <c r="D57" s="66">
        <f>VLOOKUP(ExtComp[[#This Row],[DEVELOPMENT]],Data[],8,FALSE)</f>
        <v>0</v>
      </c>
      <c r="E57" s="66">
        <f>VLOOKUP(ExtComp[[#This Row],[DEVELOPMENT]],Data[],9,FALSE)</f>
        <v>0</v>
      </c>
      <c r="F57" s="66">
        <f>IFERROR(VLOOKUP(ExtComp[[#This Row],[DEVELOPMENT]],Data[],4,FALSE),"")</f>
        <v>2021</v>
      </c>
      <c r="G57" s="66" t="str">
        <f>IF(ExtComp[[#This Row],[RAD/PACT]]="","",IF(ExtComp[[#This Row],[RAD/PACT]]&lt;=2025,"Yes",""))</f>
        <v>Yes</v>
      </c>
      <c r="H57" s="67" t="str">
        <f ca="1">IF(VLOOKUP(ExtComp[[#This Row],[DEVELOPMENT]],Data[],11,FALSE)=0,"",DATEDIF(VLOOKUP(ExtComp[[#This Row],[DEVELOPMENT]],Data[],13,FALSE),TODAY(),"Y"))</f>
        <v/>
      </c>
      <c r="I57" s="67">
        <f>IF(ExtComp[[#This Row],[RAD/PACT]]="",VLOOKUP(ExtComp[[#This Row],[DEVELOPMENT]],Data[],11,FALSE),IF(ExtComp[[#This Row],[RAD/PACT by 2025]]="yes",0,VLOOKUP(ExtComp[[#This Row],[DEVELOPMENT]],Data[],11,FALSE)))</f>
        <v>0</v>
      </c>
      <c r="J57" s="63">
        <f ca="1">(ExtComp[[#This Row],['# to Replace]]*'Unit Costs'!$B$6)*(1+((ExtComp[[#This Row],[est. Year]]-YEAR(TODAY()))*$J$2))</f>
        <v>0</v>
      </c>
      <c r="K57" s="67">
        <f>SUM(INDEX(ExtComp['# to Replace],1):ExtComp[[#This Row],['# to Replace]])</f>
        <v>0</v>
      </c>
      <c r="L57" s="67">
        <f>ROUNDDOWN(ExtComp[[#This Row],[Count]]/50,0)+$L$1</f>
        <v>2020</v>
      </c>
      <c r="M57" s="81">
        <f t="shared" ca="1" si="0"/>
        <v>0</v>
      </c>
      <c r="N57" s="81" t="str">
        <f>IFERROR(VLOOKUP(ExtComp[[#This Row],[DEVELOPMENT]],Data[],22,FALSE),"")</f>
        <v/>
      </c>
      <c r="O57" s="88" t="str">
        <f>IFERROR(VLOOKUP(ExtComp[[#This Row],[DEVELOPMENT]],Data[],23,FALSE),"")</f>
        <v/>
      </c>
    </row>
    <row r="58" spans="1:15" x14ac:dyDescent="0.25">
      <c r="A58" s="13" t="s">
        <v>325</v>
      </c>
      <c r="B58" s="9" t="str">
        <f>VLOOKUP(A58,Data[],2,FALSE)</f>
        <v>BROOKLYN</v>
      </c>
      <c r="C58" s="9" t="s">
        <v>68</v>
      </c>
      <c r="D58" s="66">
        <f>VLOOKUP(ExtComp[[#This Row],[DEVELOPMENT]],Data[],8,FALSE)</f>
        <v>0</v>
      </c>
      <c r="E58" s="66">
        <f>VLOOKUP(ExtComp[[#This Row],[DEVELOPMENT]],Data[],9,FALSE)</f>
        <v>0</v>
      </c>
      <c r="F58" s="66" t="str">
        <f>IFERROR(VLOOKUP(ExtComp[[#This Row],[DEVELOPMENT]],Data[],4,FALSE),"")</f>
        <v/>
      </c>
      <c r="G58" s="66" t="str">
        <f>IF(ExtComp[[#This Row],[RAD/PACT]]="","",IF(ExtComp[[#This Row],[RAD/PACT]]&lt;=2025,"Yes",""))</f>
        <v/>
      </c>
      <c r="H58" s="67" t="str">
        <f ca="1">IF(VLOOKUP(ExtComp[[#This Row],[DEVELOPMENT]],Data[],11,FALSE)=0,"",DATEDIF(VLOOKUP(ExtComp[[#This Row],[DEVELOPMENT]],Data[],13,FALSE),TODAY(),"Y"))</f>
        <v/>
      </c>
      <c r="I58" s="67">
        <f>IF(ExtComp[[#This Row],[RAD/PACT]]="",VLOOKUP(ExtComp[[#This Row],[DEVELOPMENT]],Data[],11,FALSE),IF(ExtComp[[#This Row],[RAD/PACT by 2025]]="yes",0,VLOOKUP(ExtComp[[#This Row],[DEVELOPMENT]],Data[],11,FALSE)))</f>
        <v>0</v>
      </c>
      <c r="J58" s="63">
        <f ca="1">(ExtComp[[#This Row],['# to Replace]]*'Unit Costs'!$B$6)*(1+((ExtComp[[#This Row],[est. Year]]-YEAR(TODAY()))*$J$2))</f>
        <v>0</v>
      </c>
      <c r="K58" s="67">
        <f>SUM(INDEX(ExtComp['# to Replace],1):ExtComp[[#This Row],['# to Replace]])</f>
        <v>0</v>
      </c>
      <c r="L58" s="67">
        <f>ROUNDDOWN(ExtComp[[#This Row],[Count]]/50,0)+$L$1</f>
        <v>2020</v>
      </c>
      <c r="M58" s="81">
        <f t="shared" ca="1" si="0"/>
        <v>0</v>
      </c>
      <c r="N58" s="81" t="str">
        <f>IFERROR(VLOOKUP(ExtComp[[#This Row],[DEVELOPMENT]],Data[],22,FALSE),"")</f>
        <v/>
      </c>
      <c r="O58" s="67" t="str">
        <f>IFERROR(VLOOKUP(ExtComp[[#This Row],[DEVELOPMENT]],Data[],23,FALSE),"")</f>
        <v/>
      </c>
    </row>
    <row r="59" spans="1:15" x14ac:dyDescent="0.25">
      <c r="A59" s="82" t="s">
        <v>45</v>
      </c>
      <c r="B59" s="1" t="str">
        <f>VLOOKUP(A59,Data[],2,FALSE)</f>
        <v>BROOKLYN</v>
      </c>
      <c r="C59" s="9" t="s">
        <v>68</v>
      </c>
      <c r="D59" s="9" t="str">
        <f>VLOOKUP(ExtComp[[#This Row],[DEVELOPMENT]],Data[],8,FALSE)</f>
        <v>Zone 1</v>
      </c>
      <c r="E59" s="9" t="str">
        <f>VLOOKUP(ExtComp[[#This Row],[DEVELOPMENT]],Data[],9,FALSE)</f>
        <v>$</v>
      </c>
      <c r="F59" s="9" t="str">
        <f>IFERROR(VLOOKUP(ExtComp[[#This Row],[DEVELOPMENT]],Data[],4,FALSE),"")</f>
        <v/>
      </c>
      <c r="G59" s="9" t="str">
        <f>IF(ExtComp[[#This Row],[RAD/PACT]]="","",IF(ExtComp[[#This Row],[RAD/PACT]]&lt;=2025,"Yes",""))</f>
        <v/>
      </c>
      <c r="H59" s="1" t="str">
        <f ca="1">IF(VLOOKUP(ExtComp[[#This Row],[DEVELOPMENT]],Data[],11,FALSE)=0,"",DATEDIF(VLOOKUP(ExtComp[[#This Row],[DEVELOPMENT]],Data[],13,FALSE),TODAY(),"Y"))</f>
        <v/>
      </c>
      <c r="I59" s="1">
        <f>IF(ExtComp[[#This Row],[RAD/PACT]]="",VLOOKUP(ExtComp[[#This Row],[DEVELOPMENT]],Data[],11,FALSE),IF(ExtComp[[#This Row],[RAD/PACT by 2025]]="yes",0,VLOOKUP(ExtComp[[#This Row],[DEVELOPMENT]],Data[],11,FALSE)))</f>
        <v>0</v>
      </c>
      <c r="J59" s="63">
        <f ca="1">(ExtComp[[#This Row],['# to Replace]]*'Unit Costs'!$B$6)*(1+((ExtComp[[#This Row],[est. Year]]-YEAR(TODAY()))*$J$2))</f>
        <v>0</v>
      </c>
      <c r="K59" s="1">
        <f>SUM(INDEX(ExtComp['# to Replace],1):ExtComp[[#This Row],['# to Replace]])</f>
        <v>0</v>
      </c>
      <c r="L59" s="1">
        <f>ROUNDDOWN(ExtComp[[#This Row],[Count]]/50,0)+$L$1</f>
        <v>2020</v>
      </c>
      <c r="M59" s="81">
        <f t="shared" ca="1" si="0"/>
        <v>0</v>
      </c>
      <c r="N59" s="81" t="str">
        <f>IFERROR(VLOOKUP(ExtComp[[#This Row],[DEVELOPMENT]],Data[],22,FALSE),"")</f>
        <v/>
      </c>
      <c r="O59" s="88" t="str">
        <f>IFERROR(VLOOKUP(ExtComp[[#This Row],[DEVELOPMENT]],Data[],23,FALSE),"")</f>
        <v/>
      </c>
    </row>
    <row r="60" spans="1:15" x14ac:dyDescent="0.25">
      <c r="A60" s="13" t="s">
        <v>324</v>
      </c>
      <c r="B60" s="9" t="str">
        <f>VLOOKUP(A60,Data[],2,FALSE)</f>
        <v>BROOKLYN</v>
      </c>
      <c r="C60" s="9" t="s">
        <v>68</v>
      </c>
      <c r="D60" s="66">
        <f>VLOOKUP(ExtComp[[#This Row],[DEVELOPMENT]],Data[],8,FALSE)</f>
        <v>0</v>
      </c>
      <c r="E60" s="66">
        <f>VLOOKUP(ExtComp[[#This Row],[DEVELOPMENT]],Data[],9,FALSE)</f>
        <v>0</v>
      </c>
      <c r="F60" s="66" t="str">
        <f>IFERROR(VLOOKUP(ExtComp[[#This Row],[DEVELOPMENT]],Data[],4,FALSE),"")</f>
        <v/>
      </c>
      <c r="G60" s="66" t="str">
        <f>IF(ExtComp[[#This Row],[RAD/PACT]]="","",IF(ExtComp[[#This Row],[RAD/PACT]]&lt;=2025,"Yes",""))</f>
        <v/>
      </c>
      <c r="H60" s="67" t="str">
        <f ca="1">IF(VLOOKUP(ExtComp[[#This Row],[DEVELOPMENT]],Data[],11,FALSE)=0,"",DATEDIF(VLOOKUP(ExtComp[[#This Row],[DEVELOPMENT]],Data[],13,FALSE),TODAY(),"Y"))</f>
        <v/>
      </c>
      <c r="I60" s="67">
        <f>IF(ExtComp[[#This Row],[RAD/PACT]]="",VLOOKUP(ExtComp[[#This Row],[DEVELOPMENT]],Data[],11,FALSE),IF(ExtComp[[#This Row],[RAD/PACT by 2025]]="yes",0,VLOOKUP(ExtComp[[#This Row],[DEVELOPMENT]],Data[],11,FALSE)))</f>
        <v>0</v>
      </c>
      <c r="J60" s="63">
        <f ca="1">(ExtComp[[#This Row],['# to Replace]]*'Unit Costs'!$B$6)*(1+((ExtComp[[#This Row],[est. Year]]-YEAR(TODAY()))*$J$2))</f>
        <v>0</v>
      </c>
      <c r="K60" s="67">
        <f>SUM(INDEX(ExtComp['# to Replace],1):ExtComp[[#This Row],['# to Replace]])</f>
        <v>0</v>
      </c>
      <c r="L60" s="67">
        <f>ROUNDDOWN(ExtComp[[#This Row],[Count]]/50,0)+$L$1</f>
        <v>2020</v>
      </c>
      <c r="M60" s="81">
        <f t="shared" ca="1" si="0"/>
        <v>0</v>
      </c>
      <c r="N60" s="81" t="str">
        <f>IFERROR(VLOOKUP(ExtComp[[#This Row],[DEVELOPMENT]],Data[],22,FALSE),"")</f>
        <v/>
      </c>
      <c r="O60" s="88" t="str">
        <f>IFERROR(VLOOKUP(ExtComp[[#This Row],[DEVELOPMENT]],Data[],23,FALSE),"")</f>
        <v/>
      </c>
    </row>
    <row r="61" spans="1:15" x14ac:dyDescent="0.25">
      <c r="A61" s="13" t="s">
        <v>323</v>
      </c>
      <c r="B61" s="9" t="str">
        <f>VLOOKUP(A61,Data[],2,FALSE)</f>
        <v>BROOKLYN</v>
      </c>
      <c r="C61" s="9" t="s">
        <v>68</v>
      </c>
      <c r="D61" s="66">
        <f>VLOOKUP(ExtComp[[#This Row],[DEVELOPMENT]],Data[],8,FALSE)</f>
        <v>0</v>
      </c>
      <c r="E61" s="66">
        <f>VLOOKUP(ExtComp[[#This Row],[DEVELOPMENT]],Data[],9,FALSE)</f>
        <v>0</v>
      </c>
      <c r="F61" s="66" t="str">
        <f>IFERROR(VLOOKUP(ExtComp[[#This Row],[DEVELOPMENT]],Data[],4,FALSE),"")</f>
        <v/>
      </c>
      <c r="G61" s="66" t="str">
        <f>IF(ExtComp[[#This Row],[RAD/PACT]]="","",IF(ExtComp[[#This Row],[RAD/PACT]]&lt;=2025,"Yes",""))</f>
        <v/>
      </c>
      <c r="H61" s="67" t="str">
        <f ca="1">IF(VLOOKUP(ExtComp[[#This Row],[DEVELOPMENT]],Data[],11,FALSE)=0,"",DATEDIF(VLOOKUP(ExtComp[[#This Row],[DEVELOPMENT]],Data[],13,FALSE),TODAY(),"Y"))</f>
        <v/>
      </c>
      <c r="I61" s="67">
        <f>IF(ExtComp[[#This Row],[RAD/PACT]]="",VLOOKUP(ExtComp[[#This Row],[DEVELOPMENT]],Data[],11,FALSE),IF(ExtComp[[#This Row],[RAD/PACT by 2025]]="yes",0,VLOOKUP(ExtComp[[#This Row],[DEVELOPMENT]],Data[],11,FALSE)))</f>
        <v>0</v>
      </c>
      <c r="J61" s="63">
        <f ca="1">(ExtComp[[#This Row],['# to Replace]]*'Unit Costs'!$B$6)*(1+((ExtComp[[#This Row],[est. Year]]-YEAR(TODAY()))*$J$2))</f>
        <v>0</v>
      </c>
      <c r="K61" s="67">
        <f>SUM(INDEX(ExtComp['# to Replace],1):ExtComp[[#This Row],['# to Replace]])</f>
        <v>0</v>
      </c>
      <c r="L61" s="67">
        <f>ROUNDDOWN(ExtComp[[#This Row],[Count]]/50,0)+$L$1</f>
        <v>2020</v>
      </c>
      <c r="M61" s="81">
        <f t="shared" ca="1" si="0"/>
        <v>0</v>
      </c>
      <c r="N61" s="81" t="str">
        <f>IFERROR(VLOOKUP(ExtComp[[#This Row],[DEVELOPMENT]],Data[],22,FALSE),"")</f>
        <v/>
      </c>
      <c r="O61" s="88" t="str">
        <f>IFERROR(VLOOKUP(ExtComp[[#This Row],[DEVELOPMENT]],Data[],23,FALSE),"")</f>
        <v/>
      </c>
    </row>
    <row r="62" spans="1:15" x14ac:dyDescent="0.25">
      <c r="A62" s="13" t="s">
        <v>322</v>
      </c>
      <c r="B62" s="9" t="str">
        <f>VLOOKUP(A62,Data[],2,FALSE)</f>
        <v>MANHATTAN</v>
      </c>
      <c r="C62" s="9" t="s">
        <v>68</v>
      </c>
      <c r="D62" s="66">
        <f>VLOOKUP(ExtComp[[#This Row],[DEVELOPMENT]],Data[],8,FALSE)</f>
        <v>0</v>
      </c>
      <c r="E62" s="66">
        <f>VLOOKUP(ExtComp[[#This Row],[DEVELOPMENT]],Data[],9,FALSE)</f>
        <v>0</v>
      </c>
      <c r="F62" s="66" t="str">
        <f>IFERROR(VLOOKUP(ExtComp[[#This Row],[DEVELOPMENT]],Data[],4,FALSE),"")</f>
        <v/>
      </c>
      <c r="G62" s="66" t="str">
        <f>IF(ExtComp[[#This Row],[RAD/PACT]]="","",IF(ExtComp[[#This Row],[RAD/PACT]]&lt;=2025,"Yes",""))</f>
        <v/>
      </c>
      <c r="H62" s="67" t="str">
        <f ca="1">IF(VLOOKUP(ExtComp[[#This Row],[DEVELOPMENT]],Data[],11,FALSE)=0,"",DATEDIF(VLOOKUP(ExtComp[[#This Row],[DEVELOPMENT]],Data[],13,FALSE),TODAY(),"Y"))</f>
        <v/>
      </c>
      <c r="I62" s="67">
        <f>IF(ExtComp[[#This Row],[RAD/PACT]]="",VLOOKUP(ExtComp[[#This Row],[DEVELOPMENT]],Data[],11,FALSE),IF(ExtComp[[#This Row],[RAD/PACT by 2025]]="yes",0,VLOOKUP(ExtComp[[#This Row],[DEVELOPMENT]],Data[],11,FALSE)))</f>
        <v>0</v>
      </c>
      <c r="J62" s="63">
        <f ca="1">(ExtComp[[#This Row],['# to Replace]]*'Unit Costs'!$B$6)*(1+((ExtComp[[#This Row],[est. Year]]-YEAR(TODAY()))*$J$2))</f>
        <v>0</v>
      </c>
      <c r="K62" s="67">
        <f>SUM(INDEX(ExtComp['# to Replace],1):ExtComp[[#This Row],['# to Replace]])</f>
        <v>0</v>
      </c>
      <c r="L62" s="67">
        <f>ROUNDDOWN(ExtComp[[#This Row],[Count]]/50,0)+$L$1</f>
        <v>2020</v>
      </c>
      <c r="M62" s="81">
        <f t="shared" ca="1" si="0"/>
        <v>0</v>
      </c>
      <c r="N62" s="81" t="str">
        <f>IFERROR(VLOOKUP(ExtComp[[#This Row],[DEVELOPMENT]],Data[],22,FALSE),"")</f>
        <v/>
      </c>
      <c r="O62" s="88" t="str">
        <f>IFERROR(VLOOKUP(ExtComp[[#This Row],[DEVELOPMENT]],Data[],23,FALSE),"")</f>
        <v/>
      </c>
    </row>
    <row r="63" spans="1:15" x14ac:dyDescent="0.25">
      <c r="A63" s="13" t="s">
        <v>321</v>
      </c>
      <c r="B63" s="9" t="str">
        <f>VLOOKUP(A63,Data[],2,FALSE)</f>
        <v>BROOKLYN</v>
      </c>
      <c r="C63" s="9" t="s">
        <v>68</v>
      </c>
      <c r="D63" s="66">
        <f>VLOOKUP(ExtComp[[#This Row],[DEVELOPMENT]],Data[],8,FALSE)</f>
        <v>0</v>
      </c>
      <c r="E63" s="66">
        <f>VLOOKUP(ExtComp[[#This Row],[DEVELOPMENT]],Data[],9,FALSE)</f>
        <v>0</v>
      </c>
      <c r="F63" s="66">
        <f>IFERROR(VLOOKUP(ExtComp[[#This Row],[DEVELOPMENT]],Data[],4,FALSE),"")</f>
        <v>2025</v>
      </c>
      <c r="G63" s="66" t="str">
        <f>IF(ExtComp[[#This Row],[RAD/PACT]]="","",IF(ExtComp[[#This Row],[RAD/PACT]]&lt;=2025,"Yes",""))</f>
        <v>Yes</v>
      </c>
      <c r="H63" s="67" t="str">
        <f ca="1">IF(VLOOKUP(ExtComp[[#This Row],[DEVELOPMENT]],Data[],11,FALSE)=0,"",DATEDIF(VLOOKUP(ExtComp[[#This Row],[DEVELOPMENT]],Data[],13,FALSE),TODAY(),"Y"))</f>
        <v/>
      </c>
      <c r="I63" s="67">
        <f>IF(ExtComp[[#This Row],[RAD/PACT]]="",VLOOKUP(ExtComp[[#This Row],[DEVELOPMENT]],Data[],11,FALSE),IF(ExtComp[[#This Row],[RAD/PACT by 2025]]="yes",0,VLOOKUP(ExtComp[[#This Row],[DEVELOPMENT]],Data[],11,FALSE)))</f>
        <v>0</v>
      </c>
      <c r="J63" s="63">
        <f ca="1">(ExtComp[[#This Row],['# to Replace]]*'Unit Costs'!$B$6)*(1+((ExtComp[[#This Row],[est. Year]]-YEAR(TODAY()))*$J$2))</f>
        <v>0</v>
      </c>
      <c r="K63" s="67">
        <f>SUM(INDEX(ExtComp['# to Replace],1):ExtComp[[#This Row],['# to Replace]])</f>
        <v>0</v>
      </c>
      <c r="L63" s="67">
        <f>ROUNDDOWN(ExtComp[[#This Row],[Count]]/50,0)+$L$1</f>
        <v>2020</v>
      </c>
      <c r="M63" s="81">
        <f t="shared" ca="1" si="0"/>
        <v>0</v>
      </c>
      <c r="N63" s="81" t="str">
        <f>IFERROR(VLOOKUP(ExtComp[[#This Row],[DEVELOPMENT]],Data[],22,FALSE),"")</f>
        <v/>
      </c>
      <c r="O63" s="88" t="str">
        <f>IFERROR(VLOOKUP(ExtComp[[#This Row],[DEVELOPMENT]],Data[],23,FALSE),"")</f>
        <v/>
      </c>
    </row>
    <row r="64" spans="1:15" x14ac:dyDescent="0.25">
      <c r="A64" s="13" t="s">
        <v>320</v>
      </c>
      <c r="B64" s="9" t="str">
        <f>VLOOKUP(A64,Data[],2,FALSE)</f>
        <v>BROOKLYN</v>
      </c>
      <c r="C64" s="9" t="s">
        <v>68</v>
      </c>
      <c r="D64" s="66">
        <f>VLOOKUP(ExtComp[[#This Row],[DEVELOPMENT]],Data[],8,FALSE)</f>
        <v>0</v>
      </c>
      <c r="E64" s="66">
        <f>VLOOKUP(ExtComp[[#This Row],[DEVELOPMENT]],Data[],9,FALSE)</f>
        <v>0</v>
      </c>
      <c r="F64" s="66">
        <f>IFERROR(VLOOKUP(ExtComp[[#This Row],[DEVELOPMENT]],Data[],4,FALSE),"")</f>
        <v>2025</v>
      </c>
      <c r="G64" s="66" t="str">
        <f>IF(ExtComp[[#This Row],[RAD/PACT]]="","",IF(ExtComp[[#This Row],[RAD/PACT]]&lt;=2025,"Yes",""))</f>
        <v>Yes</v>
      </c>
      <c r="H64" s="67" t="str">
        <f ca="1">IF(VLOOKUP(ExtComp[[#This Row],[DEVELOPMENT]],Data[],11,FALSE)=0,"",DATEDIF(VLOOKUP(ExtComp[[#This Row],[DEVELOPMENT]],Data[],13,FALSE),TODAY(),"Y"))</f>
        <v/>
      </c>
      <c r="I64" s="67">
        <f>IF(ExtComp[[#This Row],[RAD/PACT]]="",VLOOKUP(ExtComp[[#This Row],[DEVELOPMENT]],Data[],11,FALSE),IF(ExtComp[[#This Row],[RAD/PACT by 2025]]="yes",0,VLOOKUP(ExtComp[[#This Row],[DEVELOPMENT]],Data[],11,FALSE)))</f>
        <v>0</v>
      </c>
      <c r="J64" s="63">
        <f ca="1">(ExtComp[[#This Row],['# to Replace]]*'Unit Costs'!$B$6)*(1+((ExtComp[[#This Row],[est. Year]]-YEAR(TODAY()))*$J$2))</f>
        <v>0</v>
      </c>
      <c r="K64" s="67">
        <f>SUM(INDEX(ExtComp['# to Replace],1):ExtComp[[#This Row],['# to Replace]])</f>
        <v>0</v>
      </c>
      <c r="L64" s="67">
        <f>ROUNDDOWN(ExtComp[[#This Row],[Count]]/50,0)+$L$1</f>
        <v>2020</v>
      </c>
      <c r="M64" s="81">
        <f t="shared" ca="1" si="0"/>
        <v>0</v>
      </c>
      <c r="N64" s="81" t="str">
        <f>IFERROR(VLOOKUP(ExtComp[[#This Row],[DEVELOPMENT]],Data[],22,FALSE),"")</f>
        <v/>
      </c>
      <c r="O64" s="88" t="str">
        <f>IFERROR(VLOOKUP(ExtComp[[#This Row],[DEVELOPMENT]],Data[],23,FALSE),"")</f>
        <v/>
      </c>
    </row>
    <row r="65" spans="1:15" x14ac:dyDescent="0.25">
      <c r="A65" s="13" t="s">
        <v>97</v>
      </c>
      <c r="B65" s="1" t="str">
        <f>VLOOKUP(A65,Data[],2,FALSE)</f>
        <v>BRONX</v>
      </c>
      <c r="C65" s="9" t="s">
        <v>68</v>
      </c>
      <c r="D65" s="9" t="str">
        <f>VLOOKUP(ExtComp[[#This Row],[DEVELOPMENT]],Data[],8,FALSE)</f>
        <v>Zone 3</v>
      </c>
      <c r="E65" s="9" t="str">
        <f>VLOOKUP(ExtComp[[#This Row],[DEVELOPMENT]],Data[],9,FALSE)</f>
        <v>$$$</v>
      </c>
      <c r="F65" s="9">
        <f>IFERROR(VLOOKUP(ExtComp[[#This Row],[DEVELOPMENT]],Data[],4,FALSE),"")</f>
        <v>2026</v>
      </c>
      <c r="G65" s="9" t="str">
        <f>IF(ExtComp[[#This Row],[RAD/PACT]]="","",IF(ExtComp[[#This Row],[RAD/PACT]]&lt;=2025,"Yes",""))</f>
        <v/>
      </c>
      <c r="H65" s="1" t="str">
        <f ca="1">IF(VLOOKUP(ExtComp[[#This Row],[DEVELOPMENT]],Data[],11,FALSE)=0,"",DATEDIF(VLOOKUP(ExtComp[[#This Row],[DEVELOPMENT]],Data[],13,FALSE),TODAY(),"Y"))</f>
        <v/>
      </c>
      <c r="I65" s="1">
        <f>IF(ExtComp[[#This Row],[RAD/PACT]]="",VLOOKUP(ExtComp[[#This Row],[DEVELOPMENT]],Data[],11,FALSE),IF(ExtComp[[#This Row],[RAD/PACT by 2025]]="yes",0,VLOOKUP(ExtComp[[#This Row],[DEVELOPMENT]],Data[],11,FALSE)))</f>
        <v>0</v>
      </c>
      <c r="J65" s="63">
        <f ca="1">(ExtComp[[#This Row],['# to Replace]]*'Unit Costs'!$B$6)*(1+((ExtComp[[#This Row],[est. Year]]-YEAR(TODAY()))*$J$2))</f>
        <v>0</v>
      </c>
      <c r="K65" s="1">
        <f>SUM(INDEX(ExtComp['# to Replace],1):ExtComp[[#This Row],['# to Replace]])</f>
        <v>0</v>
      </c>
      <c r="L65" s="1">
        <f>ROUNDDOWN(ExtComp[[#This Row],[Count]]/50,0)+$L$1</f>
        <v>2020</v>
      </c>
      <c r="M65" s="81">
        <f t="shared" ca="1" si="0"/>
        <v>0</v>
      </c>
      <c r="N65" s="81" t="str">
        <f>IFERROR(VLOOKUP(ExtComp[[#This Row],[DEVELOPMENT]],Data[],22,FALSE),"")</f>
        <v/>
      </c>
      <c r="O65" s="67" t="str">
        <f>IFERROR(VLOOKUP(ExtComp[[#This Row],[DEVELOPMENT]],Data[],23,FALSE),"")</f>
        <v/>
      </c>
    </row>
    <row r="66" spans="1:15" x14ac:dyDescent="0.25">
      <c r="A66" s="13" t="s">
        <v>319</v>
      </c>
      <c r="B66" s="9" t="str">
        <f>VLOOKUP(A66,Data[],2,FALSE)</f>
        <v>STATEN ISLAND</v>
      </c>
      <c r="C66" s="9" t="s">
        <v>68</v>
      </c>
      <c r="D66" s="66">
        <f>VLOOKUP(ExtComp[[#This Row],[DEVELOPMENT]],Data[],8,FALSE)</f>
        <v>0</v>
      </c>
      <c r="E66" s="66">
        <f>VLOOKUP(ExtComp[[#This Row],[DEVELOPMENT]],Data[],9,FALSE)</f>
        <v>0</v>
      </c>
      <c r="F66" s="66" t="str">
        <f>IFERROR(VLOOKUP(ExtComp[[#This Row],[DEVELOPMENT]],Data[],4,FALSE),"")</f>
        <v/>
      </c>
      <c r="G66" s="66" t="str">
        <f>IF(ExtComp[[#This Row],[RAD/PACT]]="","",IF(ExtComp[[#This Row],[RAD/PACT]]&lt;=2025,"Yes",""))</f>
        <v/>
      </c>
      <c r="H66" s="67" t="str">
        <f ca="1">IF(VLOOKUP(ExtComp[[#This Row],[DEVELOPMENT]],Data[],11,FALSE)=0,"",DATEDIF(VLOOKUP(ExtComp[[#This Row],[DEVELOPMENT]],Data[],13,FALSE),TODAY(),"Y"))</f>
        <v/>
      </c>
      <c r="I66" s="67">
        <f>IF(ExtComp[[#This Row],[RAD/PACT]]="",VLOOKUP(ExtComp[[#This Row],[DEVELOPMENT]],Data[],11,FALSE),IF(ExtComp[[#This Row],[RAD/PACT by 2025]]="yes",0,VLOOKUP(ExtComp[[#This Row],[DEVELOPMENT]],Data[],11,FALSE)))</f>
        <v>0</v>
      </c>
      <c r="J66" s="63">
        <f ca="1">(ExtComp[[#This Row],['# to Replace]]*'Unit Costs'!$B$6)*(1+((ExtComp[[#This Row],[est. Year]]-YEAR(TODAY()))*$J$2))</f>
        <v>0</v>
      </c>
      <c r="K66" s="67">
        <f>SUM(INDEX(ExtComp['# to Replace],1):ExtComp[[#This Row],['# to Replace]])</f>
        <v>0</v>
      </c>
      <c r="L66" s="67">
        <f>ROUNDDOWN(ExtComp[[#This Row],[Count]]/50,0)+$L$1</f>
        <v>2020</v>
      </c>
      <c r="M66" s="81">
        <f t="shared" ca="1" si="0"/>
        <v>0</v>
      </c>
      <c r="N66" s="81" t="str">
        <f>IFERROR(VLOOKUP(ExtComp[[#This Row],[DEVELOPMENT]],Data[],22,FALSE),"")</f>
        <v/>
      </c>
      <c r="O66" s="88" t="str">
        <f>IFERROR(VLOOKUP(ExtComp[[#This Row],[DEVELOPMENT]],Data[],23,FALSE),"")</f>
        <v/>
      </c>
    </row>
    <row r="67" spans="1:15" x14ac:dyDescent="0.25">
      <c r="A67" s="13" t="s">
        <v>318</v>
      </c>
      <c r="B67" s="9" t="str">
        <f>VLOOKUP(A67,Data[],2,FALSE)</f>
        <v>MANHATTAN</v>
      </c>
      <c r="C67" s="9" t="s">
        <v>68</v>
      </c>
      <c r="D67" s="66">
        <f>VLOOKUP(ExtComp[[#This Row],[DEVELOPMENT]],Data[],8,FALSE)</f>
        <v>0</v>
      </c>
      <c r="E67" s="66">
        <f>VLOOKUP(ExtComp[[#This Row],[DEVELOPMENT]],Data[],9,FALSE)</f>
        <v>0</v>
      </c>
      <c r="F67" s="66" t="str">
        <f>IFERROR(VLOOKUP(ExtComp[[#This Row],[DEVELOPMENT]],Data[],4,FALSE),"")</f>
        <v/>
      </c>
      <c r="G67" s="66" t="str">
        <f>IF(ExtComp[[#This Row],[RAD/PACT]]="","",IF(ExtComp[[#This Row],[RAD/PACT]]&lt;=2025,"Yes",""))</f>
        <v/>
      </c>
      <c r="H67" s="67" t="str">
        <f ca="1">IF(VLOOKUP(ExtComp[[#This Row],[DEVELOPMENT]],Data[],11,FALSE)=0,"",DATEDIF(VLOOKUP(ExtComp[[#This Row],[DEVELOPMENT]],Data[],13,FALSE),TODAY(),"Y"))</f>
        <v/>
      </c>
      <c r="I67" s="67">
        <f>IF(ExtComp[[#This Row],[RAD/PACT]]="",VLOOKUP(ExtComp[[#This Row],[DEVELOPMENT]],Data[],11,FALSE),IF(ExtComp[[#This Row],[RAD/PACT by 2025]]="yes",0,VLOOKUP(ExtComp[[#This Row],[DEVELOPMENT]],Data[],11,FALSE)))</f>
        <v>0</v>
      </c>
      <c r="J67" s="63">
        <f ca="1">(ExtComp[[#This Row],['# to Replace]]*'Unit Costs'!$B$6)*(1+((ExtComp[[#This Row],[est. Year]]-YEAR(TODAY()))*$J$2))</f>
        <v>0</v>
      </c>
      <c r="K67" s="67">
        <f>SUM(INDEX(ExtComp['# to Replace],1):ExtComp[[#This Row],['# to Replace]])</f>
        <v>0</v>
      </c>
      <c r="L67" s="67">
        <f>ROUNDDOWN(ExtComp[[#This Row],[Count]]/50,0)+$L$1</f>
        <v>2020</v>
      </c>
      <c r="M67" s="81">
        <f t="shared" ca="1" si="0"/>
        <v>0</v>
      </c>
      <c r="N67" s="81" t="str">
        <f>IFERROR(VLOOKUP(ExtComp[[#This Row],[DEVELOPMENT]],Data[],22,FALSE),"")</f>
        <v/>
      </c>
      <c r="O67" s="88" t="str">
        <f>IFERROR(VLOOKUP(ExtComp[[#This Row],[DEVELOPMENT]],Data[],23,FALSE),"")</f>
        <v/>
      </c>
    </row>
    <row r="68" spans="1:15" x14ac:dyDescent="0.25">
      <c r="A68" s="13" t="s">
        <v>317</v>
      </c>
      <c r="B68" s="9" t="str">
        <f>VLOOKUP(A68,Data[],2,FALSE)</f>
        <v>QUEENS</v>
      </c>
      <c r="C68" s="9"/>
      <c r="D68" s="66">
        <f>VLOOKUP(ExtComp[[#This Row],[DEVELOPMENT]],Data[],8,FALSE)</f>
        <v>0</v>
      </c>
      <c r="E68" s="66">
        <f>VLOOKUP(ExtComp[[#This Row],[DEVELOPMENT]],Data[],9,FALSE)</f>
        <v>0</v>
      </c>
      <c r="F68" s="66">
        <f>IFERROR(VLOOKUP(ExtComp[[#This Row],[DEVELOPMENT]],Data[],4,FALSE),"")</f>
        <v>2021</v>
      </c>
      <c r="G68" s="66" t="str">
        <f>IF(ExtComp[[#This Row],[RAD/PACT]]="","",IF(ExtComp[[#This Row],[RAD/PACT]]&lt;=2025,"Yes",""))</f>
        <v>Yes</v>
      </c>
      <c r="H68" s="67" t="str">
        <f ca="1">IF(VLOOKUP(ExtComp[[#This Row],[DEVELOPMENT]],Data[],11,FALSE)=0,"",DATEDIF(VLOOKUP(ExtComp[[#This Row],[DEVELOPMENT]],Data[],13,FALSE),TODAY(),"Y"))</f>
        <v/>
      </c>
      <c r="I68" s="67">
        <f>IF(ExtComp[[#This Row],[RAD/PACT]]="",VLOOKUP(ExtComp[[#This Row],[DEVELOPMENT]],Data[],11,FALSE),IF(ExtComp[[#This Row],[RAD/PACT by 2025]]="yes",0,VLOOKUP(ExtComp[[#This Row],[DEVELOPMENT]],Data[],11,FALSE)))</f>
        <v>0</v>
      </c>
      <c r="J68" s="63">
        <f ca="1">(ExtComp[[#This Row],['# to Replace]]*'Unit Costs'!$B$6)*(1+((ExtComp[[#This Row],[est. Year]]-YEAR(TODAY()))*$J$2))</f>
        <v>0</v>
      </c>
      <c r="K68" s="67">
        <f>SUM(INDEX(ExtComp['# to Replace],1):ExtComp[[#This Row],['# to Replace]])</f>
        <v>0</v>
      </c>
      <c r="L68" s="67">
        <f>ROUNDDOWN(ExtComp[[#This Row],[Count]]/50,0)+$L$1</f>
        <v>2020</v>
      </c>
      <c r="M68" s="81">
        <f t="shared" ref="M68:M131" ca="1" si="1">IF(L68=L67,J68+M67,J68)</f>
        <v>0</v>
      </c>
      <c r="N68" s="81" t="str">
        <f>IFERROR(VLOOKUP(ExtComp[[#This Row],[DEVELOPMENT]],Data[],22,FALSE),"")</f>
        <v/>
      </c>
      <c r="O68" s="88" t="str">
        <f>IFERROR(VLOOKUP(ExtComp[[#This Row],[DEVELOPMENT]],Data[],23,FALSE),"")</f>
        <v/>
      </c>
    </row>
    <row r="69" spans="1:15" x14ac:dyDescent="0.25">
      <c r="A69" s="13" t="s">
        <v>316</v>
      </c>
      <c r="B69" s="9" t="str">
        <f>VLOOKUP(A69,Data[],2,FALSE)</f>
        <v>QUEENS</v>
      </c>
      <c r="C69" s="9"/>
      <c r="D69" s="66">
        <f>VLOOKUP(ExtComp[[#This Row],[DEVELOPMENT]],Data[],8,FALSE)</f>
        <v>0</v>
      </c>
      <c r="E69" s="66">
        <f>VLOOKUP(ExtComp[[#This Row],[DEVELOPMENT]],Data[],9,FALSE)</f>
        <v>0</v>
      </c>
      <c r="F69" s="66">
        <f>IFERROR(VLOOKUP(ExtComp[[#This Row],[DEVELOPMENT]],Data[],4,FALSE),"")</f>
        <v>2021</v>
      </c>
      <c r="G69" s="66" t="str">
        <f>IF(ExtComp[[#This Row],[RAD/PACT]]="","",IF(ExtComp[[#This Row],[RAD/PACT]]&lt;=2025,"Yes",""))</f>
        <v>Yes</v>
      </c>
      <c r="H69" s="67" t="str">
        <f ca="1">IF(VLOOKUP(ExtComp[[#This Row],[DEVELOPMENT]],Data[],11,FALSE)=0,"",DATEDIF(VLOOKUP(ExtComp[[#This Row],[DEVELOPMENT]],Data[],13,FALSE),TODAY(),"Y"))</f>
        <v/>
      </c>
      <c r="I69" s="67">
        <f>IF(ExtComp[[#This Row],[RAD/PACT]]="",VLOOKUP(ExtComp[[#This Row],[DEVELOPMENT]],Data[],11,FALSE),IF(ExtComp[[#This Row],[RAD/PACT by 2025]]="yes",0,VLOOKUP(ExtComp[[#This Row],[DEVELOPMENT]],Data[],11,FALSE)))</f>
        <v>0</v>
      </c>
      <c r="J69" s="63">
        <f ca="1">(ExtComp[[#This Row],['# to Replace]]*'Unit Costs'!$B$6)*(1+((ExtComp[[#This Row],[est. Year]]-YEAR(TODAY()))*$J$2))</f>
        <v>0</v>
      </c>
      <c r="K69" s="67">
        <f>SUM(INDEX(ExtComp['# to Replace],1):ExtComp[[#This Row],['# to Replace]])</f>
        <v>0</v>
      </c>
      <c r="L69" s="67">
        <f>ROUNDDOWN(ExtComp[[#This Row],[Count]]/50,0)+$L$1</f>
        <v>2020</v>
      </c>
      <c r="M69" s="81">
        <f t="shared" ca="1" si="1"/>
        <v>0</v>
      </c>
      <c r="N69" s="81" t="str">
        <f>IFERROR(VLOOKUP(ExtComp[[#This Row],[DEVELOPMENT]],Data[],22,FALSE),"")</f>
        <v/>
      </c>
      <c r="O69" s="88" t="str">
        <f>IFERROR(VLOOKUP(ExtComp[[#This Row],[DEVELOPMENT]],Data[],23,FALSE),"")</f>
        <v/>
      </c>
    </row>
    <row r="70" spans="1:15" x14ac:dyDescent="0.25">
      <c r="A70" s="13" t="s">
        <v>96</v>
      </c>
      <c r="B70" s="1" t="str">
        <f>VLOOKUP(A70,Data[],2,FALSE)</f>
        <v>BRONX</v>
      </c>
      <c r="C70" s="9" t="s">
        <v>68</v>
      </c>
      <c r="D70" s="9" t="str">
        <f>VLOOKUP(ExtComp[[#This Row],[DEVELOPMENT]],Data[],8,FALSE)</f>
        <v>Zone 3</v>
      </c>
      <c r="E70" s="9" t="str">
        <f>VLOOKUP(ExtComp[[#This Row],[DEVELOPMENT]],Data[],9,FALSE)</f>
        <v>$$</v>
      </c>
      <c r="F70" s="9">
        <f>IFERROR(VLOOKUP(ExtComp[[#This Row],[DEVELOPMENT]],Data[],4,FALSE),"")</f>
        <v>2026</v>
      </c>
      <c r="G70" s="9" t="str">
        <f>IF(ExtComp[[#This Row],[RAD/PACT]]="","",IF(ExtComp[[#This Row],[RAD/PACT]]&lt;=2025,"Yes",""))</f>
        <v/>
      </c>
      <c r="H70" s="1" t="str">
        <f ca="1">IF(VLOOKUP(ExtComp[[#This Row],[DEVELOPMENT]],Data[],11,FALSE)=0,"",DATEDIF(VLOOKUP(ExtComp[[#This Row],[DEVELOPMENT]],Data[],13,FALSE),TODAY(),"Y"))</f>
        <v/>
      </c>
      <c r="I70" s="1">
        <f>IF(ExtComp[[#This Row],[RAD/PACT]]="",VLOOKUP(ExtComp[[#This Row],[DEVELOPMENT]],Data[],11,FALSE),IF(ExtComp[[#This Row],[RAD/PACT by 2025]]="yes",0,VLOOKUP(ExtComp[[#This Row],[DEVELOPMENT]],Data[],11,FALSE)))</f>
        <v>0</v>
      </c>
      <c r="J70" s="63">
        <f ca="1">(ExtComp[[#This Row],['# to Replace]]*'Unit Costs'!$B$6)*(1+((ExtComp[[#This Row],[est. Year]]-YEAR(TODAY()))*$J$2))</f>
        <v>0</v>
      </c>
      <c r="K70" s="1">
        <f>SUM(INDEX(ExtComp['# to Replace],1):ExtComp[[#This Row],['# to Replace]])</f>
        <v>0</v>
      </c>
      <c r="L70" s="1">
        <f>ROUNDDOWN(ExtComp[[#This Row],[Count]]/50,0)+$L$1</f>
        <v>2020</v>
      </c>
      <c r="M70" s="81">
        <f t="shared" ca="1" si="1"/>
        <v>0</v>
      </c>
      <c r="N70" s="81" t="str">
        <f>IFERROR(VLOOKUP(ExtComp[[#This Row],[DEVELOPMENT]],Data[],22,FALSE),"")</f>
        <v/>
      </c>
      <c r="O70" s="67" t="str">
        <f>IFERROR(VLOOKUP(ExtComp[[#This Row],[DEVELOPMENT]],Data[],23,FALSE),"")</f>
        <v/>
      </c>
    </row>
    <row r="71" spans="1:15" x14ac:dyDescent="0.25">
      <c r="A71" s="13" t="s">
        <v>315</v>
      </c>
      <c r="B71" s="9" t="str">
        <f>VLOOKUP(A71,Data[],2,FALSE)</f>
        <v>STATEN ISLAND</v>
      </c>
      <c r="C71" s="9" t="s">
        <v>68</v>
      </c>
      <c r="D71" s="66">
        <f>VLOOKUP(ExtComp[[#This Row],[DEVELOPMENT]],Data[],8,FALSE)</f>
        <v>0</v>
      </c>
      <c r="E71" s="66">
        <f>VLOOKUP(ExtComp[[#This Row],[DEVELOPMENT]],Data[],9,FALSE)</f>
        <v>0</v>
      </c>
      <c r="F71" s="66" t="str">
        <f>IFERROR(VLOOKUP(ExtComp[[#This Row],[DEVELOPMENT]],Data[],4,FALSE),"")</f>
        <v/>
      </c>
      <c r="G71" s="66" t="str">
        <f>IF(ExtComp[[#This Row],[RAD/PACT]]="","",IF(ExtComp[[#This Row],[RAD/PACT]]&lt;=2025,"Yes",""))</f>
        <v/>
      </c>
      <c r="H71" s="67" t="str">
        <f ca="1">IF(VLOOKUP(ExtComp[[#This Row],[DEVELOPMENT]],Data[],11,FALSE)=0,"",DATEDIF(VLOOKUP(ExtComp[[#This Row],[DEVELOPMENT]],Data[],13,FALSE),TODAY(),"Y"))</f>
        <v/>
      </c>
      <c r="I71" s="67">
        <f>IF(ExtComp[[#This Row],[RAD/PACT]]="",VLOOKUP(ExtComp[[#This Row],[DEVELOPMENT]],Data[],11,FALSE),IF(ExtComp[[#This Row],[RAD/PACT by 2025]]="yes",0,VLOOKUP(ExtComp[[#This Row],[DEVELOPMENT]],Data[],11,FALSE)))</f>
        <v>0</v>
      </c>
      <c r="J71" s="63">
        <f ca="1">(ExtComp[[#This Row],['# to Replace]]*'Unit Costs'!$B$6)*(1+((ExtComp[[#This Row],[est. Year]]-YEAR(TODAY()))*$J$2))</f>
        <v>0</v>
      </c>
      <c r="K71" s="67">
        <f>SUM(INDEX(ExtComp['# to Replace],1):ExtComp[[#This Row],['# to Replace]])</f>
        <v>0</v>
      </c>
      <c r="L71" s="67">
        <f>ROUNDDOWN(ExtComp[[#This Row],[Count]]/50,0)+$L$1</f>
        <v>2020</v>
      </c>
      <c r="M71" s="81">
        <f t="shared" ca="1" si="1"/>
        <v>0</v>
      </c>
      <c r="N71" s="81" t="str">
        <f>IFERROR(VLOOKUP(ExtComp[[#This Row],[DEVELOPMENT]],Data[],22,FALSE),"")</f>
        <v/>
      </c>
      <c r="O71" s="88" t="str">
        <f>IFERROR(VLOOKUP(ExtComp[[#This Row],[DEVELOPMENT]],Data[],23,FALSE),"")</f>
        <v/>
      </c>
    </row>
    <row r="72" spans="1:15" x14ac:dyDescent="0.25">
      <c r="A72" s="13" t="s">
        <v>314</v>
      </c>
      <c r="B72" s="9" t="str">
        <f>VLOOKUP(A72,Data[],2,FALSE)</f>
        <v>BRONX</v>
      </c>
      <c r="C72" s="9"/>
      <c r="D72" s="66">
        <f>VLOOKUP(ExtComp[[#This Row],[DEVELOPMENT]],Data[],8,FALSE)</f>
        <v>0</v>
      </c>
      <c r="E72" s="66">
        <f>VLOOKUP(ExtComp[[#This Row],[DEVELOPMENT]],Data[],9,FALSE)</f>
        <v>0</v>
      </c>
      <c r="F72" s="66">
        <f>IFERROR(VLOOKUP(ExtComp[[#This Row],[DEVELOPMENT]],Data[],4,FALSE),"")</f>
        <v>2023</v>
      </c>
      <c r="G72" s="66" t="str">
        <f>IF(ExtComp[[#This Row],[RAD/PACT]]="","",IF(ExtComp[[#This Row],[RAD/PACT]]&lt;=2025,"Yes",""))</f>
        <v>Yes</v>
      </c>
      <c r="H72" s="67" t="str">
        <f ca="1">IF(VLOOKUP(ExtComp[[#This Row],[DEVELOPMENT]],Data[],11,FALSE)=0,"",DATEDIF(VLOOKUP(ExtComp[[#This Row],[DEVELOPMENT]],Data[],13,FALSE),TODAY(),"Y"))</f>
        <v/>
      </c>
      <c r="I72" s="67">
        <f>IF(ExtComp[[#This Row],[RAD/PACT]]="",VLOOKUP(ExtComp[[#This Row],[DEVELOPMENT]],Data[],11,FALSE),IF(ExtComp[[#This Row],[RAD/PACT by 2025]]="yes",0,VLOOKUP(ExtComp[[#This Row],[DEVELOPMENT]],Data[],11,FALSE)))</f>
        <v>0</v>
      </c>
      <c r="J72" s="63">
        <f ca="1">(ExtComp[[#This Row],['# to Replace]]*'Unit Costs'!$B$6)*(1+((ExtComp[[#This Row],[est. Year]]-YEAR(TODAY()))*$J$2))</f>
        <v>0</v>
      </c>
      <c r="K72" s="67">
        <f>SUM(INDEX(ExtComp['# to Replace],1):ExtComp[[#This Row],['# to Replace]])</f>
        <v>0</v>
      </c>
      <c r="L72" s="67">
        <f>ROUNDDOWN(ExtComp[[#This Row],[Count]]/50,0)+$L$1</f>
        <v>2020</v>
      </c>
      <c r="M72" s="81">
        <f t="shared" ca="1" si="1"/>
        <v>0</v>
      </c>
      <c r="N72" s="81" t="str">
        <f>IFERROR(VLOOKUP(ExtComp[[#This Row],[DEVELOPMENT]],Data[],22,FALSE),"")</f>
        <v/>
      </c>
      <c r="O72" s="67" t="str">
        <f>IFERROR(VLOOKUP(ExtComp[[#This Row],[DEVELOPMENT]],Data[],23,FALSE),"")</f>
        <v/>
      </c>
    </row>
    <row r="73" spans="1:15" x14ac:dyDescent="0.25">
      <c r="A73" s="13" t="s">
        <v>313</v>
      </c>
      <c r="B73" s="9" t="str">
        <f>VLOOKUP(A73,Data[],2,FALSE)</f>
        <v>BRONX</v>
      </c>
      <c r="C73" s="9" t="s">
        <v>68</v>
      </c>
      <c r="D73" s="66">
        <f>VLOOKUP(ExtComp[[#This Row],[DEVELOPMENT]],Data[],8,FALSE)</f>
        <v>0</v>
      </c>
      <c r="E73" s="66">
        <f>VLOOKUP(ExtComp[[#This Row],[DEVELOPMENT]],Data[],9,FALSE)</f>
        <v>0</v>
      </c>
      <c r="F73" s="66" t="str">
        <f>IFERROR(VLOOKUP(ExtComp[[#This Row],[DEVELOPMENT]],Data[],4,FALSE),"")</f>
        <v/>
      </c>
      <c r="G73" s="66" t="str">
        <f>IF(ExtComp[[#This Row],[RAD/PACT]]="","",IF(ExtComp[[#This Row],[RAD/PACT]]&lt;=2025,"Yes",""))</f>
        <v/>
      </c>
      <c r="H73" s="67" t="str">
        <f ca="1">IF(VLOOKUP(ExtComp[[#This Row],[DEVELOPMENT]],Data[],11,FALSE)=0,"",DATEDIF(VLOOKUP(ExtComp[[#This Row],[DEVELOPMENT]],Data[],13,FALSE),TODAY(),"Y"))</f>
        <v/>
      </c>
      <c r="I73" s="67">
        <f>IF(ExtComp[[#This Row],[RAD/PACT]]="",VLOOKUP(ExtComp[[#This Row],[DEVELOPMENT]],Data[],11,FALSE),IF(ExtComp[[#This Row],[RAD/PACT by 2025]]="yes",0,VLOOKUP(ExtComp[[#This Row],[DEVELOPMENT]],Data[],11,FALSE)))</f>
        <v>0</v>
      </c>
      <c r="J73" s="63">
        <f ca="1">(ExtComp[[#This Row],['# to Replace]]*'Unit Costs'!$B$6)*(1+((ExtComp[[#This Row],[est. Year]]-YEAR(TODAY()))*$J$2))</f>
        <v>0</v>
      </c>
      <c r="K73" s="67">
        <f>SUM(INDEX(ExtComp['# to Replace],1):ExtComp[[#This Row],['# to Replace]])</f>
        <v>0</v>
      </c>
      <c r="L73" s="67">
        <f>ROUNDDOWN(ExtComp[[#This Row],[Count]]/50,0)+$L$1</f>
        <v>2020</v>
      </c>
      <c r="M73" s="81">
        <f t="shared" ca="1" si="1"/>
        <v>0</v>
      </c>
      <c r="N73" s="81" t="str">
        <f>IFERROR(VLOOKUP(ExtComp[[#This Row],[DEVELOPMENT]],Data[],22,FALSE),"")</f>
        <v/>
      </c>
      <c r="O73" s="88" t="str">
        <f>IFERROR(VLOOKUP(ExtComp[[#This Row],[DEVELOPMENT]],Data[],23,FALSE),"")</f>
        <v/>
      </c>
    </row>
    <row r="74" spans="1:15" x14ac:dyDescent="0.25">
      <c r="A74" s="82" t="s">
        <v>44</v>
      </c>
      <c r="B74" s="1" t="str">
        <f>VLOOKUP(A74,Data[],2,FALSE)</f>
        <v>MANHATTAN</v>
      </c>
      <c r="C74" s="9" t="s">
        <v>68</v>
      </c>
      <c r="D74" s="9" t="str">
        <f>VLOOKUP(ExtComp[[#This Row],[DEVELOPMENT]],Data[],8,FALSE)</f>
        <v>Zone 1</v>
      </c>
      <c r="E74" s="9" t="str">
        <f>VLOOKUP(ExtComp[[#This Row],[DEVELOPMENT]],Data[],9,FALSE)</f>
        <v>$</v>
      </c>
      <c r="F74" s="9" t="str">
        <f>IFERROR(VLOOKUP(ExtComp[[#This Row],[DEVELOPMENT]],Data[],4,FALSE),"")</f>
        <v/>
      </c>
      <c r="G74" s="9" t="str">
        <f>IF(ExtComp[[#This Row],[RAD/PACT]]="","",IF(ExtComp[[#This Row],[RAD/PACT]]&lt;=2025,"Yes",""))</f>
        <v/>
      </c>
      <c r="H74" s="1" t="str">
        <f ca="1">IF(VLOOKUP(ExtComp[[#This Row],[DEVELOPMENT]],Data[],11,FALSE)=0,"",DATEDIF(VLOOKUP(ExtComp[[#This Row],[DEVELOPMENT]],Data[],13,FALSE),TODAY(),"Y"))</f>
        <v/>
      </c>
      <c r="I74" s="1">
        <f>IF(ExtComp[[#This Row],[RAD/PACT]]="",VLOOKUP(ExtComp[[#This Row],[DEVELOPMENT]],Data[],11,FALSE),IF(ExtComp[[#This Row],[RAD/PACT by 2025]]="yes",0,VLOOKUP(ExtComp[[#This Row],[DEVELOPMENT]],Data[],11,FALSE)))</f>
        <v>0</v>
      </c>
      <c r="J74" s="63">
        <f ca="1">(ExtComp[[#This Row],['# to Replace]]*'Unit Costs'!$B$6)*(1+((ExtComp[[#This Row],[est. Year]]-YEAR(TODAY()))*$J$2))</f>
        <v>0</v>
      </c>
      <c r="K74" s="1">
        <f>SUM(INDEX(ExtComp['# to Replace],1):ExtComp[[#This Row],['# to Replace]])</f>
        <v>0</v>
      </c>
      <c r="L74" s="1">
        <f>ROUNDDOWN(ExtComp[[#This Row],[Count]]/50,0)+$L$1</f>
        <v>2020</v>
      </c>
      <c r="M74" s="81">
        <f t="shared" ca="1" si="1"/>
        <v>0</v>
      </c>
      <c r="N74" s="81" t="str">
        <f>IFERROR(VLOOKUP(ExtComp[[#This Row],[DEVELOPMENT]],Data[],22,FALSE),"")</f>
        <v/>
      </c>
      <c r="O74" s="88" t="str">
        <f>IFERROR(VLOOKUP(ExtComp[[#This Row],[DEVELOPMENT]],Data[],23,FALSE),"")</f>
        <v/>
      </c>
    </row>
    <row r="75" spans="1:15" x14ac:dyDescent="0.25">
      <c r="A75" s="13" t="s">
        <v>312</v>
      </c>
      <c r="B75" s="9" t="str">
        <f>VLOOKUP(A75,Data[],2,FALSE)</f>
        <v>QUEENS</v>
      </c>
      <c r="C75" s="9" t="s">
        <v>68</v>
      </c>
      <c r="D75" s="66">
        <f>VLOOKUP(ExtComp[[#This Row],[DEVELOPMENT]],Data[],8,FALSE)</f>
        <v>0</v>
      </c>
      <c r="E75" s="66">
        <f>VLOOKUP(ExtComp[[#This Row],[DEVELOPMENT]],Data[],9,FALSE)</f>
        <v>0</v>
      </c>
      <c r="F75" s="66" t="str">
        <f>IFERROR(VLOOKUP(ExtComp[[#This Row],[DEVELOPMENT]],Data[],4,FALSE),"")</f>
        <v/>
      </c>
      <c r="G75" s="66" t="str">
        <f>IF(ExtComp[[#This Row],[RAD/PACT]]="","",IF(ExtComp[[#This Row],[RAD/PACT]]&lt;=2025,"Yes",""))</f>
        <v/>
      </c>
      <c r="H75" s="67" t="str">
        <f ca="1">IF(VLOOKUP(ExtComp[[#This Row],[DEVELOPMENT]],Data[],11,FALSE)=0,"",DATEDIF(VLOOKUP(ExtComp[[#This Row],[DEVELOPMENT]],Data[],13,FALSE),TODAY(),"Y"))</f>
        <v/>
      </c>
      <c r="I75" s="67">
        <f>IF(ExtComp[[#This Row],[RAD/PACT]]="",VLOOKUP(ExtComp[[#This Row],[DEVELOPMENT]],Data[],11,FALSE),IF(ExtComp[[#This Row],[RAD/PACT by 2025]]="yes",0,VLOOKUP(ExtComp[[#This Row],[DEVELOPMENT]],Data[],11,FALSE)))</f>
        <v>0</v>
      </c>
      <c r="J75" s="63">
        <f ca="1">(ExtComp[[#This Row],['# to Replace]]*'Unit Costs'!$B$6)*(1+((ExtComp[[#This Row],[est. Year]]-YEAR(TODAY()))*$J$2))</f>
        <v>0</v>
      </c>
      <c r="K75" s="67">
        <f>SUM(INDEX(ExtComp['# to Replace],1):ExtComp[[#This Row],['# to Replace]])</f>
        <v>0</v>
      </c>
      <c r="L75" s="67">
        <f>ROUNDDOWN(ExtComp[[#This Row],[Count]]/50,0)+$L$1</f>
        <v>2020</v>
      </c>
      <c r="M75" s="81">
        <f t="shared" ca="1" si="1"/>
        <v>0</v>
      </c>
      <c r="N75" s="81" t="str">
        <f>IFERROR(VLOOKUP(ExtComp[[#This Row],[DEVELOPMENT]],Data[],22,FALSE),"")</f>
        <v/>
      </c>
      <c r="O75" s="88" t="str">
        <f>IFERROR(VLOOKUP(ExtComp[[#This Row],[DEVELOPMENT]],Data[],23,FALSE),"")</f>
        <v/>
      </c>
    </row>
    <row r="76" spans="1:15" x14ac:dyDescent="0.25">
      <c r="A76" s="13" t="s">
        <v>311</v>
      </c>
      <c r="B76" s="9" t="str">
        <f>VLOOKUP(A76,Data[],2,FALSE)</f>
        <v>BROOKLYN</v>
      </c>
      <c r="C76" s="9" t="s">
        <v>68</v>
      </c>
      <c r="D76" s="66">
        <f>VLOOKUP(ExtComp[[#This Row],[DEVELOPMENT]],Data[],8,FALSE)</f>
        <v>0</v>
      </c>
      <c r="E76" s="66">
        <f>VLOOKUP(ExtComp[[#This Row],[DEVELOPMENT]],Data[],9,FALSE)</f>
        <v>0</v>
      </c>
      <c r="F76" s="66">
        <f>IFERROR(VLOOKUP(ExtComp[[#This Row],[DEVELOPMENT]],Data[],4,FALSE),"")</f>
        <v>2028</v>
      </c>
      <c r="G76" s="66" t="str">
        <f>IF(ExtComp[[#This Row],[RAD/PACT]]="","",IF(ExtComp[[#This Row],[RAD/PACT]]&lt;=2025,"Yes",""))</f>
        <v/>
      </c>
      <c r="H76" s="67" t="str">
        <f ca="1">IF(VLOOKUP(ExtComp[[#This Row],[DEVELOPMENT]],Data[],11,FALSE)=0,"",DATEDIF(VLOOKUP(ExtComp[[#This Row],[DEVELOPMENT]],Data[],13,FALSE),TODAY(),"Y"))</f>
        <v/>
      </c>
      <c r="I76" s="67">
        <f>IF(ExtComp[[#This Row],[RAD/PACT]]="",VLOOKUP(ExtComp[[#This Row],[DEVELOPMENT]],Data[],11,FALSE),IF(ExtComp[[#This Row],[RAD/PACT by 2025]]="yes",0,VLOOKUP(ExtComp[[#This Row],[DEVELOPMENT]],Data[],11,FALSE)))</f>
        <v>0</v>
      </c>
      <c r="J76" s="63">
        <f ca="1">(ExtComp[[#This Row],['# to Replace]]*'Unit Costs'!$B$6)*(1+((ExtComp[[#This Row],[est. Year]]-YEAR(TODAY()))*$J$2))</f>
        <v>0</v>
      </c>
      <c r="K76" s="67">
        <f>SUM(INDEX(ExtComp['# to Replace],1):ExtComp[[#This Row],['# to Replace]])</f>
        <v>0</v>
      </c>
      <c r="L76" s="67">
        <f>ROUNDDOWN(ExtComp[[#This Row],[Count]]/50,0)+$L$1</f>
        <v>2020</v>
      </c>
      <c r="M76" s="81">
        <f t="shared" ca="1" si="1"/>
        <v>0</v>
      </c>
      <c r="N76" s="81" t="str">
        <f>IFERROR(VLOOKUP(ExtComp[[#This Row],[DEVELOPMENT]],Data[],22,FALSE),"")</f>
        <v/>
      </c>
      <c r="O76" s="88" t="str">
        <f>IFERROR(VLOOKUP(ExtComp[[#This Row],[DEVELOPMENT]],Data[],23,FALSE),"")</f>
        <v/>
      </c>
    </row>
    <row r="77" spans="1:15" x14ac:dyDescent="0.25">
      <c r="A77" s="82" t="s">
        <v>65</v>
      </c>
      <c r="B77" s="1" t="str">
        <f>VLOOKUP(A77,Data[],2,FALSE)</f>
        <v>MANHATTAN</v>
      </c>
      <c r="C77" s="9" t="s">
        <v>68</v>
      </c>
      <c r="D77" s="9" t="str">
        <f>VLOOKUP(ExtComp[[#This Row],[DEVELOPMENT]],Data[],8,FALSE)</f>
        <v>Zone 1</v>
      </c>
      <c r="E77" s="9" t="str">
        <f>VLOOKUP(ExtComp[[#This Row],[DEVELOPMENT]],Data[],9,FALSE)</f>
        <v>$</v>
      </c>
      <c r="F77" s="9" t="str">
        <f>IFERROR(VLOOKUP(ExtComp[[#This Row],[DEVELOPMENT]],Data[],4,FALSE),"")</f>
        <v/>
      </c>
      <c r="G77" s="9" t="str">
        <f>IF(ExtComp[[#This Row],[RAD/PACT]]="","",IF(ExtComp[[#This Row],[RAD/PACT]]&lt;=2025,"Yes",""))</f>
        <v/>
      </c>
      <c r="H77" s="1" t="str">
        <f ca="1">IF(VLOOKUP(ExtComp[[#This Row],[DEVELOPMENT]],Data[],11,FALSE)=0,"",DATEDIF(VLOOKUP(ExtComp[[#This Row],[DEVELOPMENT]],Data[],13,FALSE),TODAY(),"Y"))</f>
        <v/>
      </c>
      <c r="I77" s="1">
        <f>IF(ExtComp[[#This Row],[RAD/PACT]]="",VLOOKUP(ExtComp[[#This Row],[DEVELOPMENT]],Data[],11,FALSE),IF(ExtComp[[#This Row],[RAD/PACT by 2025]]="yes",0,VLOOKUP(ExtComp[[#This Row],[DEVELOPMENT]],Data[],11,FALSE)))</f>
        <v>0</v>
      </c>
      <c r="J77" s="63">
        <f ca="1">(ExtComp[[#This Row],['# to Replace]]*'Unit Costs'!$B$6)*(1+((ExtComp[[#This Row],[est. Year]]-YEAR(TODAY()))*$J$2))</f>
        <v>0</v>
      </c>
      <c r="K77" s="1">
        <f>SUM(INDEX(ExtComp['# to Replace],1):ExtComp[[#This Row],['# to Replace]])</f>
        <v>0</v>
      </c>
      <c r="L77" s="1">
        <f>ROUNDDOWN(ExtComp[[#This Row],[Count]]/50,0)+$L$1</f>
        <v>2020</v>
      </c>
      <c r="M77" s="81">
        <f t="shared" ca="1" si="1"/>
        <v>0</v>
      </c>
      <c r="N77" s="81" t="str">
        <f>IFERROR(VLOOKUP(ExtComp[[#This Row],[DEVELOPMENT]],Data[],22,FALSE),"")</f>
        <v/>
      </c>
      <c r="O77" s="67" t="str">
        <f>IFERROR(VLOOKUP(ExtComp[[#This Row],[DEVELOPMENT]],Data[],23,FALSE),"")</f>
        <v/>
      </c>
    </row>
    <row r="78" spans="1:15" x14ac:dyDescent="0.25">
      <c r="A78" s="13" t="s">
        <v>310</v>
      </c>
      <c r="B78" s="9" t="str">
        <f>VLOOKUP(A78,Data[],2,FALSE)</f>
        <v>BRONX</v>
      </c>
      <c r="C78" s="9" t="s">
        <v>68</v>
      </c>
      <c r="D78" s="66">
        <f>VLOOKUP(ExtComp[[#This Row],[DEVELOPMENT]],Data[],8,FALSE)</f>
        <v>0</v>
      </c>
      <c r="E78" s="66">
        <f>VLOOKUP(ExtComp[[#This Row],[DEVELOPMENT]],Data[],9,FALSE)</f>
        <v>0</v>
      </c>
      <c r="F78" s="66" t="str">
        <f>IFERROR(VLOOKUP(ExtComp[[#This Row],[DEVELOPMENT]],Data[],4,FALSE),"")</f>
        <v/>
      </c>
      <c r="G78" s="66" t="str">
        <f>IF(ExtComp[[#This Row],[RAD/PACT]]="","",IF(ExtComp[[#This Row],[RAD/PACT]]&lt;=2025,"Yes",""))</f>
        <v/>
      </c>
      <c r="H78" s="67" t="str">
        <f ca="1">IF(VLOOKUP(ExtComp[[#This Row],[DEVELOPMENT]],Data[],11,FALSE)=0,"",DATEDIF(VLOOKUP(ExtComp[[#This Row],[DEVELOPMENT]],Data[],13,FALSE),TODAY(),"Y"))</f>
        <v/>
      </c>
      <c r="I78" s="67">
        <f>IF(ExtComp[[#This Row],[RAD/PACT]]="",VLOOKUP(ExtComp[[#This Row],[DEVELOPMENT]],Data[],11,FALSE),IF(ExtComp[[#This Row],[RAD/PACT by 2025]]="yes",0,VLOOKUP(ExtComp[[#This Row],[DEVELOPMENT]],Data[],11,FALSE)))</f>
        <v>0</v>
      </c>
      <c r="J78" s="63">
        <f ca="1">(ExtComp[[#This Row],['# to Replace]]*'Unit Costs'!$B$6)*(1+((ExtComp[[#This Row],[est. Year]]-YEAR(TODAY()))*$J$2))</f>
        <v>0</v>
      </c>
      <c r="K78" s="67">
        <f>SUM(INDEX(ExtComp['# to Replace],1):ExtComp[[#This Row],['# to Replace]])</f>
        <v>0</v>
      </c>
      <c r="L78" s="67">
        <f>ROUNDDOWN(ExtComp[[#This Row],[Count]]/50,0)+$L$1</f>
        <v>2020</v>
      </c>
      <c r="M78" s="81">
        <f t="shared" ca="1" si="1"/>
        <v>0</v>
      </c>
      <c r="N78" s="81" t="str">
        <f>IFERROR(VLOOKUP(ExtComp[[#This Row],[DEVELOPMENT]],Data[],22,FALSE),"")</f>
        <v/>
      </c>
      <c r="O78" s="88" t="str">
        <f>IFERROR(VLOOKUP(ExtComp[[#This Row],[DEVELOPMENT]],Data[],23,FALSE),"")</f>
        <v/>
      </c>
    </row>
    <row r="79" spans="1:15" x14ac:dyDescent="0.25">
      <c r="A79" s="13" t="s">
        <v>309</v>
      </c>
      <c r="B79" s="9" t="str">
        <f>VLOOKUP(A79,Data[],2,FALSE)</f>
        <v>BROOKLYN</v>
      </c>
      <c r="C79" s="9" t="s">
        <v>68</v>
      </c>
      <c r="D79" s="66">
        <f>VLOOKUP(ExtComp[[#This Row],[DEVELOPMENT]],Data[],8,FALSE)</f>
        <v>0</v>
      </c>
      <c r="E79" s="66">
        <f>VLOOKUP(ExtComp[[#This Row],[DEVELOPMENT]],Data[],9,FALSE)</f>
        <v>0</v>
      </c>
      <c r="F79" s="66" t="str">
        <f>IFERROR(VLOOKUP(ExtComp[[#This Row],[DEVELOPMENT]],Data[],4,FALSE),"")</f>
        <v/>
      </c>
      <c r="G79" s="66" t="str">
        <f>IF(ExtComp[[#This Row],[RAD/PACT]]="","",IF(ExtComp[[#This Row],[RAD/PACT]]&lt;=2025,"Yes",""))</f>
        <v/>
      </c>
      <c r="H79" s="67" t="str">
        <f ca="1">IF(VLOOKUP(ExtComp[[#This Row],[DEVELOPMENT]],Data[],11,FALSE)=0,"",DATEDIF(VLOOKUP(ExtComp[[#This Row],[DEVELOPMENT]],Data[],13,FALSE),TODAY(),"Y"))</f>
        <v/>
      </c>
      <c r="I79" s="67">
        <f>IF(ExtComp[[#This Row],[RAD/PACT]]="",VLOOKUP(ExtComp[[#This Row],[DEVELOPMENT]],Data[],11,FALSE),IF(ExtComp[[#This Row],[RAD/PACT by 2025]]="yes",0,VLOOKUP(ExtComp[[#This Row],[DEVELOPMENT]],Data[],11,FALSE)))</f>
        <v>0</v>
      </c>
      <c r="J79" s="63">
        <f ca="1">(ExtComp[[#This Row],['# to Replace]]*'Unit Costs'!$B$6)*(1+((ExtComp[[#This Row],[est. Year]]-YEAR(TODAY()))*$J$2))</f>
        <v>0</v>
      </c>
      <c r="K79" s="67">
        <f>SUM(INDEX(ExtComp['# to Replace],1):ExtComp[[#This Row],['# to Replace]])</f>
        <v>0</v>
      </c>
      <c r="L79" s="67">
        <f>ROUNDDOWN(ExtComp[[#This Row],[Count]]/50,0)+$L$1</f>
        <v>2020</v>
      </c>
      <c r="M79" s="81">
        <f t="shared" ca="1" si="1"/>
        <v>0</v>
      </c>
      <c r="N79" s="81" t="str">
        <f>IFERROR(VLOOKUP(ExtComp[[#This Row],[DEVELOPMENT]],Data[],22,FALSE),"")</f>
        <v/>
      </c>
      <c r="O79" s="88" t="str">
        <f>IFERROR(VLOOKUP(ExtComp[[#This Row],[DEVELOPMENT]],Data[],23,FALSE),"")</f>
        <v/>
      </c>
    </row>
    <row r="80" spans="1:15" x14ac:dyDescent="0.25">
      <c r="A80" s="13" t="s">
        <v>308</v>
      </c>
      <c r="B80" s="9" t="str">
        <f>VLOOKUP(A80,Data[],2,FALSE)</f>
        <v>MANHATTAN</v>
      </c>
      <c r="C80" s="9"/>
      <c r="D80" s="66">
        <f>VLOOKUP(ExtComp[[#This Row],[DEVELOPMENT]],Data[],8,FALSE)</f>
        <v>0</v>
      </c>
      <c r="E80" s="66">
        <f>VLOOKUP(ExtComp[[#This Row],[DEVELOPMENT]],Data[],9,FALSE)</f>
        <v>0</v>
      </c>
      <c r="F80" s="66">
        <f>IFERROR(VLOOKUP(ExtComp[[#This Row],[DEVELOPMENT]],Data[],4,FALSE),"")</f>
        <v>2019</v>
      </c>
      <c r="G80" s="66" t="str">
        <f>IF(ExtComp[[#This Row],[RAD/PACT]]="","",IF(ExtComp[[#This Row],[RAD/PACT]]&lt;=2025,"Yes",""))</f>
        <v>Yes</v>
      </c>
      <c r="H80" s="67" t="str">
        <f ca="1">IF(VLOOKUP(ExtComp[[#This Row],[DEVELOPMENT]],Data[],11,FALSE)=0,"",DATEDIF(VLOOKUP(ExtComp[[#This Row],[DEVELOPMENT]],Data[],13,FALSE),TODAY(),"Y"))</f>
        <v/>
      </c>
      <c r="I80" s="67">
        <f>IF(ExtComp[[#This Row],[RAD/PACT]]="",VLOOKUP(ExtComp[[#This Row],[DEVELOPMENT]],Data[],11,FALSE),IF(ExtComp[[#This Row],[RAD/PACT by 2025]]="yes",0,VLOOKUP(ExtComp[[#This Row],[DEVELOPMENT]],Data[],11,FALSE)))</f>
        <v>0</v>
      </c>
      <c r="J80" s="63">
        <f ca="1">(ExtComp[[#This Row],['# to Replace]]*'Unit Costs'!$B$6)*(1+((ExtComp[[#This Row],[est. Year]]-YEAR(TODAY()))*$J$2))</f>
        <v>0</v>
      </c>
      <c r="K80" s="67">
        <f>SUM(INDEX(ExtComp['# to Replace],1):ExtComp[[#This Row],['# to Replace]])</f>
        <v>0</v>
      </c>
      <c r="L80" s="67">
        <f>ROUNDDOWN(ExtComp[[#This Row],[Count]]/50,0)+$L$1</f>
        <v>2020</v>
      </c>
      <c r="M80" s="81">
        <f t="shared" ca="1" si="1"/>
        <v>0</v>
      </c>
      <c r="N80" s="81" t="str">
        <f>IFERROR(VLOOKUP(ExtComp[[#This Row],[DEVELOPMENT]],Data[],22,FALSE),"")</f>
        <v/>
      </c>
      <c r="O80" s="88" t="str">
        <f>IFERROR(VLOOKUP(ExtComp[[#This Row],[DEVELOPMENT]],Data[],23,FALSE),"")</f>
        <v/>
      </c>
    </row>
    <row r="81" spans="1:15" x14ac:dyDescent="0.25">
      <c r="A81" s="13" t="s">
        <v>307</v>
      </c>
      <c r="B81" s="9" t="str">
        <f>VLOOKUP(A81,Data[],2,FALSE)</f>
        <v>MANHATTAN</v>
      </c>
      <c r="C81" s="9"/>
      <c r="D81" s="66">
        <f>VLOOKUP(ExtComp[[#This Row],[DEVELOPMENT]],Data[],8,FALSE)</f>
        <v>0</v>
      </c>
      <c r="E81" s="66">
        <f>VLOOKUP(ExtComp[[#This Row],[DEVELOPMENT]],Data[],9,FALSE)</f>
        <v>0</v>
      </c>
      <c r="F81" s="66">
        <f>IFERROR(VLOOKUP(ExtComp[[#This Row],[DEVELOPMENT]],Data[],4,FALSE),"")</f>
        <v>2019</v>
      </c>
      <c r="G81" s="66" t="str">
        <f>IF(ExtComp[[#This Row],[RAD/PACT]]="","",IF(ExtComp[[#This Row],[RAD/PACT]]&lt;=2025,"Yes",""))</f>
        <v>Yes</v>
      </c>
      <c r="H81" s="67" t="str">
        <f ca="1">IF(VLOOKUP(ExtComp[[#This Row],[DEVELOPMENT]],Data[],11,FALSE)=0,"",DATEDIF(VLOOKUP(ExtComp[[#This Row],[DEVELOPMENT]],Data[],13,FALSE),TODAY(),"Y"))</f>
        <v/>
      </c>
      <c r="I81" s="67">
        <f>IF(ExtComp[[#This Row],[RAD/PACT]]="",VLOOKUP(ExtComp[[#This Row],[DEVELOPMENT]],Data[],11,FALSE),IF(ExtComp[[#This Row],[RAD/PACT by 2025]]="yes",0,VLOOKUP(ExtComp[[#This Row],[DEVELOPMENT]],Data[],11,FALSE)))</f>
        <v>0</v>
      </c>
      <c r="J81" s="63">
        <f ca="1">(ExtComp[[#This Row],['# to Replace]]*'Unit Costs'!$B$6)*(1+((ExtComp[[#This Row],[est. Year]]-YEAR(TODAY()))*$J$2))</f>
        <v>0</v>
      </c>
      <c r="K81" s="67">
        <f>SUM(INDEX(ExtComp['# to Replace],1):ExtComp[[#This Row],['# to Replace]])</f>
        <v>0</v>
      </c>
      <c r="L81" s="67">
        <f>ROUNDDOWN(ExtComp[[#This Row],[Count]]/50,0)+$L$1</f>
        <v>2020</v>
      </c>
      <c r="M81" s="81">
        <f t="shared" ca="1" si="1"/>
        <v>0</v>
      </c>
      <c r="N81" s="81" t="str">
        <f>IFERROR(VLOOKUP(ExtComp[[#This Row],[DEVELOPMENT]],Data[],22,FALSE),"")</f>
        <v/>
      </c>
      <c r="O81" s="88" t="str">
        <f>IFERROR(VLOOKUP(ExtComp[[#This Row],[DEVELOPMENT]],Data[],23,FALSE),"")</f>
        <v/>
      </c>
    </row>
    <row r="82" spans="1:15" x14ac:dyDescent="0.25">
      <c r="A82" s="13" t="s">
        <v>306</v>
      </c>
      <c r="B82" s="9" t="str">
        <f>VLOOKUP(A82,Data[],2,FALSE)</f>
        <v>MANHATTAN</v>
      </c>
      <c r="C82" s="9"/>
      <c r="D82" s="66">
        <f>VLOOKUP(ExtComp[[#This Row],[DEVELOPMENT]],Data[],8,FALSE)</f>
        <v>0</v>
      </c>
      <c r="E82" s="66">
        <f>VLOOKUP(ExtComp[[#This Row],[DEVELOPMENT]],Data[],9,FALSE)</f>
        <v>0</v>
      </c>
      <c r="F82" s="66">
        <f>IFERROR(VLOOKUP(ExtComp[[#This Row],[DEVELOPMENT]],Data[],4,FALSE),"")</f>
        <v>2019</v>
      </c>
      <c r="G82" s="66" t="str">
        <f>IF(ExtComp[[#This Row],[RAD/PACT]]="","",IF(ExtComp[[#This Row],[RAD/PACT]]&lt;=2025,"Yes",""))</f>
        <v>Yes</v>
      </c>
      <c r="H82" s="67" t="str">
        <f ca="1">IF(VLOOKUP(ExtComp[[#This Row],[DEVELOPMENT]],Data[],11,FALSE)=0,"",DATEDIF(VLOOKUP(ExtComp[[#This Row],[DEVELOPMENT]],Data[],13,FALSE),TODAY(),"Y"))</f>
        <v/>
      </c>
      <c r="I82" s="67">
        <f>IF(ExtComp[[#This Row],[RAD/PACT]]="",VLOOKUP(ExtComp[[#This Row],[DEVELOPMENT]],Data[],11,FALSE),IF(ExtComp[[#This Row],[RAD/PACT by 2025]]="yes",0,VLOOKUP(ExtComp[[#This Row],[DEVELOPMENT]],Data[],11,FALSE)))</f>
        <v>0</v>
      </c>
      <c r="J82" s="63">
        <f ca="1">(ExtComp[[#This Row],['# to Replace]]*'Unit Costs'!$B$6)*(1+((ExtComp[[#This Row],[est. Year]]-YEAR(TODAY()))*$J$2))</f>
        <v>0</v>
      </c>
      <c r="K82" s="67">
        <f>SUM(INDEX(ExtComp['# to Replace],1):ExtComp[[#This Row],['# to Replace]])</f>
        <v>0</v>
      </c>
      <c r="L82" s="67">
        <f>ROUNDDOWN(ExtComp[[#This Row],[Count]]/50,0)+$L$1</f>
        <v>2020</v>
      </c>
      <c r="M82" s="81">
        <f t="shared" ca="1" si="1"/>
        <v>0</v>
      </c>
      <c r="N82" s="81" t="str">
        <f>IFERROR(VLOOKUP(ExtComp[[#This Row],[DEVELOPMENT]],Data[],22,FALSE),"")</f>
        <v/>
      </c>
      <c r="O82" s="88" t="str">
        <f>IFERROR(VLOOKUP(ExtComp[[#This Row],[DEVELOPMENT]],Data[],23,FALSE),"")</f>
        <v/>
      </c>
    </row>
    <row r="83" spans="1:15" x14ac:dyDescent="0.25">
      <c r="A83" s="13" t="s">
        <v>95</v>
      </c>
      <c r="B83" s="1" t="str">
        <f>VLOOKUP(A83,Data[],2,FALSE)</f>
        <v>MANHATTAN</v>
      </c>
      <c r="C83" s="9" t="s">
        <v>68</v>
      </c>
      <c r="D83" s="9" t="str">
        <f>VLOOKUP(ExtComp[[#This Row],[DEVELOPMENT]],Data[],8,FALSE)</f>
        <v>Zone 2</v>
      </c>
      <c r="E83" s="9" t="str">
        <f>VLOOKUP(ExtComp[[#This Row],[DEVELOPMENT]],Data[],9,FALSE)</f>
        <v>$$</v>
      </c>
      <c r="F83" s="9">
        <f>IFERROR(VLOOKUP(ExtComp[[#This Row],[DEVELOPMENT]],Data[],4,FALSE),"")</f>
        <v>2026</v>
      </c>
      <c r="G83" s="9" t="str">
        <f>IF(ExtComp[[#This Row],[RAD/PACT]]="","",IF(ExtComp[[#This Row],[RAD/PACT]]&lt;=2025,"Yes",""))</f>
        <v/>
      </c>
      <c r="H83" s="1" t="str">
        <f ca="1">IF(VLOOKUP(ExtComp[[#This Row],[DEVELOPMENT]],Data[],11,FALSE)=0,"",DATEDIF(VLOOKUP(ExtComp[[#This Row],[DEVELOPMENT]],Data[],13,FALSE),TODAY(),"Y"))</f>
        <v/>
      </c>
      <c r="I83" s="1">
        <f>IF(ExtComp[[#This Row],[RAD/PACT]]="",VLOOKUP(ExtComp[[#This Row],[DEVELOPMENT]],Data[],11,FALSE),IF(ExtComp[[#This Row],[RAD/PACT by 2025]]="yes",0,VLOOKUP(ExtComp[[#This Row],[DEVELOPMENT]],Data[],11,FALSE)))</f>
        <v>0</v>
      </c>
      <c r="J83" s="63">
        <f ca="1">(ExtComp[[#This Row],['# to Replace]]*'Unit Costs'!$B$6)*(1+((ExtComp[[#This Row],[est. Year]]-YEAR(TODAY()))*$J$2))</f>
        <v>0</v>
      </c>
      <c r="K83" s="1">
        <f>SUM(INDEX(ExtComp['# to Replace],1):ExtComp[[#This Row],['# to Replace]])</f>
        <v>0</v>
      </c>
      <c r="L83" s="1">
        <f>ROUNDDOWN(ExtComp[[#This Row],[Count]]/50,0)+$L$1</f>
        <v>2020</v>
      </c>
      <c r="M83" s="81">
        <f t="shared" ca="1" si="1"/>
        <v>0</v>
      </c>
      <c r="N83" s="81" t="str">
        <f>IFERROR(VLOOKUP(ExtComp[[#This Row],[DEVELOPMENT]],Data[],22,FALSE),"")</f>
        <v/>
      </c>
      <c r="O83" s="67" t="str">
        <f>IFERROR(VLOOKUP(ExtComp[[#This Row],[DEVELOPMENT]],Data[],23,FALSE),"")</f>
        <v/>
      </c>
    </row>
    <row r="84" spans="1:15" x14ac:dyDescent="0.25">
      <c r="A84" s="13" t="s">
        <v>136</v>
      </c>
      <c r="B84" s="1" t="str">
        <f>VLOOKUP(A84,Data[],2,FALSE)</f>
        <v>MANHATTAN</v>
      </c>
      <c r="C84" s="9" t="s">
        <v>68</v>
      </c>
      <c r="D84" s="9" t="str">
        <f>VLOOKUP(ExtComp[[#This Row],[DEVELOPMENT]],Data[],8,FALSE)</f>
        <v>Zone 2</v>
      </c>
      <c r="E84" s="9" t="str">
        <f>VLOOKUP(ExtComp[[#This Row],[DEVELOPMENT]],Data[],9,FALSE)</f>
        <v>$</v>
      </c>
      <c r="F84" s="9" t="str">
        <f>IFERROR(VLOOKUP(ExtComp[[#This Row],[DEVELOPMENT]],Data[],4,FALSE),"")</f>
        <v/>
      </c>
      <c r="G84" s="9" t="str">
        <f>IF(ExtComp[[#This Row],[RAD/PACT]]="","",IF(ExtComp[[#This Row],[RAD/PACT]]&lt;=2025,"Yes",""))</f>
        <v/>
      </c>
      <c r="H84" s="1" t="str">
        <f ca="1">IF(VLOOKUP(ExtComp[[#This Row],[DEVELOPMENT]],Data[],11,FALSE)=0,"",DATEDIF(VLOOKUP(ExtComp[[#This Row],[DEVELOPMENT]],Data[],13,FALSE),TODAY(),"Y"))</f>
        <v/>
      </c>
      <c r="I84" s="1">
        <f>IF(ExtComp[[#This Row],[RAD/PACT]]="",VLOOKUP(ExtComp[[#This Row],[DEVELOPMENT]],Data[],11,FALSE),IF(ExtComp[[#This Row],[RAD/PACT by 2025]]="yes",0,VLOOKUP(ExtComp[[#This Row],[DEVELOPMENT]],Data[],11,FALSE)))</f>
        <v>0</v>
      </c>
      <c r="J84" s="63">
        <f ca="1">(ExtComp[[#This Row],['# to Replace]]*'Unit Costs'!$B$6)*(1+((ExtComp[[#This Row],[est. Year]]-YEAR(TODAY()))*$J$2))</f>
        <v>0</v>
      </c>
      <c r="K84" s="1">
        <f>SUM(INDEX(ExtComp['# to Replace],1):ExtComp[[#This Row],['# to Replace]])</f>
        <v>0</v>
      </c>
      <c r="L84" s="1">
        <f>ROUNDDOWN(ExtComp[[#This Row],[Count]]/50,0)+$L$1</f>
        <v>2020</v>
      </c>
      <c r="M84" s="81">
        <f t="shared" ca="1" si="1"/>
        <v>0</v>
      </c>
      <c r="N84" s="81" t="str">
        <f>IFERROR(VLOOKUP(ExtComp[[#This Row],[DEVELOPMENT]],Data[],22,FALSE),"")</f>
        <v/>
      </c>
      <c r="O84" s="88" t="str">
        <f>IFERROR(VLOOKUP(ExtComp[[#This Row],[DEVELOPMENT]],Data[],23,FALSE),"")</f>
        <v/>
      </c>
    </row>
    <row r="85" spans="1:15" x14ac:dyDescent="0.25">
      <c r="A85" s="13" t="s">
        <v>123</v>
      </c>
      <c r="B85" s="1" t="str">
        <f>VLOOKUP(A85,Data[],2,FALSE)</f>
        <v>BRONX</v>
      </c>
      <c r="C85" s="9" t="s">
        <v>68</v>
      </c>
      <c r="D85" s="9" t="str">
        <f>VLOOKUP(ExtComp[[#This Row],[DEVELOPMENT]],Data[],8,FALSE)</f>
        <v>Zone 3</v>
      </c>
      <c r="E85" s="9" t="str">
        <f>VLOOKUP(ExtComp[[#This Row],[DEVELOPMENT]],Data[],9,FALSE)</f>
        <v>$</v>
      </c>
      <c r="F85" s="9" t="str">
        <f>IFERROR(VLOOKUP(ExtComp[[#This Row],[DEVELOPMENT]],Data[],4,FALSE),"")</f>
        <v/>
      </c>
      <c r="G85" s="9" t="str">
        <f>IF(ExtComp[[#This Row],[RAD/PACT]]="","",IF(ExtComp[[#This Row],[RAD/PACT]]&lt;=2025,"Yes",""))</f>
        <v/>
      </c>
      <c r="H85" s="1" t="str">
        <f ca="1">IF(VLOOKUP(ExtComp[[#This Row],[DEVELOPMENT]],Data[],11,FALSE)=0,"",DATEDIF(VLOOKUP(ExtComp[[#This Row],[DEVELOPMENT]],Data[],13,FALSE),TODAY(),"Y"))</f>
        <v/>
      </c>
      <c r="I85" s="1">
        <f>IF(ExtComp[[#This Row],[RAD/PACT]]="",VLOOKUP(ExtComp[[#This Row],[DEVELOPMENT]],Data[],11,FALSE),IF(ExtComp[[#This Row],[RAD/PACT by 2025]]="yes",0,VLOOKUP(ExtComp[[#This Row],[DEVELOPMENT]],Data[],11,FALSE)))</f>
        <v>0</v>
      </c>
      <c r="J85" s="63">
        <f ca="1">(ExtComp[[#This Row],['# to Replace]]*'Unit Costs'!$B$6)*(1+((ExtComp[[#This Row],[est. Year]]-YEAR(TODAY()))*$J$2))</f>
        <v>0</v>
      </c>
      <c r="K85" s="1">
        <f>SUM(INDEX(ExtComp['# to Replace],1):ExtComp[[#This Row],['# to Replace]])</f>
        <v>0</v>
      </c>
      <c r="L85" s="1">
        <f>ROUNDDOWN(ExtComp[[#This Row],[Count]]/50,0)+$L$1</f>
        <v>2020</v>
      </c>
      <c r="M85" s="81">
        <f t="shared" ca="1" si="1"/>
        <v>0</v>
      </c>
      <c r="N85" s="81" t="str">
        <f>IFERROR(VLOOKUP(ExtComp[[#This Row],[DEVELOPMENT]],Data[],22,FALSE),"")</f>
        <v/>
      </c>
      <c r="O85" s="88" t="str">
        <f>IFERROR(VLOOKUP(ExtComp[[#This Row],[DEVELOPMENT]],Data[],23,FALSE),"")</f>
        <v/>
      </c>
    </row>
    <row r="86" spans="1:15" x14ac:dyDescent="0.25">
      <c r="A86" s="13" t="s">
        <v>305</v>
      </c>
      <c r="B86" s="9" t="str">
        <f>VLOOKUP(A86,Data[],2,FALSE)</f>
        <v>BRONX</v>
      </c>
      <c r="C86" s="9"/>
      <c r="D86" s="66">
        <f>VLOOKUP(ExtComp[[#This Row],[DEVELOPMENT]],Data[],8,FALSE)</f>
        <v>0</v>
      </c>
      <c r="E86" s="66">
        <f>VLOOKUP(ExtComp[[#This Row],[DEVELOPMENT]],Data[],9,FALSE)</f>
        <v>0</v>
      </c>
      <c r="F86" s="66">
        <f>IFERROR(VLOOKUP(ExtComp[[#This Row],[DEVELOPMENT]],Data[],4,FALSE),"")</f>
        <v>2024</v>
      </c>
      <c r="G86" s="66" t="str">
        <f>IF(ExtComp[[#This Row],[RAD/PACT]]="","",IF(ExtComp[[#This Row],[RAD/PACT]]&lt;=2025,"Yes",""))</f>
        <v>Yes</v>
      </c>
      <c r="H86" s="67" t="str">
        <f ca="1">IF(VLOOKUP(ExtComp[[#This Row],[DEVELOPMENT]],Data[],11,FALSE)=0,"",DATEDIF(VLOOKUP(ExtComp[[#This Row],[DEVELOPMENT]],Data[],13,FALSE),TODAY(),"Y"))</f>
        <v/>
      </c>
      <c r="I86" s="67">
        <f>IF(ExtComp[[#This Row],[RAD/PACT]]="",VLOOKUP(ExtComp[[#This Row],[DEVELOPMENT]],Data[],11,FALSE),IF(ExtComp[[#This Row],[RAD/PACT by 2025]]="yes",0,VLOOKUP(ExtComp[[#This Row],[DEVELOPMENT]],Data[],11,FALSE)))</f>
        <v>0</v>
      </c>
      <c r="J86" s="63">
        <f ca="1">(ExtComp[[#This Row],['# to Replace]]*'Unit Costs'!$B$6)*(1+((ExtComp[[#This Row],[est. Year]]-YEAR(TODAY()))*$J$2))</f>
        <v>0</v>
      </c>
      <c r="K86" s="67">
        <f>SUM(INDEX(ExtComp['# to Replace],1):ExtComp[[#This Row],['# to Replace]])</f>
        <v>0</v>
      </c>
      <c r="L86" s="67">
        <f>ROUNDDOWN(ExtComp[[#This Row],[Count]]/50,0)+$L$1</f>
        <v>2020</v>
      </c>
      <c r="M86" s="81">
        <f t="shared" ca="1" si="1"/>
        <v>0</v>
      </c>
      <c r="N86" s="81" t="str">
        <f>IFERROR(VLOOKUP(ExtComp[[#This Row],[DEVELOPMENT]],Data[],22,FALSE),"")</f>
        <v/>
      </c>
      <c r="O86" s="88" t="str">
        <f>IFERROR(VLOOKUP(ExtComp[[#This Row],[DEVELOPMENT]],Data[],23,FALSE),"")</f>
        <v/>
      </c>
    </row>
    <row r="87" spans="1:15" x14ac:dyDescent="0.25">
      <c r="A87" s="13" t="s">
        <v>304</v>
      </c>
      <c r="B87" s="9" t="str">
        <f>VLOOKUP(A87,Data[],2,FALSE)</f>
        <v>BROOKLYN</v>
      </c>
      <c r="C87" s="9"/>
      <c r="D87" s="66">
        <f>VLOOKUP(ExtComp[[#This Row],[DEVELOPMENT]],Data[],8,FALSE)</f>
        <v>0</v>
      </c>
      <c r="E87" s="66">
        <f>VLOOKUP(ExtComp[[#This Row],[DEVELOPMENT]],Data[],9,FALSE)</f>
        <v>0</v>
      </c>
      <c r="F87" s="66">
        <f>IFERROR(VLOOKUP(ExtComp[[#This Row],[DEVELOPMENT]],Data[],4,FALSE),"")</f>
        <v>2021</v>
      </c>
      <c r="G87" s="66" t="str">
        <f>IF(ExtComp[[#This Row],[RAD/PACT]]="","",IF(ExtComp[[#This Row],[RAD/PACT]]&lt;=2025,"Yes",""))</f>
        <v>Yes</v>
      </c>
      <c r="H87" s="67" t="str">
        <f ca="1">IF(VLOOKUP(ExtComp[[#This Row],[DEVELOPMENT]],Data[],11,FALSE)=0,"",DATEDIF(VLOOKUP(ExtComp[[#This Row],[DEVELOPMENT]],Data[],13,FALSE),TODAY(),"Y"))</f>
        <v/>
      </c>
      <c r="I87" s="67">
        <f>IF(ExtComp[[#This Row],[RAD/PACT]]="",VLOOKUP(ExtComp[[#This Row],[DEVELOPMENT]],Data[],11,FALSE),IF(ExtComp[[#This Row],[RAD/PACT by 2025]]="yes",0,VLOOKUP(ExtComp[[#This Row],[DEVELOPMENT]],Data[],11,FALSE)))</f>
        <v>0</v>
      </c>
      <c r="J87" s="63">
        <f ca="1">(ExtComp[[#This Row],['# to Replace]]*'Unit Costs'!$B$6)*(1+((ExtComp[[#This Row],[est. Year]]-YEAR(TODAY()))*$J$2))</f>
        <v>0</v>
      </c>
      <c r="K87" s="67">
        <f>SUM(INDEX(ExtComp['# to Replace],1):ExtComp[[#This Row],['# to Replace]])</f>
        <v>0</v>
      </c>
      <c r="L87" s="67">
        <f>ROUNDDOWN(ExtComp[[#This Row],[Count]]/50,0)+$L$1</f>
        <v>2020</v>
      </c>
      <c r="M87" s="81">
        <f t="shared" ca="1" si="1"/>
        <v>0</v>
      </c>
      <c r="N87" s="81" t="str">
        <f>IFERROR(VLOOKUP(ExtComp[[#This Row],[DEVELOPMENT]],Data[],22,FALSE),"")</f>
        <v/>
      </c>
      <c r="O87" s="88" t="str">
        <f>IFERROR(VLOOKUP(ExtComp[[#This Row],[DEVELOPMENT]],Data[],23,FALSE),"")</f>
        <v/>
      </c>
    </row>
    <row r="88" spans="1:15" x14ac:dyDescent="0.25">
      <c r="A88" s="82" t="s">
        <v>43</v>
      </c>
      <c r="B88" s="1" t="str">
        <f>VLOOKUP(A88,Data[],2,FALSE)</f>
        <v>MANHATTAN</v>
      </c>
      <c r="C88" s="9" t="s">
        <v>68</v>
      </c>
      <c r="D88" s="9" t="str">
        <f>VLOOKUP(ExtComp[[#This Row],[DEVELOPMENT]],Data[],8,FALSE)</f>
        <v>Zone 1</v>
      </c>
      <c r="E88" s="9" t="str">
        <f>VLOOKUP(ExtComp[[#This Row],[DEVELOPMENT]],Data[],9,FALSE)</f>
        <v>$</v>
      </c>
      <c r="F88" s="9" t="str">
        <f>IFERROR(VLOOKUP(ExtComp[[#This Row],[DEVELOPMENT]],Data[],4,FALSE),"")</f>
        <v/>
      </c>
      <c r="G88" s="9" t="str">
        <f>IF(ExtComp[[#This Row],[RAD/PACT]]="","",IF(ExtComp[[#This Row],[RAD/PACT]]&lt;=2025,"Yes",""))</f>
        <v/>
      </c>
      <c r="H88" s="1" t="str">
        <f ca="1">IF(VLOOKUP(ExtComp[[#This Row],[DEVELOPMENT]],Data[],11,FALSE)=0,"",DATEDIF(VLOOKUP(ExtComp[[#This Row],[DEVELOPMENT]],Data[],13,FALSE),TODAY(),"Y"))</f>
        <v/>
      </c>
      <c r="I88" s="1">
        <f>IF(ExtComp[[#This Row],[RAD/PACT]]="",VLOOKUP(ExtComp[[#This Row],[DEVELOPMENT]],Data[],11,FALSE),IF(ExtComp[[#This Row],[RAD/PACT by 2025]]="yes",0,VLOOKUP(ExtComp[[#This Row],[DEVELOPMENT]],Data[],11,FALSE)))</f>
        <v>0</v>
      </c>
      <c r="J88" s="63">
        <f ca="1">(ExtComp[[#This Row],['# to Replace]]*'Unit Costs'!$B$6)*(1+((ExtComp[[#This Row],[est. Year]]-YEAR(TODAY()))*$J$2))</f>
        <v>0</v>
      </c>
      <c r="K88" s="1">
        <f>SUM(INDEX(ExtComp['# to Replace],1):ExtComp[[#This Row],['# to Replace]])</f>
        <v>0</v>
      </c>
      <c r="L88" s="1">
        <f>ROUNDDOWN(ExtComp[[#This Row],[Count]]/50,0)+$L$1</f>
        <v>2020</v>
      </c>
      <c r="M88" s="81">
        <f t="shared" ca="1" si="1"/>
        <v>0</v>
      </c>
      <c r="N88" s="81" t="str">
        <f>IFERROR(VLOOKUP(ExtComp[[#This Row],[DEVELOPMENT]],Data[],22,FALSE),"")</f>
        <v/>
      </c>
      <c r="O88" s="88" t="str">
        <f>IFERROR(VLOOKUP(ExtComp[[#This Row],[DEVELOPMENT]],Data[],23,FALSE),"")</f>
        <v/>
      </c>
    </row>
    <row r="89" spans="1:15" x14ac:dyDescent="0.25">
      <c r="A89" s="82" t="s">
        <v>148</v>
      </c>
      <c r="B89" s="1" t="str">
        <f>VLOOKUP(A89,Data[],2,FALSE)</f>
        <v>BROOKLYN</v>
      </c>
      <c r="C89" s="9" t="s">
        <v>68</v>
      </c>
      <c r="D89" s="9" t="str">
        <f>VLOOKUP(ExtComp[[#This Row],[DEVELOPMENT]],Data[],8,FALSE)</f>
        <v>Zone 1</v>
      </c>
      <c r="E89" s="9" t="str">
        <f>VLOOKUP(ExtComp[[#This Row],[DEVELOPMENT]],Data[],9,FALSE)</f>
        <v>$</v>
      </c>
      <c r="F89" s="9" t="str">
        <f>IFERROR(VLOOKUP(ExtComp[[#This Row],[DEVELOPMENT]],Data[],4,FALSE),"")</f>
        <v/>
      </c>
      <c r="G89" s="9" t="str">
        <f>IF(ExtComp[[#This Row],[RAD/PACT]]="","",IF(ExtComp[[#This Row],[RAD/PACT]]&lt;=2025,"Yes",""))</f>
        <v/>
      </c>
      <c r="H89" s="1" t="str">
        <f ca="1">IF(VLOOKUP(ExtComp[[#This Row],[DEVELOPMENT]],Data[],11,FALSE)=0,"",DATEDIF(VLOOKUP(ExtComp[[#This Row],[DEVELOPMENT]],Data[],13,FALSE),TODAY(),"Y"))</f>
        <v/>
      </c>
      <c r="I89" s="1">
        <f>IF(ExtComp[[#This Row],[RAD/PACT]]="",VLOOKUP(ExtComp[[#This Row],[DEVELOPMENT]],Data[],11,FALSE),IF(ExtComp[[#This Row],[RAD/PACT by 2025]]="yes",0,VLOOKUP(ExtComp[[#This Row],[DEVELOPMENT]],Data[],11,FALSE)))</f>
        <v>0</v>
      </c>
      <c r="J89" s="63">
        <f ca="1">(ExtComp[[#This Row],['# to Replace]]*'Unit Costs'!$B$6)*(1+((ExtComp[[#This Row],[est. Year]]-YEAR(TODAY()))*$J$2))</f>
        <v>0</v>
      </c>
      <c r="K89" s="1">
        <f>SUM(INDEX(ExtComp['# to Replace],1):ExtComp[[#This Row],['# to Replace]])</f>
        <v>0</v>
      </c>
      <c r="L89" s="1">
        <f>ROUNDDOWN(ExtComp[[#This Row],[Count]]/50,0)+$L$1</f>
        <v>2020</v>
      </c>
      <c r="M89" s="81">
        <f t="shared" ca="1" si="1"/>
        <v>0</v>
      </c>
      <c r="N89" s="81" t="str">
        <f>IFERROR(VLOOKUP(ExtComp[[#This Row],[DEVELOPMENT]],Data[],22,FALSE),"")</f>
        <v/>
      </c>
      <c r="O89" s="67" t="str">
        <f>IFERROR(VLOOKUP(ExtComp[[#This Row],[DEVELOPMENT]],Data[],23,FALSE),"")</f>
        <v/>
      </c>
    </row>
    <row r="90" spans="1:15" x14ac:dyDescent="0.25">
      <c r="A90" s="82" t="s">
        <v>42</v>
      </c>
      <c r="B90" s="1" t="str">
        <f>VLOOKUP(A90,Data[],2,FALSE)</f>
        <v>BROOKLYN</v>
      </c>
      <c r="C90" s="9" t="s">
        <v>68</v>
      </c>
      <c r="D90" s="9" t="str">
        <f>VLOOKUP(ExtComp[[#This Row],[DEVELOPMENT]],Data[],8,FALSE)</f>
        <v>Zone 1</v>
      </c>
      <c r="E90" s="9" t="str">
        <f>VLOOKUP(ExtComp[[#This Row],[DEVELOPMENT]],Data[],9,FALSE)</f>
        <v>$</v>
      </c>
      <c r="F90" s="9" t="str">
        <f>IFERROR(VLOOKUP(ExtComp[[#This Row],[DEVELOPMENT]],Data[],4,FALSE),"")</f>
        <v/>
      </c>
      <c r="G90" s="9" t="str">
        <f>IF(ExtComp[[#This Row],[RAD/PACT]]="","",IF(ExtComp[[#This Row],[RAD/PACT]]&lt;=2025,"Yes",""))</f>
        <v/>
      </c>
      <c r="H90" s="1" t="str">
        <f ca="1">IF(VLOOKUP(ExtComp[[#This Row],[DEVELOPMENT]],Data[],11,FALSE)=0,"",DATEDIF(VLOOKUP(ExtComp[[#This Row],[DEVELOPMENT]],Data[],13,FALSE),TODAY(),"Y"))</f>
        <v/>
      </c>
      <c r="I90" s="1">
        <f>IF(ExtComp[[#This Row],[RAD/PACT]]="",VLOOKUP(ExtComp[[#This Row],[DEVELOPMENT]],Data[],11,FALSE),IF(ExtComp[[#This Row],[RAD/PACT by 2025]]="yes",0,VLOOKUP(ExtComp[[#This Row],[DEVELOPMENT]],Data[],11,FALSE)))</f>
        <v>0</v>
      </c>
      <c r="J90" s="63">
        <f ca="1">(ExtComp[[#This Row],['# to Replace]]*'Unit Costs'!$B$6)*(1+((ExtComp[[#This Row],[est. Year]]-YEAR(TODAY()))*$J$2))</f>
        <v>0</v>
      </c>
      <c r="K90" s="1">
        <f>SUM(INDEX(ExtComp['# to Replace],1):ExtComp[[#This Row],['# to Replace]])</f>
        <v>0</v>
      </c>
      <c r="L90" s="1">
        <f>ROUNDDOWN(ExtComp[[#This Row],[Count]]/50,0)+$L$1</f>
        <v>2020</v>
      </c>
      <c r="M90" s="81">
        <f t="shared" ca="1" si="1"/>
        <v>0</v>
      </c>
      <c r="N90" s="81" t="str">
        <f>IFERROR(VLOOKUP(ExtComp[[#This Row],[DEVELOPMENT]],Data[],22,FALSE),"")</f>
        <v/>
      </c>
      <c r="O90" s="88" t="str">
        <f>IFERROR(VLOOKUP(ExtComp[[#This Row],[DEVELOPMENT]],Data[],23,FALSE),"")</f>
        <v/>
      </c>
    </row>
    <row r="91" spans="1:15" x14ac:dyDescent="0.25">
      <c r="A91" s="13" t="s">
        <v>107</v>
      </c>
      <c r="B91" s="1" t="str">
        <f>VLOOKUP(A91,Data[],2,FALSE)</f>
        <v>MANHATTAN</v>
      </c>
      <c r="C91" s="9" t="s">
        <v>68</v>
      </c>
      <c r="D91" s="9" t="str">
        <f>VLOOKUP(ExtComp[[#This Row],[DEVELOPMENT]],Data[],8,FALSE)</f>
        <v>Zone 2</v>
      </c>
      <c r="E91" s="9" t="str">
        <f>VLOOKUP(ExtComp[[#This Row],[DEVELOPMENT]],Data[],9,FALSE)</f>
        <v>$$</v>
      </c>
      <c r="F91" s="9" t="str">
        <f>IFERROR(VLOOKUP(ExtComp[[#This Row],[DEVELOPMENT]],Data[],4,FALSE),"")</f>
        <v/>
      </c>
      <c r="G91" s="9" t="str">
        <f>IF(ExtComp[[#This Row],[RAD/PACT]]="","",IF(ExtComp[[#This Row],[RAD/PACT]]&lt;=2025,"Yes",""))</f>
        <v/>
      </c>
      <c r="H91" s="1" t="str">
        <f ca="1">IF(VLOOKUP(ExtComp[[#This Row],[DEVELOPMENT]],Data[],11,FALSE)=0,"",DATEDIF(VLOOKUP(ExtComp[[#This Row],[DEVELOPMENT]],Data[],13,FALSE),TODAY(),"Y"))</f>
        <v/>
      </c>
      <c r="I91" s="1">
        <f>IF(ExtComp[[#This Row],[RAD/PACT]]="",VLOOKUP(ExtComp[[#This Row],[DEVELOPMENT]],Data[],11,FALSE),IF(ExtComp[[#This Row],[RAD/PACT by 2025]]="yes",0,VLOOKUP(ExtComp[[#This Row],[DEVELOPMENT]],Data[],11,FALSE)))</f>
        <v>0</v>
      </c>
      <c r="J91" s="63">
        <f ca="1">(ExtComp[[#This Row],['# to Replace]]*'Unit Costs'!$B$6)*(1+((ExtComp[[#This Row],[est. Year]]-YEAR(TODAY()))*$J$2))</f>
        <v>0</v>
      </c>
      <c r="K91" s="1">
        <f>SUM(INDEX(ExtComp['# to Replace],1):ExtComp[[#This Row],['# to Replace]])</f>
        <v>0</v>
      </c>
      <c r="L91" s="1">
        <f>ROUNDDOWN(ExtComp[[#This Row],[Count]]/50,0)+$L$1</f>
        <v>2020</v>
      </c>
      <c r="M91" s="81">
        <f t="shared" ca="1" si="1"/>
        <v>0</v>
      </c>
      <c r="N91" s="81" t="str">
        <f>IFERROR(VLOOKUP(ExtComp[[#This Row],[DEVELOPMENT]],Data[],22,FALSE),"")</f>
        <v/>
      </c>
      <c r="O91" s="88" t="str">
        <f>IFERROR(VLOOKUP(ExtComp[[#This Row],[DEVELOPMENT]],Data[],23,FALSE),"")</f>
        <v/>
      </c>
    </row>
    <row r="92" spans="1:15" x14ac:dyDescent="0.25">
      <c r="A92" s="13" t="s">
        <v>303</v>
      </c>
      <c r="B92" s="9" t="str">
        <f>VLOOKUP(A92,Data[],2,FALSE)</f>
        <v>MANHATTAN</v>
      </c>
      <c r="C92" s="9" t="s">
        <v>68</v>
      </c>
      <c r="D92" s="66">
        <f>VLOOKUP(ExtComp[[#This Row],[DEVELOPMENT]],Data[],8,FALSE)</f>
        <v>0</v>
      </c>
      <c r="E92" s="66">
        <f>VLOOKUP(ExtComp[[#This Row],[DEVELOPMENT]],Data[],9,FALSE)</f>
        <v>0</v>
      </c>
      <c r="F92" s="66" t="str">
        <f>IFERROR(VLOOKUP(ExtComp[[#This Row],[DEVELOPMENT]],Data[],4,FALSE),"")</f>
        <v/>
      </c>
      <c r="G92" s="66" t="str">
        <f>IF(ExtComp[[#This Row],[RAD/PACT]]="","",IF(ExtComp[[#This Row],[RAD/PACT]]&lt;=2025,"Yes",""))</f>
        <v/>
      </c>
      <c r="H92" s="67" t="str">
        <f ca="1">IF(VLOOKUP(ExtComp[[#This Row],[DEVELOPMENT]],Data[],11,FALSE)=0,"",DATEDIF(VLOOKUP(ExtComp[[#This Row],[DEVELOPMENT]],Data[],13,FALSE),TODAY(),"Y"))</f>
        <v/>
      </c>
      <c r="I92" s="67">
        <f>IF(ExtComp[[#This Row],[RAD/PACT]]="",VLOOKUP(ExtComp[[#This Row],[DEVELOPMENT]],Data[],11,FALSE),IF(ExtComp[[#This Row],[RAD/PACT by 2025]]="yes",0,VLOOKUP(ExtComp[[#This Row],[DEVELOPMENT]],Data[],11,FALSE)))</f>
        <v>0</v>
      </c>
      <c r="J92" s="63">
        <f ca="1">(ExtComp[[#This Row],['# to Replace]]*'Unit Costs'!$B$6)*(1+((ExtComp[[#This Row],[est. Year]]-YEAR(TODAY()))*$J$2))</f>
        <v>0</v>
      </c>
      <c r="K92" s="67">
        <f>SUM(INDEX(ExtComp['# to Replace],1):ExtComp[[#This Row],['# to Replace]])</f>
        <v>0</v>
      </c>
      <c r="L92" s="67">
        <f>ROUNDDOWN(ExtComp[[#This Row],[Count]]/50,0)+$L$1</f>
        <v>2020</v>
      </c>
      <c r="M92" s="81">
        <f t="shared" ca="1" si="1"/>
        <v>0</v>
      </c>
      <c r="N92" s="81" t="str">
        <f>IFERROR(VLOOKUP(ExtComp[[#This Row],[DEVELOPMENT]],Data[],22,FALSE),"")</f>
        <v/>
      </c>
      <c r="O92" s="88" t="str">
        <f>IFERROR(VLOOKUP(ExtComp[[#This Row],[DEVELOPMENT]],Data[],23,FALSE),"")</f>
        <v/>
      </c>
    </row>
    <row r="93" spans="1:15" x14ac:dyDescent="0.25">
      <c r="A93" s="82" t="s">
        <v>104</v>
      </c>
      <c r="B93" s="1" t="str">
        <f>VLOOKUP(A93,Data[],2,FALSE)</f>
        <v>MANHATTAN</v>
      </c>
      <c r="C93" s="9" t="s">
        <v>68</v>
      </c>
      <c r="D93" s="9" t="str">
        <f>VLOOKUP(ExtComp[[#This Row],[DEVELOPMENT]],Data[],8,FALSE)</f>
        <v>Zone 1</v>
      </c>
      <c r="E93" s="9" t="str">
        <f>VLOOKUP(ExtComp[[#This Row],[DEVELOPMENT]],Data[],9,FALSE)</f>
        <v>$$</v>
      </c>
      <c r="F93" s="9" t="str">
        <f>IFERROR(VLOOKUP(ExtComp[[#This Row],[DEVELOPMENT]],Data[],4,FALSE),"")</f>
        <v/>
      </c>
      <c r="G93" s="9" t="str">
        <f>IF(ExtComp[[#This Row],[RAD/PACT]]="","",IF(ExtComp[[#This Row],[RAD/PACT]]&lt;=2025,"Yes",""))</f>
        <v/>
      </c>
      <c r="H93" s="1" t="str">
        <f ca="1">IF(VLOOKUP(ExtComp[[#This Row],[DEVELOPMENT]],Data[],11,FALSE)=0,"",DATEDIF(VLOOKUP(ExtComp[[#This Row],[DEVELOPMENT]],Data[],13,FALSE),TODAY(),"Y"))</f>
        <v/>
      </c>
      <c r="I93" s="1">
        <f>IF(ExtComp[[#This Row],[RAD/PACT]]="",VLOOKUP(ExtComp[[#This Row],[DEVELOPMENT]],Data[],11,FALSE),IF(ExtComp[[#This Row],[RAD/PACT by 2025]]="yes",0,VLOOKUP(ExtComp[[#This Row],[DEVELOPMENT]],Data[],11,FALSE)))</f>
        <v>0</v>
      </c>
      <c r="J93" s="63">
        <f ca="1">(ExtComp[[#This Row],['# to Replace]]*'Unit Costs'!$B$6)*(1+((ExtComp[[#This Row],[est. Year]]-YEAR(TODAY()))*$J$2))</f>
        <v>0</v>
      </c>
      <c r="K93" s="1">
        <f>SUM(INDEX(ExtComp['# to Replace],1):ExtComp[[#This Row],['# to Replace]])</f>
        <v>0</v>
      </c>
      <c r="L93" s="1">
        <f>ROUNDDOWN(ExtComp[[#This Row],[Count]]/50,0)+$L$1</f>
        <v>2020</v>
      </c>
      <c r="M93" s="81">
        <f t="shared" ca="1" si="1"/>
        <v>0</v>
      </c>
      <c r="N93" s="81" t="str">
        <f>IFERROR(VLOOKUP(ExtComp[[#This Row],[DEVELOPMENT]],Data[],22,FALSE),"")</f>
        <v/>
      </c>
      <c r="O93" s="67" t="str">
        <f>IFERROR(VLOOKUP(ExtComp[[#This Row],[DEVELOPMENT]],Data[],23,FALSE),"")</f>
        <v/>
      </c>
    </row>
    <row r="94" spans="1:15" x14ac:dyDescent="0.25">
      <c r="A94" s="13" t="s">
        <v>55</v>
      </c>
      <c r="B94" s="1" t="str">
        <f>VLOOKUP(A94,Data[],2,FALSE)</f>
        <v>MANHATTAN</v>
      </c>
      <c r="C94" s="9" t="s">
        <v>68</v>
      </c>
      <c r="D94" s="9" t="str">
        <f>VLOOKUP(ExtComp[[#This Row],[DEVELOPMENT]],Data[],8,FALSE)</f>
        <v>Zone 1</v>
      </c>
      <c r="E94" s="9" t="str">
        <f>VLOOKUP(ExtComp[[#This Row],[DEVELOPMENT]],Data[],9,FALSE)</f>
        <v>$</v>
      </c>
      <c r="F94" s="9" t="str">
        <f>IFERROR(VLOOKUP(ExtComp[[#This Row],[DEVELOPMENT]],Data[],4,FALSE),"")</f>
        <v/>
      </c>
      <c r="G94" s="9" t="str">
        <f>IF(ExtComp[[#This Row],[RAD/PACT]]="","",IF(ExtComp[[#This Row],[RAD/PACT]]&lt;=2025,"Yes",""))</f>
        <v/>
      </c>
      <c r="H94" s="1" t="str">
        <f ca="1">IF(VLOOKUP(ExtComp[[#This Row],[DEVELOPMENT]],Data[],11,FALSE)=0,"",DATEDIF(VLOOKUP(ExtComp[[#This Row],[DEVELOPMENT]],Data[],13,FALSE),TODAY(),"Y"))</f>
        <v/>
      </c>
      <c r="I94" s="1">
        <f>IF(ExtComp[[#This Row],[RAD/PACT]]="",VLOOKUP(ExtComp[[#This Row],[DEVELOPMENT]],Data[],11,FALSE),IF(ExtComp[[#This Row],[RAD/PACT by 2025]]="yes",0,VLOOKUP(ExtComp[[#This Row],[DEVELOPMENT]],Data[],11,FALSE)))</f>
        <v>0</v>
      </c>
      <c r="J94" s="63">
        <f ca="1">(ExtComp[[#This Row],['# to Replace]]*'Unit Costs'!$B$6)*(1+((ExtComp[[#This Row],[est. Year]]-YEAR(TODAY()))*$J$2))</f>
        <v>0</v>
      </c>
      <c r="K94" s="1">
        <f>SUM(INDEX(ExtComp['# to Replace],1):ExtComp[[#This Row],['# to Replace]])</f>
        <v>0</v>
      </c>
      <c r="L94" s="1">
        <f>ROUNDDOWN(ExtComp[[#This Row],[Count]]/50,0)+$L$1</f>
        <v>2020</v>
      </c>
      <c r="M94" s="81">
        <f t="shared" ca="1" si="1"/>
        <v>0</v>
      </c>
      <c r="N94" s="81" t="str">
        <f>IFERROR(VLOOKUP(ExtComp[[#This Row],[DEVELOPMENT]],Data[],22,FALSE),"")</f>
        <v/>
      </c>
      <c r="O94" s="88" t="str">
        <f>IFERROR(VLOOKUP(ExtComp[[#This Row],[DEVELOPMENT]],Data[],23,FALSE),"")</f>
        <v/>
      </c>
    </row>
    <row r="95" spans="1:15" x14ac:dyDescent="0.25">
      <c r="A95" s="13" t="s">
        <v>302</v>
      </c>
      <c r="B95" s="9" t="str">
        <f>VLOOKUP(A95,Data[],2,FALSE)</f>
        <v>STATEN ISLAND</v>
      </c>
      <c r="C95" s="9" t="s">
        <v>68</v>
      </c>
      <c r="D95" s="66">
        <f>VLOOKUP(ExtComp[[#This Row],[DEVELOPMENT]],Data[],8,FALSE)</f>
        <v>0</v>
      </c>
      <c r="E95" s="66">
        <f>VLOOKUP(ExtComp[[#This Row],[DEVELOPMENT]],Data[],9,FALSE)</f>
        <v>0</v>
      </c>
      <c r="F95" s="66" t="str">
        <f>IFERROR(VLOOKUP(ExtComp[[#This Row],[DEVELOPMENT]],Data[],4,FALSE),"")</f>
        <v/>
      </c>
      <c r="G95" s="66" t="str">
        <f>IF(ExtComp[[#This Row],[RAD/PACT]]="","",IF(ExtComp[[#This Row],[RAD/PACT]]&lt;=2025,"Yes",""))</f>
        <v/>
      </c>
      <c r="H95" s="67" t="str">
        <f ca="1">IF(VLOOKUP(ExtComp[[#This Row],[DEVELOPMENT]],Data[],11,FALSE)=0,"",DATEDIF(VLOOKUP(ExtComp[[#This Row],[DEVELOPMENT]],Data[],13,FALSE),TODAY(),"Y"))</f>
        <v/>
      </c>
      <c r="I95" s="67">
        <f>IF(ExtComp[[#This Row],[RAD/PACT]]="",VLOOKUP(ExtComp[[#This Row],[DEVELOPMENT]],Data[],11,FALSE),IF(ExtComp[[#This Row],[RAD/PACT by 2025]]="yes",0,VLOOKUP(ExtComp[[#This Row],[DEVELOPMENT]],Data[],11,FALSE)))</f>
        <v>0</v>
      </c>
      <c r="J95" s="63">
        <f ca="1">(ExtComp[[#This Row],['# to Replace]]*'Unit Costs'!$B$6)*(1+((ExtComp[[#This Row],[est. Year]]-YEAR(TODAY()))*$J$2))</f>
        <v>0</v>
      </c>
      <c r="K95" s="67">
        <f>SUM(INDEX(ExtComp['# to Replace],1):ExtComp[[#This Row],['# to Replace]])</f>
        <v>0</v>
      </c>
      <c r="L95" s="67">
        <f>ROUNDDOWN(ExtComp[[#This Row],[Count]]/50,0)+$L$1</f>
        <v>2020</v>
      </c>
      <c r="M95" s="81">
        <f t="shared" ca="1" si="1"/>
        <v>0</v>
      </c>
      <c r="N95" s="81" t="str">
        <f>IFERROR(VLOOKUP(ExtComp[[#This Row],[DEVELOPMENT]],Data[],22,FALSE),"")</f>
        <v/>
      </c>
      <c r="O95" s="88" t="str">
        <f>IFERROR(VLOOKUP(ExtComp[[#This Row],[DEVELOPMENT]],Data[],23,FALSE),"")</f>
        <v/>
      </c>
    </row>
    <row r="96" spans="1:15" x14ac:dyDescent="0.25">
      <c r="A96" s="13" t="s">
        <v>301</v>
      </c>
      <c r="B96" s="9" t="str">
        <f>VLOOKUP(A96,Data[],2,FALSE)</f>
        <v>BROOKLYN</v>
      </c>
      <c r="C96" s="9"/>
      <c r="D96" s="66">
        <f>VLOOKUP(ExtComp[[#This Row],[DEVELOPMENT]],Data[],8,FALSE)</f>
        <v>0</v>
      </c>
      <c r="E96" s="66">
        <f>VLOOKUP(ExtComp[[#This Row],[DEVELOPMENT]],Data[],9,FALSE)</f>
        <v>0</v>
      </c>
      <c r="F96" s="66">
        <f>IFERROR(VLOOKUP(ExtComp[[#This Row],[DEVELOPMENT]],Data[],4,FALSE),"")</f>
        <v>2021</v>
      </c>
      <c r="G96" s="66" t="str">
        <f>IF(ExtComp[[#This Row],[RAD/PACT]]="","",IF(ExtComp[[#This Row],[RAD/PACT]]&lt;=2025,"Yes",""))</f>
        <v>Yes</v>
      </c>
      <c r="H96" s="67" t="str">
        <f ca="1">IF(VLOOKUP(ExtComp[[#This Row],[DEVELOPMENT]],Data[],11,FALSE)=0,"",DATEDIF(VLOOKUP(ExtComp[[#This Row],[DEVELOPMENT]],Data[],13,FALSE),TODAY(),"Y"))</f>
        <v/>
      </c>
      <c r="I96" s="67">
        <f>IF(ExtComp[[#This Row],[RAD/PACT]]="",VLOOKUP(ExtComp[[#This Row],[DEVELOPMENT]],Data[],11,FALSE),IF(ExtComp[[#This Row],[RAD/PACT by 2025]]="yes",0,VLOOKUP(ExtComp[[#This Row],[DEVELOPMENT]],Data[],11,FALSE)))</f>
        <v>0</v>
      </c>
      <c r="J96" s="63">
        <f ca="1">(ExtComp[[#This Row],['# to Replace]]*'Unit Costs'!$B$6)*(1+((ExtComp[[#This Row],[est. Year]]-YEAR(TODAY()))*$J$2))</f>
        <v>0</v>
      </c>
      <c r="K96" s="67">
        <f>SUM(INDEX(ExtComp['# to Replace],1):ExtComp[[#This Row],['# to Replace]])</f>
        <v>0</v>
      </c>
      <c r="L96" s="67">
        <f>ROUNDDOWN(ExtComp[[#This Row],[Count]]/50,0)+$L$1</f>
        <v>2020</v>
      </c>
      <c r="M96" s="81">
        <f t="shared" ca="1" si="1"/>
        <v>0</v>
      </c>
      <c r="N96" s="81" t="str">
        <f>IFERROR(VLOOKUP(ExtComp[[#This Row],[DEVELOPMENT]],Data[],22,FALSE),"")</f>
        <v/>
      </c>
      <c r="O96" s="88" t="str">
        <f>IFERROR(VLOOKUP(ExtComp[[#This Row],[DEVELOPMENT]],Data[],23,FALSE),"")</f>
        <v/>
      </c>
    </row>
    <row r="97" spans="1:15" x14ac:dyDescent="0.25">
      <c r="A97" s="13" t="s">
        <v>300</v>
      </c>
      <c r="B97" s="9" t="str">
        <f>VLOOKUP(A97,Data[],2,FALSE)</f>
        <v>MANHATTAN</v>
      </c>
      <c r="C97" s="9" t="s">
        <v>68</v>
      </c>
      <c r="D97" s="66" t="str">
        <f>VLOOKUP(ExtComp[[#This Row],[DEVELOPMENT]],Data[],8,FALSE)</f>
        <v>Zone 4</v>
      </c>
      <c r="E97" s="66">
        <f>VLOOKUP(ExtComp[[#This Row],[DEVELOPMENT]],Data[],9,FALSE)</f>
        <v>0</v>
      </c>
      <c r="F97" s="66" t="str">
        <f>IFERROR(VLOOKUP(ExtComp[[#This Row],[DEVELOPMENT]],Data[],4,FALSE),"")</f>
        <v/>
      </c>
      <c r="G97" s="66" t="str">
        <f>IF(ExtComp[[#This Row],[RAD/PACT]]="","",IF(ExtComp[[#This Row],[RAD/PACT]]&lt;=2025,"Yes",""))</f>
        <v/>
      </c>
      <c r="H97" s="67" t="str">
        <f ca="1">IF(VLOOKUP(ExtComp[[#This Row],[DEVELOPMENT]],Data[],11,FALSE)=0,"",DATEDIF(VLOOKUP(ExtComp[[#This Row],[DEVELOPMENT]],Data[],13,FALSE),TODAY(),"Y"))</f>
        <v/>
      </c>
      <c r="I97" s="67">
        <f>IF(ExtComp[[#This Row],[RAD/PACT]]="",VLOOKUP(ExtComp[[#This Row],[DEVELOPMENT]],Data[],11,FALSE),IF(ExtComp[[#This Row],[RAD/PACT by 2025]]="yes",0,VLOOKUP(ExtComp[[#This Row],[DEVELOPMENT]],Data[],11,FALSE)))</f>
        <v>0</v>
      </c>
      <c r="J97" s="63">
        <f ca="1">(ExtComp[[#This Row],['# to Replace]]*'Unit Costs'!$B$6)*(1+((ExtComp[[#This Row],[est. Year]]-YEAR(TODAY()))*$J$2))</f>
        <v>0</v>
      </c>
      <c r="K97" s="67">
        <f>SUM(INDEX(ExtComp['# to Replace],1):ExtComp[[#This Row],['# to Replace]])</f>
        <v>0</v>
      </c>
      <c r="L97" s="67">
        <f>ROUNDDOWN(ExtComp[[#This Row],[Count]]/50,0)+$L$1</f>
        <v>2020</v>
      </c>
      <c r="M97" s="81">
        <f t="shared" ca="1" si="1"/>
        <v>0</v>
      </c>
      <c r="N97" s="81" t="str">
        <f>IFERROR(VLOOKUP(ExtComp[[#This Row],[DEVELOPMENT]],Data[],22,FALSE),"")</f>
        <v/>
      </c>
      <c r="O97" s="88" t="str">
        <f>IFERROR(VLOOKUP(ExtComp[[#This Row],[DEVELOPMENT]],Data[],23,FALSE),"")</f>
        <v/>
      </c>
    </row>
    <row r="98" spans="1:15" x14ac:dyDescent="0.25">
      <c r="A98" s="13" t="s">
        <v>299</v>
      </c>
      <c r="B98" s="9" t="str">
        <f>VLOOKUP(A98,Data[],2,FALSE)</f>
        <v>MANHATTAN</v>
      </c>
      <c r="C98" s="9" t="s">
        <v>68</v>
      </c>
      <c r="D98" s="66">
        <f>VLOOKUP(ExtComp[[#This Row],[DEVELOPMENT]],Data[],8,FALSE)</f>
        <v>0</v>
      </c>
      <c r="E98" s="66">
        <f>VLOOKUP(ExtComp[[#This Row],[DEVELOPMENT]],Data[],9,FALSE)</f>
        <v>0</v>
      </c>
      <c r="F98" s="66" t="str">
        <f>IFERROR(VLOOKUP(ExtComp[[#This Row],[DEVELOPMENT]],Data[],4,FALSE),"")</f>
        <v/>
      </c>
      <c r="G98" s="66" t="str">
        <f>IF(ExtComp[[#This Row],[RAD/PACT]]="","",IF(ExtComp[[#This Row],[RAD/PACT]]&lt;=2025,"Yes",""))</f>
        <v/>
      </c>
      <c r="H98" s="67" t="str">
        <f ca="1">IF(VLOOKUP(ExtComp[[#This Row],[DEVELOPMENT]],Data[],11,FALSE)=0,"",DATEDIF(VLOOKUP(ExtComp[[#This Row],[DEVELOPMENT]],Data[],13,FALSE),TODAY(),"Y"))</f>
        <v/>
      </c>
      <c r="I98" s="67">
        <f>IF(ExtComp[[#This Row],[RAD/PACT]]="",VLOOKUP(ExtComp[[#This Row],[DEVELOPMENT]],Data[],11,FALSE),IF(ExtComp[[#This Row],[RAD/PACT by 2025]]="yes",0,VLOOKUP(ExtComp[[#This Row],[DEVELOPMENT]],Data[],11,FALSE)))</f>
        <v>0</v>
      </c>
      <c r="J98" s="63">
        <f ca="1">(ExtComp[[#This Row],['# to Replace]]*'Unit Costs'!$B$6)*(1+((ExtComp[[#This Row],[est. Year]]-YEAR(TODAY()))*$J$2))</f>
        <v>0</v>
      </c>
      <c r="K98" s="67">
        <f>SUM(INDEX(ExtComp['# to Replace],1):ExtComp[[#This Row],['# to Replace]])</f>
        <v>0</v>
      </c>
      <c r="L98" s="67">
        <f>ROUNDDOWN(ExtComp[[#This Row],[Count]]/50,0)+$L$1</f>
        <v>2020</v>
      </c>
      <c r="M98" s="81">
        <f t="shared" ca="1" si="1"/>
        <v>0</v>
      </c>
      <c r="N98" s="81" t="str">
        <f>IFERROR(VLOOKUP(ExtComp[[#This Row],[DEVELOPMENT]],Data[],22,FALSE),"")</f>
        <v/>
      </c>
      <c r="O98" s="88" t="str">
        <f>IFERROR(VLOOKUP(ExtComp[[#This Row],[DEVELOPMENT]],Data[],23,FALSE),"")</f>
        <v/>
      </c>
    </row>
    <row r="99" spans="1:15" x14ac:dyDescent="0.25">
      <c r="A99" s="13" t="s">
        <v>298</v>
      </c>
      <c r="B99" s="9" t="str">
        <f>VLOOKUP(A99,Data[],2,FALSE)</f>
        <v>MANHATTAN</v>
      </c>
      <c r="C99" s="9" t="s">
        <v>68</v>
      </c>
      <c r="D99" s="66">
        <f>VLOOKUP(ExtComp[[#This Row],[DEVELOPMENT]],Data[],8,FALSE)</f>
        <v>0</v>
      </c>
      <c r="E99" s="66">
        <f>VLOOKUP(ExtComp[[#This Row],[DEVELOPMENT]],Data[],9,FALSE)</f>
        <v>0</v>
      </c>
      <c r="F99" s="66" t="str">
        <f>IFERROR(VLOOKUP(ExtComp[[#This Row],[DEVELOPMENT]],Data[],4,FALSE),"")</f>
        <v/>
      </c>
      <c r="G99" s="66" t="str">
        <f>IF(ExtComp[[#This Row],[RAD/PACT]]="","",IF(ExtComp[[#This Row],[RAD/PACT]]&lt;=2025,"Yes",""))</f>
        <v/>
      </c>
      <c r="H99" s="67" t="str">
        <f ca="1">IF(VLOOKUP(ExtComp[[#This Row],[DEVELOPMENT]],Data[],11,FALSE)=0,"",DATEDIF(VLOOKUP(ExtComp[[#This Row],[DEVELOPMENT]],Data[],13,FALSE),TODAY(),"Y"))</f>
        <v/>
      </c>
      <c r="I99" s="67">
        <f>IF(ExtComp[[#This Row],[RAD/PACT]]="",VLOOKUP(ExtComp[[#This Row],[DEVELOPMENT]],Data[],11,FALSE),IF(ExtComp[[#This Row],[RAD/PACT by 2025]]="yes",0,VLOOKUP(ExtComp[[#This Row],[DEVELOPMENT]],Data[],11,FALSE)))</f>
        <v>0</v>
      </c>
      <c r="J99" s="63">
        <f ca="1">(ExtComp[[#This Row],['# to Replace]]*'Unit Costs'!$B$6)*(1+((ExtComp[[#This Row],[est. Year]]-YEAR(TODAY()))*$J$2))</f>
        <v>0</v>
      </c>
      <c r="K99" s="67">
        <f>SUM(INDEX(ExtComp['# to Replace],1):ExtComp[[#This Row],['# to Replace]])</f>
        <v>0</v>
      </c>
      <c r="L99" s="67">
        <f>ROUNDDOWN(ExtComp[[#This Row],[Count]]/50,0)+$L$1</f>
        <v>2020</v>
      </c>
      <c r="M99" s="81">
        <f t="shared" ca="1" si="1"/>
        <v>0</v>
      </c>
      <c r="N99" s="81" t="str">
        <f>IFERROR(VLOOKUP(ExtComp[[#This Row],[DEVELOPMENT]],Data[],22,FALSE),"")</f>
        <v/>
      </c>
      <c r="O99" s="88" t="str">
        <f>IFERROR(VLOOKUP(ExtComp[[#This Row],[DEVELOPMENT]],Data[],23,FALSE),"")</f>
        <v/>
      </c>
    </row>
    <row r="100" spans="1:15" x14ac:dyDescent="0.25">
      <c r="A100" s="13" t="s">
        <v>297</v>
      </c>
      <c r="B100" s="9" t="str">
        <f>VLOOKUP(A100,Data[],2,FALSE)</f>
        <v>QUEENS</v>
      </c>
      <c r="C100" s="9" t="s">
        <v>68</v>
      </c>
      <c r="D100" s="66">
        <f>VLOOKUP(ExtComp[[#This Row],[DEVELOPMENT]],Data[],8,FALSE)</f>
        <v>0</v>
      </c>
      <c r="E100" s="66">
        <f>VLOOKUP(ExtComp[[#This Row],[DEVELOPMENT]],Data[],9,FALSE)</f>
        <v>0</v>
      </c>
      <c r="F100" s="66" t="str">
        <f>IFERROR(VLOOKUP(ExtComp[[#This Row],[DEVELOPMENT]],Data[],4,FALSE),"")</f>
        <v/>
      </c>
      <c r="G100" s="66" t="str">
        <f>IF(ExtComp[[#This Row],[RAD/PACT]]="","",IF(ExtComp[[#This Row],[RAD/PACT]]&lt;=2025,"Yes",""))</f>
        <v/>
      </c>
      <c r="H100" s="67" t="str">
        <f ca="1">IF(VLOOKUP(ExtComp[[#This Row],[DEVELOPMENT]],Data[],11,FALSE)=0,"",DATEDIF(VLOOKUP(ExtComp[[#This Row],[DEVELOPMENT]],Data[],13,FALSE),TODAY(),"Y"))</f>
        <v/>
      </c>
      <c r="I100" s="67">
        <f>IF(ExtComp[[#This Row],[RAD/PACT]]="",VLOOKUP(ExtComp[[#This Row],[DEVELOPMENT]],Data[],11,FALSE),IF(ExtComp[[#This Row],[RAD/PACT by 2025]]="yes",0,VLOOKUP(ExtComp[[#This Row],[DEVELOPMENT]],Data[],11,FALSE)))</f>
        <v>0</v>
      </c>
      <c r="J100" s="63">
        <f ca="1">(ExtComp[[#This Row],['# to Replace]]*'Unit Costs'!$B$6)*(1+((ExtComp[[#This Row],[est. Year]]-YEAR(TODAY()))*$J$2))</f>
        <v>0</v>
      </c>
      <c r="K100" s="67">
        <f>SUM(INDEX(ExtComp['# to Replace],1):ExtComp[[#This Row],['# to Replace]])</f>
        <v>0</v>
      </c>
      <c r="L100" s="67">
        <f>ROUNDDOWN(ExtComp[[#This Row],[Count]]/50,0)+$L$1</f>
        <v>2020</v>
      </c>
      <c r="M100" s="81">
        <f t="shared" ca="1" si="1"/>
        <v>0</v>
      </c>
      <c r="N100" s="81" t="str">
        <f>IFERROR(VLOOKUP(ExtComp[[#This Row],[DEVELOPMENT]],Data[],22,FALSE),"")</f>
        <v/>
      </c>
      <c r="O100" s="88" t="str">
        <f>IFERROR(VLOOKUP(ExtComp[[#This Row],[DEVELOPMENT]],Data[],23,FALSE),"")</f>
        <v/>
      </c>
    </row>
    <row r="101" spans="1:15" x14ac:dyDescent="0.25">
      <c r="A101" s="13" t="s">
        <v>296</v>
      </c>
      <c r="B101" s="9" t="str">
        <f>VLOOKUP(A101,Data[],2,FALSE)</f>
        <v>QUEENS</v>
      </c>
      <c r="C101" s="9"/>
      <c r="D101" s="66">
        <f>VLOOKUP(ExtComp[[#This Row],[DEVELOPMENT]],Data[],8,FALSE)</f>
        <v>0</v>
      </c>
      <c r="E101" s="66">
        <f>VLOOKUP(ExtComp[[#This Row],[DEVELOPMENT]],Data[],9,FALSE)</f>
        <v>0</v>
      </c>
      <c r="F101" s="66">
        <f>IFERROR(VLOOKUP(ExtComp[[#This Row],[DEVELOPMENT]],Data[],4,FALSE),"")</f>
        <v>2022</v>
      </c>
      <c r="G101" s="66" t="str">
        <f>IF(ExtComp[[#This Row],[RAD/PACT]]="","",IF(ExtComp[[#This Row],[RAD/PACT]]&lt;=2025,"Yes",""))</f>
        <v>Yes</v>
      </c>
      <c r="H101" s="67" t="str">
        <f ca="1">IF(VLOOKUP(ExtComp[[#This Row],[DEVELOPMENT]],Data[],11,FALSE)=0,"",DATEDIF(VLOOKUP(ExtComp[[#This Row],[DEVELOPMENT]],Data[],13,FALSE),TODAY(),"Y"))</f>
        <v/>
      </c>
      <c r="I101" s="67">
        <f>IF(ExtComp[[#This Row],[RAD/PACT]]="",VLOOKUP(ExtComp[[#This Row],[DEVELOPMENT]],Data[],11,FALSE),IF(ExtComp[[#This Row],[RAD/PACT by 2025]]="yes",0,VLOOKUP(ExtComp[[#This Row],[DEVELOPMENT]],Data[],11,FALSE)))</f>
        <v>0</v>
      </c>
      <c r="J101" s="63">
        <f ca="1">(ExtComp[[#This Row],['# to Replace]]*'Unit Costs'!$B$6)*(1+((ExtComp[[#This Row],[est. Year]]-YEAR(TODAY()))*$J$2))</f>
        <v>0</v>
      </c>
      <c r="K101" s="67">
        <f>SUM(INDEX(ExtComp['# to Replace],1):ExtComp[[#This Row],['# to Replace]])</f>
        <v>0</v>
      </c>
      <c r="L101" s="67">
        <f>ROUNDDOWN(ExtComp[[#This Row],[Count]]/50,0)+$L$1</f>
        <v>2020</v>
      </c>
      <c r="M101" s="81">
        <f t="shared" ca="1" si="1"/>
        <v>0</v>
      </c>
      <c r="N101" s="81" t="str">
        <f>IFERROR(VLOOKUP(ExtComp[[#This Row],[DEVELOPMENT]],Data[],22,FALSE),"")</f>
        <v/>
      </c>
      <c r="O101" s="88" t="str">
        <f>IFERROR(VLOOKUP(ExtComp[[#This Row],[DEVELOPMENT]],Data[],23,FALSE),"")</f>
        <v/>
      </c>
    </row>
    <row r="102" spans="1:15" x14ac:dyDescent="0.25">
      <c r="A102" s="13" t="s">
        <v>295</v>
      </c>
      <c r="B102" s="9" t="str">
        <f>VLOOKUP(A102,Data[],2,FALSE)</f>
        <v>BROOKLYN</v>
      </c>
      <c r="C102" s="9" t="s">
        <v>68</v>
      </c>
      <c r="D102" s="66">
        <f>VLOOKUP(ExtComp[[#This Row],[DEVELOPMENT]],Data[],8,FALSE)</f>
        <v>0</v>
      </c>
      <c r="E102" s="66">
        <f>VLOOKUP(ExtComp[[#This Row],[DEVELOPMENT]],Data[],9,FALSE)</f>
        <v>0</v>
      </c>
      <c r="F102" s="66">
        <f>IFERROR(VLOOKUP(ExtComp[[#This Row],[DEVELOPMENT]],Data[],4,FALSE),"")</f>
        <v>2025</v>
      </c>
      <c r="G102" s="66" t="str">
        <f>IF(ExtComp[[#This Row],[RAD/PACT]]="","",IF(ExtComp[[#This Row],[RAD/PACT]]&lt;=2025,"Yes",""))</f>
        <v>Yes</v>
      </c>
      <c r="H102" s="67" t="str">
        <f ca="1">IF(VLOOKUP(ExtComp[[#This Row],[DEVELOPMENT]],Data[],11,FALSE)=0,"",DATEDIF(VLOOKUP(ExtComp[[#This Row],[DEVELOPMENT]],Data[],13,FALSE),TODAY(),"Y"))</f>
        <v/>
      </c>
      <c r="I102" s="67">
        <f>IF(ExtComp[[#This Row],[RAD/PACT]]="",VLOOKUP(ExtComp[[#This Row],[DEVELOPMENT]],Data[],11,FALSE),IF(ExtComp[[#This Row],[RAD/PACT by 2025]]="yes",0,VLOOKUP(ExtComp[[#This Row],[DEVELOPMENT]],Data[],11,FALSE)))</f>
        <v>0</v>
      </c>
      <c r="J102" s="63">
        <f ca="1">(ExtComp[[#This Row],['# to Replace]]*'Unit Costs'!$B$6)*(1+((ExtComp[[#This Row],[est. Year]]-YEAR(TODAY()))*$J$2))</f>
        <v>0</v>
      </c>
      <c r="K102" s="67">
        <f>SUM(INDEX(ExtComp['# to Replace],1):ExtComp[[#This Row],['# to Replace]])</f>
        <v>0</v>
      </c>
      <c r="L102" s="67">
        <f>ROUNDDOWN(ExtComp[[#This Row],[Count]]/50,0)+$L$1</f>
        <v>2020</v>
      </c>
      <c r="M102" s="81">
        <f t="shared" ca="1" si="1"/>
        <v>0</v>
      </c>
      <c r="N102" s="81" t="str">
        <f>IFERROR(VLOOKUP(ExtComp[[#This Row],[DEVELOPMENT]],Data[],22,FALSE),"")</f>
        <v/>
      </c>
      <c r="O102" s="88" t="str">
        <f>IFERROR(VLOOKUP(ExtComp[[#This Row],[DEVELOPMENT]],Data[],23,FALSE),"")</f>
        <v/>
      </c>
    </row>
    <row r="103" spans="1:15" x14ac:dyDescent="0.25">
      <c r="A103" s="13" t="s">
        <v>294</v>
      </c>
      <c r="B103" s="9" t="str">
        <f>VLOOKUP(A103,Data[],2,FALSE)</f>
        <v>BROOKLYN</v>
      </c>
      <c r="C103" s="9"/>
      <c r="D103" s="66">
        <f>VLOOKUP(ExtComp[[#This Row],[DEVELOPMENT]],Data[],8,FALSE)</f>
        <v>0</v>
      </c>
      <c r="E103" s="66">
        <f>VLOOKUP(ExtComp[[#This Row],[DEVELOPMENT]],Data[],9,FALSE)</f>
        <v>0</v>
      </c>
      <c r="F103" s="66">
        <f>IFERROR(VLOOKUP(ExtComp[[#This Row],[DEVELOPMENT]],Data[],4,FALSE),"")</f>
        <v>2024</v>
      </c>
      <c r="G103" s="66" t="str">
        <f>IF(ExtComp[[#This Row],[RAD/PACT]]="","",IF(ExtComp[[#This Row],[RAD/PACT]]&lt;=2025,"Yes",""))</f>
        <v>Yes</v>
      </c>
      <c r="H103" s="67" t="str">
        <f ca="1">IF(VLOOKUP(ExtComp[[#This Row],[DEVELOPMENT]],Data[],11,FALSE)=0,"",DATEDIF(VLOOKUP(ExtComp[[#This Row],[DEVELOPMENT]],Data[],13,FALSE),TODAY(),"Y"))</f>
        <v/>
      </c>
      <c r="I103" s="67">
        <f>IF(ExtComp[[#This Row],[RAD/PACT]]="",VLOOKUP(ExtComp[[#This Row],[DEVELOPMENT]],Data[],11,FALSE),IF(ExtComp[[#This Row],[RAD/PACT by 2025]]="yes",0,VLOOKUP(ExtComp[[#This Row],[DEVELOPMENT]],Data[],11,FALSE)))</f>
        <v>0</v>
      </c>
      <c r="J103" s="63">
        <f ca="1">(ExtComp[[#This Row],['# to Replace]]*'Unit Costs'!$B$6)*(1+((ExtComp[[#This Row],[est. Year]]-YEAR(TODAY()))*$J$2))</f>
        <v>0</v>
      </c>
      <c r="K103" s="67">
        <f>SUM(INDEX(ExtComp['# to Replace],1):ExtComp[[#This Row],['# to Replace]])</f>
        <v>0</v>
      </c>
      <c r="L103" s="67">
        <f>ROUNDDOWN(ExtComp[[#This Row],[Count]]/50,0)+$L$1</f>
        <v>2020</v>
      </c>
      <c r="M103" s="81">
        <f t="shared" ca="1" si="1"/>
        <v>0</v>
      </c>
      <c r="N103" s="81" t="str">
        <f>IFERROR(VLOOKUP(ExtComp[[#This Row],[DEVELOPMENT]],Data[],22,FALSE),"")</f>
        <v/>
      </c>
      <c r="O103" s="88" t="str">
        <f>IFERROR(VLOOKUP(ExtComp[[#This Row],[DEVELOPMENT]],Data[],23,FALSE),"")</f>
        <v/>
      </c>
    </row>
    <row r="104" spans="1:15" x14ac:dyDescent="0.25">
      <c r="A104" s="13" t="s">
        <v>293</v>
      </c>
      <c r="B104" s="9" t="str">
        <f>VLOOKUP(A104,Data[],2,FALSE)</f>
        <v>QUEENS</v>
      </c>
      <c r="C104" s="9" t="s">
        <v>68</v>
      </c>
      <c r="D104" s="66">
        <f>VLOOKUP(ExtComp[[#This Row],[DEVELOPMENT]],Data[],8,FALSE)</f>
        <v>0</v>
      </c>
      <c r="E104" s="66">
        <f>VLOOKUP(ExtComp[[#This Row],[DEVELOPMENT]],Data[],9,FALSE)</f>
        <v>0</v>
      </c>
      <c r="F104" s="66" t="str">
        <f>IFERROR(VLOOKUP(ExtComp[[#This Row],[DEVELOPMENT]],Data[],4,FALSE),"")</f>
        <v/>
      </c>
      <c r="G104" s="66" t="str">
        <f>IF(ExtComp[[#This Row],[RAD/PACT]]="","",IF(ExtComp[[#This Row],[RAD/PACT]]&lt;=2025,"Yes",""))</f>
        <v/>
      </c>
      <c r="H104" s="67" t="str">
        <f ca="1">IF(VLOOKUP(ExtComp[[#This Row],[DEVELOPMENT]],Data[],11,FALSE)=0,"",DATEDIF(VLOOKUP(ExtComp[[#This Row],[DEVELOPMENT]],Data[],13,FALSE),TODAY(),"Y"))</f>
        <v/>
      </c>
      <c r="I104" s="67">
        <f>IF(ExtComp[[#This Row],[RAD/PACT]]="",VLOOKUP(ExtComp[[#This Row],[DEVELOPMENT]],Data[],11,FALSE),IF(ExtComp[[#This Row],[RAD/PACT by 2025]]="yes",0,VLOOKUP(ExtComp[[#This Row],[DEVELOPMENT]],Data[],11,FALSE)))</f>
        <v>0</v>
      </c>
      <c r="J104" s="63">
        <f ca="1">(ExtComp[[#This Row],['# to Replace]]*'Unit Costs'!$B$6)*(1+((ExtComp[[#This Row],[est. Year]]-YEAR(TODAY()))*$J$2))</f>
        <v>0</v>
      </c>
      <c r="K104" s="67">
        <f>SUM(INDEX(ExtComp['# to Replace],1):ExtComp[[#This Row],['# to Replace]])</f>
        <v>0</v>
      </c>
      <c r="L104" s="67">
        <f>ROUNDDOWN(ExtComp[[#This Row],[Count]]/50,0)+$L$1</f>
        <v>2020</v>
      </c>
      <c r="M104" s="81">
        <f t="shared" ca="1" si="1"/>
        <v>0</v>
      </c>
      <c r="N104" s="81" t="str">
        <f>IFERROR(VLOOKUP(ExtComp[[#This Row],[DEVELOPMENT]],Data[],22,FALSE),"")</f>
        <v/>
      </c>
      <c r="O104" s="88" t="str">
        <f>IFERROR(VLOOKUP(ExtComp[[#This Row],[DEVELOPMENT]],Data[],23,FALSE),"")</f>
        <v/>
      </c>
    </row>
    <row r="105" spans="1:15" x14ac:dyDescent="0.25">
      <c r="A105" s="13" t="s">
        <v>115</v>
      </c>
      <c r="B105" s="1" t="str">
        <f>VLOOKUP(A105,Data[],2,FALSE)</f>
        <v>MANHATTAN</v>
      </c>
      <c r="C105" s="9" t="s">
        <v>68</v>
      </c>
      <c r="D105" s="9" t="str">
        <f>VLOOKUP(ExtComp[[#This Row],[DEVELOPMENT]],Data[],8,FALSE)</f>
        <v>Zone 2</v>
      </c>
      <c r="E105" s="9" t="str">
        <f>VLOOKUP(ExtComp[[#This Row],[DEVELOPMENT]],Data[],9,FALSE)</f>
        <v>$</v>
      </c>
      <c r="F105" s="9" t="str">
        <f>IFERROR(VLOOKUP(ExtComp[[#This Row],[DEVELOPMENT]],Data[],4,FALSE),"")</f>
        <v/>
      </c>
      <c r="G105" s="9" t="str">
        <f>IF(ExtComp[[#This Row],[RAD/PACT]]="","",IF(ExtComp[[#This Row],[RAD/PACT]]&lt;=2025,"Yes",""))</f>
        <v/>
      </c>
      <c r="H105" s="1" t="str">
        <f ca="1">IF(VLOOKUP(ExtComp[[#This Row],[DEVELOPMENT]],Data[],11,FALSE)=0,"",DATEDIF(VLOOKUP(ExtComp[[#This Row],[DEVELOPMENT]],Data[],13,FALSE),TODAY(),"Y"))</f>
        <v/>
      </c>
      <c r="I105" s="1">
        <f>IF(ExtComp[[#This Row],[RAD/PACT]]="",VLOOKUP(ExtComp[[#This Row],[DEVELOPMENT]],Data[],11,FALSE),IF(ExtComp[[#This Row],[RAD/PACT by 2025]]="yes",0,VLOOKUP(ExtComp[[#This Row],[DEVELOPMENT]],Data[],11,FALSE)))</f>
        <v>0</v>
      </c>
      <c r="J105" s="63">
        <f ca="1">(ExtComp[[#This Row],['# to Replace]]*'Unit Costs'!$B$6)*(1+((ExtComp[[#This Row],[est. Year]]-YEAR(TODAY()))*$J$2))</f>
        <v>0</v>
      </c>
      <c r="K105" s="1">
        <f>SUM(INDEX(ExtComp['# to Replace],1):ExtComp[[#This Row],['# to Replace]])</f>
        <v>0</v>
      </c>
      <c r="L105" s="1">
        <f>ROUNDDOWN(ExtComp[[#This Row],[Count]]/50,0)+$L$1</f>
        <v>2020</v>
      </c>
      <c r="M105" s="81">
        <f t="shared" ca="1" si="1"/>
        <v>0</v>
      </c>
      <c r="N105" s="81" t="str">
        <f>IFERROR(VLOOKUP(ExtComp[[#This Row],[DEVELOPMENT]],Data[],22,FALSE),"")</f>
        <v/>
      </c>
      <c r="O105" s="88" t="str">
        <f>IFERROR(VLOOKUP(ExtComp[[#This Row],[DEVELOPMENT]],Data[],23,FALSE),"")</f>
        <v/>
      </c>
    </row>
    <row r="106" spans="1:15" x14ac:dyDescent="0.25">
      <c r="A106" s="13" t="s">
        <v>387</v>
      </c>
      <c r="B106" s="9" t="str">
        <f>VLOOKUP(A106,Data[],2,FALSE)</f>
        <v>MANHATTAN</v>
      </c>
      <c r="C106" s="9" t="s">
        <v>68</v>
      </c>
      <c r="D106" s="66">
        <f>VLOOKUP(ExtComp[[#This Row],[DEVELOPMENT]],Data[],8,FALSE)</f>
        <v>0</v>
      </c>
      <c r="E106" s="66">
        <f>VLOOKUP(ExtComp[[#This Row],[DEVELOPMENT]],Data[],9,FALSE)</f>
        <v>0</v>
      </c>
      <c r="F106" s="66" t="str">
        <f>IFERROR(VLOOKUP(ExtComp[[#This Row],[DEVELOPMENT]],Data[],4,FALSE),"")</f>
        <v/>
      </c>
      <c r="G106" s="66" t="str">
        <f>IF(ExtComp[[#This Row],[RAD/PACT]]="","",IF(ExtComp[[#This Row],[RAD/PACT]]&lt;=2025,"Yes",""))</f>
        <v/>
      </c>
      <c r="H106" s="67" t="str">
        <f ca="1">IF(VLOOKUP(ExtComp[[#This Row],[DEVELOPMENT]],Data[],11,FALSE)=0,"",DATEDIF(VLOOKUP(ExtComp[[#This Row],[DEVELOPMENT]],Data[],13,FALSE),TODAY(),"Y"))</f>
        <v/>
      </c>
      <c r="I106" s="67">
        <f>IF(ExtComp[[#This Row],[RAD/PACT]]="",VLOOKUP(ExtComp[[#This Row],[DEVELOPMENT]],Data[],11,FALSE),IF(ExtComp[[#This Row],[RAD/PACT by 2025]]="yes",0,VLOOKUP(ExtComp[[#This Row],[DEVELOPMENT]],Data[],11,FALSE)))</f>
        <v>0</v>
      </c>
      <c r="J106" s="63">
        <f ca="1">(ExtComp[[#This Row],['# to Replace]]*'Unit Costs'!$B$6)*(1+((ExtComp[[#This Row],[est. Year]]-YEAR(TODAY()))*$J$2))</f>
        <v>0</v>
      </c>
      <c r="K106" s="67">
        <f>SUM(INDEX(ExtComp['# to Replace],1):ExtComp[[#This Row],['# to Replace]])</f>
        <v>0</v>
      </c>
      <c r="L106" s="67">
        <f>ROUNDDOWN(ExtComp[[#This Row],[Count]]/50,0)+$L$1</f>
        <v>2020</v>
      </c>
      <c r="M106" s="81">
        <f t="shared" ca="1" si="1"/>
        <v>0</v>
      </c>
      <c r="N106" s="81" t="str">
        <f>IFERROR(VLOOKUP(ExtComp[[#This Row],[DEVELOPMENT]],Data[],22,FALSE),"")</f>
        <v/>
      </c>
      <c r="O106" s="88" t="str">
        <f>IFERROR(VLOOKUP(ExtComp[[#This Row],[DEVELOPMENT]],Data[],23,FALSE),"")</f>
        <v/>
      </c>
    </row>
    <row r="107" spans="1:15" x14ac:dyDescent="0.25">
      <c r="A107" s="13" t="s">
        <v>292</v>
      </c>
      <c r="B107" s="9" t="str">
        <f>VLOOKUP(A107,Data[],2,FALSE)</f>
        <v>BRONX</v>
      </c>
      <c r="C107" s="9"/>
      <c r="D107" s="66">
        <f>VLOOKUP(ExtComp[[#This Row],[DEVELOPMENT]],Data[],8,FALSE)</f>
        <v>0</v>
      </c>
      <c r="E107" s="66">
        <f>VLOOKUP(ExtComp[[#This Row],[DEVELOPMENT]],Data[],9,FALSE)</f>
        <v>0</v>
      </c>
      <c r="F107" s="66">
        <f>IFERROR(VLOOKUP(ExtComp[[#This Row],[DEVELOPMENT]],Data[],4,FALSE),"")</f>
        <v>2022</v>
      </c>
      <c r="G107" s="66" t="str">
        <f>IF(ExtComp[[#This Row],[RAD/PACT]]="","",IF(ExtComp[[#This Row],[RAD/PACT]]&lt;=2025,"Yes",""))</f>
        <v>Yes</v>
      </c>
      <c r="H107" s="67" t="str">
        <f ca="1">IF(VLOOKUP(ExtComp[[#This Row],[DEVELOPMENT]],Data[],11,FALSE)=0,"",DATEDIF(VLOOKUP(ExtComp[[#This Row],[DEVELOPMENT]],Data[],13,FALSE),TODAY(),"Y"))</f>
        <v/>
      </c>
      <c r="I107" s="67">
        <f>IF(ExtComp[[#This Row],[RAD/PACT]]="",VLOOKUP(ExtComp[[#This Row],[DEVELOPMENT]],Data[],11,FALSE),IF(ExtComp[[#This Row],[RAD/PACT by 2025]]="yes",0,VLOOKUP(ExtComp[[#This Row],[DEVELOPMENT]],Data[],11,FALSE)))</f>
        <v>0</v>
      </c>
      <c r="J107" s="63">
        <f ca="1">(ExtComp[[#This Row],['# to Replace]]*'Unit Costs'!$B$6)*(1+((ExtComp[[#This Row],[est. Year]]-YEAR(TODAY()))*$J$2))</f>
        <v>0</v>
      </c>
      <c r="K107" s="67">
        <f>SUM(INDEX(ExtComp['# to Replace],1):ExtComp[[#This Row],['# to Replace]])</f>
        <v>0</v>
      </c>
      <c r="L107" s="67">
        <f>ROUNDDOWN(ExtComp[[#This Row],[Count]]/50,0)+$L$1</f>
        <v>2020</v>
      </c>
      <c r="M107" s="81">
        <f t="shared" ca="1" si="1"/>
        <v>0</v>
      </c>
      <c r="N107" s="81" t="str">
        <f>IFERROR(VLOOKUP(ExtComp[[#This Row],[DEVELOPMENT]],Data[],22,FALSE),"")</f>
        <v/>
      </c>
      <c r="O107" s="88" t="str">
        <f>IFERROR(VLOOKUP(ExtComp[[#This Row],[DEVELOPMENT]],Data[],23,FALSE),"")</f>
        <v/>
      </c>
    </row>
    <row r="108" spans="1:15" x14ac:dyDescent="0.25">
      <c r="A108" s="13" t="s">
        <v>291</v>
      </c>
      <c r="B108" s="9" t="str">
        <f>VLOOKUP(A108,Data[],2,FALSE)</f>
        <v>BROOKLYN</v>
      </c>
      <c r="C108" s="9"/>
      <c r="D108" s="66">
        <f>VLOOKUP(ExtComp[[#This Row],[DEVELOPMENT]],Data[],8,FALSE)</f>
        <v>0</v>
      </c>
      <c r="E108" s="66">
        <f>VLOOKUP(ExtComp[[#This Row],[DEVELOPMENT]],Data[],9,FALSE)</f>
        <v>0</v>
      </c>
      <c r="F108" s="66">
        <f>IFERROR(VLOOKUP(ExtComp[[#This Row],[DEVELOPMENT]],Data[],4,FALSE),"")</f>
        <v>2021</v>
      </c>
      <c r="G108" s="66" t="str">
        <f>IF(ExtComp[[#This Row],[RAD/PACT]]="","",IF(ExtComp[[#This Row],[RAD/PACT]]&lt;=2025,"Yes",""))</f>
        <v>Yes</v>
      </c>
      <c r="H108" s="67" t="str">
        <f ca="1">IF(VLOOKUP(ExtComp[[#This Row],[DEVELOPMENT]],Data[],11,FALSE)=0,"",DATEDIF(VLOOKUP(ExtComp[[#This Row],[DEVELOPMENT]],Data[],13,FALSE),TODAY(),"Y"))</f>
        <v/>
      </c>
      <c r="I108" s="67">
        <f>IF(ExtComp[[#This Row],[RAD/PACT]]="",VLOOKUP(ExtComp[[#This Row],[DEVELOPMENT]],Data[],11,FALSE),IF(ExtComp[[#This Row],[RAD/PACT by 2025]]="yes",0,VLOOKUP(ExtComp[[#This Row],[DEVELOPMENT]],Data[],11,FALSE)))</f>
        <v>0</v>
      </c>
      <c r="J108" s="63">
        <f ca="1">(ExtComp[[#This Row],['# to Replace]]*'Unit Costs'!$B$6)*(1+((ExtComp[[#This Row],[est. Year]]-YEAR(TODAY()))*$J$2))</f>
        <v>0</v>
      </c>
      <c r="K108" s="67">
        <f>SUM(INDEX(ExtComp['# to Replace],1):ExtComp[[#This Row],['# to Replace]])</f>
        <v>0</v>
      </c>
      <c r="L108" s="67">
        <f>ROUNDDOWN(ExtComp[[#This Row],[Count]]/50,0)+$L$1</f>
        <v>2020</v>
      </c>
      <c r="M108" s="81">
        <f t="shared" ca="1" si="1"/>
        <v>0</v>
      </c>
      <c r="N108" s="81" t="str">
        <f>IFERROR(VLOOKUP(ExtComp[[#This Row],[DEVELOPMENT]],Data[],22,FALSE),"")</f>
        <v/>
      </c>
      <c r="O108" s="88" t="str">
        <f>IFERROR(VLOOKUP(ExtComp[[#This Row],[DEVELOPMENT]],Data[],23,FALSE),"")</f>
        <v/>
      </c>
    </row>
    <row r="109" spans="1:15" x14ac:dyDescent="0.25">
      <c r="A109" s="13" t="s">
        <v>135</v>
      </c>
      <c r="B109" s="1" t="str">
        <f>VLOOKUP(A109,Data[],2,FALSE)</f>
        <v>QUEENS</v>
      </c>
      <c r="C109" s="9" t="s">
        <v>68</v>
      </c>
      <c r="D109" s="9" t="str">
        <f>VLOOKUP(ExtComp[[#This Row],[DEVELOPMENT]],Data[],8,FALSE)</f>
        <v>Zone 3</v>
      </c>
      <c r="E109" s="9" t="str">
        <f>VLOOKUP(ExtComp[[#This Row],[DEVELOPMENT]],Data[],9,FALSE)</f>
        <v>$</v>
      </c>
      <c r="F109" s="9" t="str">
        <f>IFERROR(VLOOKUP(ExtComp[[#This Row],[DEVELOPMENT]],Data[],4,FALSE),"")</f>
        <v/>
      </c>
      <c r="G109" s="9" t="str">
        <f>IF(ExtComp[[#This Row],[RAD/PACT]]="","",IF(ExtComp[[#This Row],[RAD/PACT]]&lt;=2025,"Yes",""))</f>
        <v/>
      </c>
      <c r="H109" s="1" t="str">
        <f ca="1">IF(VLOOKUP(ExtComp[[#This Row],[DEVELOPMENT]],Data[],11,FALSE)=0,"",DATEDIF(VLOOKUP(ExtComp[[#This Row],[DEVELOPMENT]],Data[],13,FALSE),TODAY(),"Y"))</f>
        <v/>
      </c>
      <c r="I109" s="1">
        <f>IF(ExtComp[[#This Row],[RAD/PACT]]="",VLOOKUP(ExtComp[[#This Row],[DEVELOPMENT]],Data[],11,FALSE),IF(ExtComp[[#This Row],[RAD/PACT by 2025]]="yes",0,VLOOKUP(ExtComp[[#This Row],[DEVELOPMENT]],Data[],11,FALSE)))</f>
        <v>0</v>
      </c>
      <c r="J109" s="63">
        <f ca="1">(ExtComp[[#This Row],['# to Replace]]*'Unit Costs'!$B$6)*(1+((ExtComp[[#This Row],[est. Year]]-YEAR(TODAY()))*$J$2))</f>
        <v>0</v>
      </c>
      <c r="K109" s="1">
        <f>SUM(INDEX(ExtComp['# to Replace],1):ExtComp[[#This Row],['# to Replace]])</f>
        <v>0</v>
      </c>
      <c r="L109" s="1">
        <f>ROUNDDOWN(ExtComp[[#This Row],[Count]]/50,0)+$L$1</f>
        <v>2020</v>
      </c>
      <c r="M109" s="81">
        <f t="shared" ca="1" si="1"/>
        <v>0</v>
      </c>
      <c r="N109" s="81" t="str">
        <f>IFERROR(VLOOKUP(ExtComp[[#This Row],[DEVELOPMENT]],Data[],22,FALSE),"")</f>
        <v/>
      </c>
      <c r="O109" s="88" t="str">
        <f>IFERROR(VLOOKUP(ExtComp[[#This Row],[DEVELOPMENT]],Data[],23,FALSE),"")</f>
        <v/>
      </c>
    </row>
    <row r="110" spans="1:15" x14ac:dyDescent="0.25">
      <c r="A110" s="13" t="s">
        <v>134</v>
      </c>
      <c r="B110" s="1" t="str">
        <f>VLOOKUP(A110,Data[],2,FALSE)</f>
        <v>QUEENS</v>
      </c>
      <c r="C110" s="9" t="s">
        <v>68</v>
      </c>
      <c r="D110" s="9" t="str">
        <f>VLOOKUP(ExtComp[[#This Row],[DEVELOPMENT]],Data[],8,FALSE)</f>
        <v>Zone 3</v>
      </c>
      <c r="E110" s="9" t="str">
        <f>VLOOKUP(ExtComp[[#This Row],[DEVELOPMENT]],Data[],9,FALSE)</f>
        <v>$</v>
      </c>
      <c r="F110" s="9" t="str">
        <f>IFERROR(VLOOKUP(ExtComp[[#This Row],[DEVELOPMENT]],Data[],4,FALSE),"")</f>
        <v/>
      </c>
      <c r="G110" s="9" t="str">
        <f>IF(ExtComp[[#This Row],[RAD/PACT]]="","",IF(ExtComp[[#This Row],[RAD/PACT]]&lt;=2025,"Yes",""))</f>
        <v/>
      </c>
      <c r="H110" s="1" t="str">
        <f ca="1">IF(VLOOKUP(ExtComp[[#This Row],[DEVELOPMENT]],Data[],11,FALSE)=0,"",DATEDIF(VLOOKUP(ExtComp[[#This Row],[DEVELOPMENT]],Data[],13,FALSE),TODAY(),"Y"))</f>
        <v/>
      </c>
      <c r="I110" s="1">
        <f>IF(ExtComp[[#This Row],[RAD/PACT]]="",VLOOKUP(ExtComp[[#This Row],[DEVELOPMENT]],Data[],11,FALSE),IF(ExtComp[[#This Row],[RAD/PACT by 2025]]="yes",0,VLOOKUP(ExtComp[[#This Row],[DEVELOPMENT]],Data[],11,FALSE)))</f>
        <v>0</v>
      </c>
      <c r="J110" s="63">
        <f ca="1">(ExtComp[[#This Row],['# to Replace]]*'Unit Costs'!$B$6)*(1+((ExtComp[[#This Row],[est. Year]]-YEAR(TODAY()))*$J$2))</f>
        <v>0</v>
      </c>
      <c r="K110" s="1">
        <f>SUM(INDEX(ExtComp['# to Replace],1):ExtComp[[#This Row],['# to Replace]])</f>
        <v>0</v>
      </c>
      <c r="L110" s="1">
        <f>ROUNDDOWN(ExtComp[[#This Row],[Count]]/50,0)+$L$1</f>
        <v>2020</v>
      </c>
      <c r="M110" s="81">
        <f t="shared" ca="1" si="1"/>
        <v>0</v>
      </c>
      <c r="N110" s="81" t="str">
        <f>IFERROR(VLOOKUP(ExtComp[[#This Row],[DEVELOPMENT]],Data[],22,FALSE),"")</f>
        <v/>
      </c>
      <c r="O110" s="88" t="str">
        <f>IFERROR(VLOOKUP(ExtComp[[#This Row],[DEVELOPMENT]],Data[],23,FALSE),"")</f>
        <v/>
      </c>
    </row>
    <row r="111" spans="1:15" x14ac:dyDescent="0.25">
      <c r="A111" s="13" t="s">
        <v>94</v>
      </c>
      <c r="B111" s="1" t="str">
        <f>VLOOKUP(A111,Data[],2,FALSE)</f>
        <v>MANHATTAN</v>
      </c>
      <c r="C111" s="9" t="s">
        <v>68</v>
      </c>
      <c r="D111" s="9" t="str">
        <f>VLOOKUP(ExtComp[[#This Row],[DEVELOPMENT]],Data[],8,FALSE)</f>
        <v>Zone 3</v>
      </c>
      <c r="E111" s="9" t="str">
        <f>VLOOKUP(ExtComp[[#This Row],[DEVELOPMENT]],Data[],9,FALSE)</f>
        <v>$</v>
      </c>
      <c r="F111" s="9">
        <f>IFERROR(VLOOKUP(ExtComp[[#This Row],[DEVELOPMENT]],Data[],4,FALSE),"")</f>
        <v>2019</v>
      </c>
      <c r="G111" s="9" t="str">
        <f>IF(ExtComp[[#This Row],[RAD/PACT]]="","",IF(ExtComp[[#This Row],[RAD/PACT]]&lt;=2025,"Yes",""))</f>
        <v>Yes</v>
      </c>
      <c r="H111" s="1" t="str">
        <f ca="1">IF(VLOOKUP(ExtComp[[#This Row],[DEVELOPMENT]],Data[],11,FALSE)=0,"",DATEDIF(VLOOKUP(ExtComp[[#This Row],[DEVELOPMENT]],Data[],13,FALSE),TODAY(),"Y"))</f>
        <v/>
      </c>
      <c r="I111" s="1">
        <f>IF(ExtComp[[#This Row],[RAD/PACT]]="",VLOOKUP(ExtComp[[#This Row],[DEVELOPMENT]],Data[],11,FALSE),IF(ExtComp[[#This Row],[RAD/PACT by 2025]]="yes",0,VLOOKUP(ExtComp[[#This Row],[DEVELOPMENT]],Data[],11,FALSE)))</f>
        <v>0</v>
      </c>
      <c r="J111" s="63">
        <f ca="1">(ExtComp[[#This Row],['# to Replace]]*'Unit Costs'!$B$6)*(1+((ExtComp[[#This Row],[est. Year]]-YEAR(TODAY()))*$J$2))</f>
        <v>0</v>
      </c>
      <c r="K111" s="1">
        <f>SUM(INDEX(ExtComp['# to Replace],1):ExtComp[[#This Row],['# to Replace]])</f>
        <v>0</v>
      </c>
      <c r="L111" s="1">
        <f>ROUNDDOWN(ExtComp[[#This Row],[Count]]/50,0)+$L$1</f>
        <v>2020</v>
      </c>
      <c r="M111" s="81">
        <f t="shared" ca="1" si="1"/>
        <v>0</v>
      </c>
      <c r="N111" s="81" t="str">
        <f>IFERROR(VLOOKUP(ExtComp[[#This Row],[DEVELOPMENT]],Data[],22,FALSE),"")</f>
        <v/>
      </c>
      <c r="O111" s="67" t="str">
        <f>IFERROR(VLOOKUP(ExtComp[[#This Row],[DEVELOPMENT]],Data[],23,FALSE),"")</f>
        <v/>
      </c>
    </row>
    <row r="112" spans="1:15" x14ac:dyDescent="0.25">
      <c r="A112" s="13" t="s">
        <v>386</v>
      </c>
      <c r="B112" s="9" t="str">
        <f>VLOOKUP(A112,Data[],2,FALSE)</f>
        <v>BRONX</v>
      </c>
      <c r="C112" s="9" t="s">
        <v>68</v>
      </c>
      <c r="D112" s="66">
        <f>VLOOKUP(ExtComp[[#This Row],[DEVELOPMENT]],Data[],8,FALSE)</f>
        <v>0</v>
      </c>
      <c r="E112" s="66">
        <f>VLOOKUP(ExtComp[[#This Row],[DEVELOPMENT]],Data[],9,FALSE)</f>
        <v>0</v>
      </c>
      <c r="F112" s="66" t="str">
        <f>IFERROR(VLOOKUP(ExtComp[[#This Row],[DEVELOPMENT]],Data[],4,FALSE),"")</f>
        <v/>
      </c>
      <c r="G112" s="66" t="str">
        <f>IF(ExtComp[[#This Row],[RAD/PACT]]="","",IF(ExtComp[[#This Row],[RAD/PACT]]&lt;=2025,"Yes",""))</f>
        <v/>
      </c>
      <c r="H112" s="67" t="str">
        <f ca="1">IF(VLOOKUP(ExtComp[[#This Row],[DEVELOPMENT]],Data[],11,FALSE)=0,"",DATEDIF(VLOOKUP(ExtComp[[#This Row],[DEVELOPMENT]],Data[],13,FALSE),TODAY(),"Y"))</f>
        <v/>
      </c>
      <c r="I112" s="67">
        <f>IF(ExtComp[[#This Row],[RAD/PACT]]="",VLOOKUP(ExtComp[[#This Row],[DEVELOPMENT]],Data[],11,FALSE),IF(ExtComp[[#This Row],[RAD/PACT by 2025]]="yes",0,VLOOKUP(ExtComp[[#This Row],[DEVELOPMENT]],Data[],11,FALSE)))</f>
        <v>0</v>
      </c>
      <c r="J112" s="63">
        <f ca="1">(ExtComp[[#This Row],['# to Replace]]*'Unit Costs'!$B$6)*(1+((ExtComp[[#This Row],[est. Year]]-YEAR(TODAY()))*$J$2))</f>
        <v>0</v>
      </c>
      <c r="K112" s="67">
        <f>SUM(INDEX(ExtComp['# to Replace],1):ExtComp[[#This Row],['# to Replace]])</f>
        <v>0</v>
      </c>
      <c r="L112" s="67">
        <f>ROUNDDOWN(ExtComp[[#This Row],[Count]]/50,0)+$L$1</f>
        <v>2020</v>
      </c>
      <c r="M112" s="81">
        <f t="shared" ca="1" si="1"/>
        <v>0</v>
      </c>
      <c r="N112" s="81" t="str">
        <f>IFERROR(VLOOKUP(ExtComp[[#This Row],[DEVELOPMENT]],Data[],22,FALSE),"")</f>
        <v/>
      </c>
      <c r="O112" s="88" t="str">
        <f>IFERROR(VLOOKUP(ExtComp[[#This Row],[DEVELOPMENT]],Data[],23,FALSE),"")</f>
        <v/>
      </c>
    </row>
    <row r="113" spans="1:15" x14ac:dyDescent="0.25">
      <c r="A113" s="13" t="s">
        <v>290</v>
      </c>
      <c r="B113" s="9" t="str">
        <f>VLOOKUP(A113,Data[],2,FALSE)</f>
        <v>QUEENS</v>
      </c>
      <c r="C113" s="9" t="s">
        <v>68</v>
      </c>
      <c r="D113" s="66">
        <f>VLOOKUP(ExtComp[[#This Row],[DEVELOPMENT]],Data[],8,FALSE)</f>
        <v>0</v>
      </c>
      <c r="E113" s="66">
        <f>VLOOKUP(ExtComp[[#This Row],[DEVELOPMENT]],Data[],9,FALSE)</f>
        <v>0</v>
      </c>
      <c r="F113" s="66">
        <f>IFERROR(VLOOKUP(ExtComp[[#This Row],[DEVELOPMENT]],Data[],4,FALSE),"")</f>
        <v>2027</v>
      </c>
      <c r="G113" s="66" t="str">
        <f>IF(ExtComp[[#This Row],[RAD/PACT]]="","",IF(ExtComp[[#This Row],[RAD/PACT]]&lt;=2025,"Yes",""))</f>
        <v/>
      </c>
      <c r="H113" s="67" t="str">
        <f ca="1">IF(VLOOKUP(ExtComp[[#This Row],[DEVELOPMENT]],Data[],11,FALSE)=0,"",DATEDIF(VLOOKUP(ExtComp[[#This Row],[DEVELOPMENT]],Data[],13,FALSE),TODAY(),"Y"))</f>
        <v/>
      </c>
      <c r="I113" s="67">
        <f>IF(ExtComp[[#This Row],[RAD/PACT]]="",VLOOKUP(ExtComp[[#This Row],[DEVELOPMENT]],Data[],11,FALSE),IF(ExtComp[[#This Row],[RAD/PACT by 2025]]="yes",0,VLOOKUP(ExtComp[[#This Row],[DEVELOPMENT]],Data[],11,FALSE)))</f>
        <v>0</v>
      </c>
      <c r="J113" s="63">
        <f ca="1">(ExtComp[[#This Row],['# to Replace]]*'Unit Costs'!$B$6)*(1+((ExtComp[[#This Row],[est. Year]]-YEAR(TODAY()))*$J$2))</f>
        <v>0</v>
      </c>
      <c r="K113" s="67">
        <f>SUM(INDEX(ExtComp['# to Replace],1):ExtComp[[#This Row],['# to Replace]])</f>
        <v>0</v>
      </c>
      <c r="L113" s="67">
        <f>ROUNDDOWN(ExtComp[[#This Row],[Count]]/50,0)+$L$1</f>
        <v>2020</v>
      </c>
      <c r="M113" s="81">
        <f t="shared" ca="1" si="1"/>
        <v>0</v>
      </c>
      <c r="N113" s="81" t="str">
        <f>IFERROR(VLOOKUP(ExtComp[[#This Row],[DEVELOPMENT]],Data[],22,FALSE),"")</f>
        <v/>
      </c>
      <c r="O113" s="88" t="str">
        <f>IFERROR(VLOOKUP(ExtComp[[#This Row],[DEVELOPMENT]],Data[],23,FALSE),"")</f>
        <v/>
      </c>
    </row>
    <row r="114" spans="1:15" x14ac:dyDescent="0.25">
      <c r="A114" s="13" t="s">
        <v>133</v>
      </c>
      <c r="B114" s="1" t="str">
        <f>VLOOKUP(A114,Data[],2,FALSE)</f>
        <v>MANHATTAN</v>
      </c>
      <c r="C114" s="9" t="s">
        <v>68</v>
      </c>
      <c r="D114" s="9" t="str">
        <f>VLOOKUP(ExtComp[[#This Row],[DEVELOPMENT]],Data[],8,FALSE)</f>
        <v>Zone 2</v>
      </c>
      <c r="E114" s="9" t="str">
        <f>VLOOKUP(ExtComp[[#This Row],[DEVELOPMENT]],Data[],9,FALSE)</f>
        <v>$</v>
      </c>
      <c r="F114" s="9" t="str">
        <f>IFERROR(VLOOKUP(ExtComp[[#This Row],[DEVELOPMENT]],Data[],4,FALSE),"")</f>
        <v/>
      </c>
      <c r="G114" s="9" t="str">
        <f>IF(ExtComp[[#This Row],[RAD/PACT]]="","",IF(ExtComp[[#This Row],[RAD/PACT]]&lt;=2025,"Yes",""))</f>
        <v/>
      </c>
      <c r="H114" s="1" t="str">
        <f ca="1">IF(VLOOKUP(ExtComp[[#This Row],[DEVELOPMENT]],Data[],11,FALSE)=0,"",DATEDIF(VLOOKUP(ExtComp[[#This Row],[DEVELOPMENT]],Data[],13,FALSE),TODAY(),"Y"))</f>
        <v/>
      </c>
      <c r="I114" s="1">
        <f>IF(ExtComp[[#This Row],[RAD/PACT]]="",VLOOKUP(ExtComp[[#This Row],[DEVELOPMENT]],Data[],11,FALSE),IF(ExtComp[[#This Row],[RAD/PACT by 2025]]="yes",0,VLOOKUP(ExtComp[[#This Row],[DEVELOPMENT]],Data[],11,FALSE)))</f>
        <v>0</v>
      </c>
      <c r="J114" s="63">
        <f ca="1">(ExtComp[[#This Row],['# to Replace]]*'Unit Costs'!$B$6)*(1+((ExtComp[[#This Row],[est. Year]]-YEAR(TODAY()))*$J$2))</f>
        <v>0</v>
      </c>
      <c r="K114" s="1">
        <f>SUM(INDEX(ExtComp['# to Replace],1):ExtComp[[#This Row],['# to Replace]])</f>
        <v>0</v>
      </c>
      <c r="L114" s="1">
        <f>ROUNDDOWN(ExtComp[[#This Row],[Count]]/50,0)+$L$1</f>
        <v>2020</v>
      </c>
      <c r="M114" s="81">
        <f t="shared" ca="1" si="1"/>
        <v>0</v>
      </c>
      <c r="N114" s="81" t="str">
        <f>IFERROR(VLOOKUP(ExtComp[[#This Row],[DEVELOPMENT]],Data[],22,FALSE),"")</f>
        <v/>
      </c>
      <c r="O114" s="88" t="str">
        <f>IFERROR(VLOOKUP(ExtComp[[#This Row],[DEVELOPMENT]],Data[],23,FALSE),"")</f>
        <v/>
      </c>
    </row>
    <row r="115" spans="1:15" x14ac:dyDescent="0.25">
      <c r="A115" s="13" t="s">
        <v>289</v>
      </c>
      <c r="B115" s="9" t="str">
        <f>VLOOKUP(A115,Data[],2,FALSE)</f>
        <v>BROOKLYN</v>
      </c>
      <c r="C115" s="9" t="s">
        <v>68</v>
      </c>
      <c r="D115" s="66">
        <f>VLOOKUP(ExtComp[[#This Row],[DEVELOPMENT]],Data[],8,FALSE)</f>
        <v>0</v>
      </c>
      <c r="E115" s="66">
        <f>VLOOKUP(ExtComp[[#This Row],[DEVELOPMENT]],Data[],9,FALSE)</f>
        <v>0</v>
      </c>
      <c r="F115" s="66" t="str">
        <f>IFERROR(VLOOKUP(ExtComp[[#This Row],[DEVELOPMENT]],Data[],4,FALSE),"")</f>
        <v/>
      </c>
      <c r="G115" s="66" t="str">
        <f>IF(ExtComp[[#This Row],[RAD/PACT]]="","",IF(ExtComp[[#This Row],[RAD/PACT]]&lt;=2025,"Yes",""))</f>
        <v/>
      </c>
      <c r="H115" s="67" t="str">
        <f ca="1">IF(VLOOKUP(ExtComp[[#This Row],[DEVELOPMENT]],Data[],11,FALSE)=0,"",DATEDIF(VLOOKUP(ExtComp[[#This Row],[DEVELOPMENT]],Data[],13,FALSE),TODAY(),"Y"))</f>
        <v/>
      </c>
      <c r="I115" s="67">
        <f>IF(ExtComp[[#This Row],[RAD/PACT]]="",VLOOKUP(ExtComp[[#This Row],[DEVELOPMENT]],Data[],11,FALSE),IF(ExtComp[[#This Row],[RAD/PACT by 2025]]="yes",0,VLOOKUP(ExtComp[[#This Row],[DEVELOPMENT]],Data[],11,FALSE)))</f>
        <v>0</v>
      </c>
      <c r="J115" s="63">
        <f ca="1">(ExtComp[[#This Row],['# to Replace]]*'Unit Costs'!$B$6)*(1+((ExtComp[[#This Row],[est. Year]]-YEAR(TODAY()))*$J$2))</f>
        <v>0</v>
      </c>
      <c r="K115" s="67">
        <f>SUM(INDEX(ExtComp['# to Replace],1):ExtComp[[#This Row],['# to Replace]])</f>
        <v>0</v>
      </c>
      <c r="L115" s="67">
        <f>ROUNDDOWN(ExtComp[[#This Row],[Count]]/50,0)+$L$1</f>
        <v>2020</v>
      </c>
      <c r="M115" s="81">
        <f t="shared" ca="1" si="1"/>
        <v>0</v>
      </c>
      <c r="N115" s="81" t="str">
        <f>IFERROR(VLOOKUP(ExtComp[[#This Row],[DEVELOPMENT]],Data[],22,FALSE),"")</f>
        <v/>
      </c>
      <c r="O115" s="88" t="str">
        <f>IFERROR(VLOOKUP(ExtComp[[#This Row],[DEVELOPMENT]],Data[],23,FALSE),"")</f>
        <v/>
      </c>
    </row>
    <row r="116" spans="1:15" x14ac:dyDescent="0.25">
      <c r="A116" s="13" t="s">
        <v>288</v>
      </c>
      <c r="B116" s="9" t="str">
        <f>VLOOKUP(A116,Data[],2,FALSE)</f>
        <v>BROOKLYN</v>
      </c>
      <c r="C116" s="9" t="s">
        <v>68</v>
      </c>
      <c r="D116" s="66">
        <f>VLOOKUP(ExtComp[[#This Row],[DEVELOPMENT]],Data[],8,FALSE)</f>
        <v>0</v>
      </c>
      <c r="E116" s="66">
        <f>VLOOKUP(ExtComp[[#This Row],[DEVELOPMENT]],Data[],9,FALSE)</f>
        <v>0</v>
      </c>
      <c r="F116" s="66" t="str">
        <f>IFERROR(VLOOKUP(ExtComp[[#This Row],[DEVELOPMENT]],Data[],4,FALSE),"")</f>
        <v/>
      </c>
      <c r="G116" s="66" t="str">
        <f>IF(ExtComp[[#This Row],[RAD/PACT]]="","",IF(ExtComp[[#This Row],[RAD/PACT]]&lt;=2025,"Yes",""))</f>
        <v/>
      </c>
      <c r="H116" s="67" t="str">
        <f ca="1">IF(VLOOKUP(ExtComp[[#This Row],[DEVELOPMENT]],Data[],11,FALSE)=0,"",DATEDIF(VLOOKUP(ExtComp[[#This Row],[DEVELOPMENT]],Data[],13,FALSE),TODAY(),"Y"))</f>
        <v/>
      </c>
      <c r="I116" s="67">
        <f>IF(ExtComp[[#This Row],[RAD/PACT]]="",VLOOKUP(ExtComp[[#This Row],[DEVELOPMENT]],Data[],11,FALSE),IF(ExtComp[[#This Row],[RAD/PACT by 2025]]="yes",0,VLOOKUP(ExtComp[[#This Row],[DEVELOPMENT]],Data[],11,FALSE)))</f>
        <v>0</v>
      </c>
      <c r="J116" s="63">
        <f ca="1">(ExtComp[[#This Row],['# to Replace]]*'Unit Costs'!$B$6)*(1+((ExtComp[[#This Row],[est. Year]]-YEAR(TODAY()))*$J$2))</f>
        <v>0</v>
      </c>
      <c r="K116" s="67">
        <f>SUM(INDEX(ExtComp['# to Replace],1):ExtComp[[#This Row],['# to Replace]])</f>
        <v>0</v>
      </c>
      <c r="L116" s="67">
        <f>ROUNDDOWN(ExtComp[[#This Row],[Count]]/50,0)+$L$1</f>
        <v>2020</v>
      </c>
      <c r="M116" s="81">
        <f t="shared" ca="1" si="1"/>
        <v>0</v>
      </c>
      <c r="N116" s="81" t="str">
        <f>IFERROR(VLOOKUP(ExtComp[[#This Row],[DEVELOPMENT]],Data[],22,FALSE),"")</f>
        <v/>
      </c>
      <c r="O116" s="88" t="str">
        <f>IFERROR(VLOOKUP(ExtComp[[#This Row],[DEVELOPMENT]],Data[],23,FALSE),"")</f>
        <v/>
      </c>
    </row>
    <row r="117" spans="1:15" x14ac:dyDescent="0.25">
      <c r="A117" s="13" t="s">
        <v>287</v>
      </c>
      <c r="B117" s="9" t="str">
        <f>VLOOKUP(A117,Data[],2,FALSE)</f>
        <v>BRONX</v>
      </c>
      <c r="C117" s="9"/>
      <c r="D117" s="66">
        <f>VLOOKUP(ExtComp[[#This Row],[DEVELOPMENT]],Data[],8,FALSE)</f>
        <v>0</v>
      </c>
      <c r="E117" s="66">
        <f>VLOOKUP(ExtComp[[#This Row],[DEVELOPMENT]],Data[],9,FALSE)</f>
        <v>0</v>
      </c>
      <c r="F117" s="66">
        <f>IFERROR(VLOOKUP(ExtComp[[#This Row],[DEVELOPMENT]],Data[],4,FALSE),"")</f>
        <v>2022</v>
      </c>
      <c r="G117" s="66" t="str">
        <f>IF(ExtComp[[#This Row],[RAD/PACT]]="","",IF(ExtComp[[#This Row],[RAD/PACT]]&lt;=2025,"Yes",""))</f>
        <v>Yes</v>
      </c>
      <c r="H117" s="67" t="str">
        <f ca="1">IF(VLOOKUP(ExtComp[[#This Row],[DEVELOPMENT]],Data[],11,FALSE)=0,"",DATEDIF(VLOOKUP(ExtComp[[#This Row],[DEVELOPMENT]],Data[],13,FALSE),TODAY(),"Y"))</f>
        <v/>
      </c>
      <c r="I117" s="67">
        <f>IF(ExtComp[[#This Row],[RAD/PACT]]="",VLOOKUP(ExtComp[[#This Row],[DEVELOPMENT]],Data[],11,FALSE),IF(ExtComp[[#This Row],[RAD/PACT by 2025]]="yes",0,VLOOKUP(ExtComp[[#This Row],[DEVELOPMENT]],Data[],11,FALSE)))</f>
        <v>0</v>
      </c>
      <c r="J117" s="63">
        <f ca="1">(ExtComp[[#This Row],['# to Replace]]*'Unit Costs'!$B$6)*(1+((ExtComp[[#This Row],[est. Year]]-YEAR(TODAY()))*$J$2))</f>
        <v>0</v>
      </c>
      <c r="K117" s="67">
        <f>SUM(INDEX(ExtComp['# to Replace],1):ExtComp[[#This Row],['# to Replace]])</f>
        <v>0</v>
      </c>
      <c r="L117" s="67">
        <f>ROUNDDOWN(ExtComp[[#This Row],[Count]]/50,0)+$L$1</f>
        <v>2020</v>
      </c>
      <c r="M117" s="81">
        <f t="shared" ca="1" si="1"/>
        <v>0</v>
      </c>
      <c r="N117" s="81" t="str">
        <f>IFERROR(VLOOKUP(ExtComp[[#This Row],[DEVELOPMENT]],Data[],22,FALSE),"")</f>
        <v/>
      </c>
      <c r="O117" s="88" t="str">
        <f>IFERROR(VLOOKUP(ExtComp[[#This Row],[DEVELOPMENT]],Data[],23,FALSE),"")</f>
        <v/>
      </c>
    </row>
    <row r="118" spans="1:15" x14ac:dyDescent="0.25">
      <c r="A118" s="13" t="s">
        <v>132</v>
      </c>
      <c r="B118" s="1" t="str">
        <f>VLOOKUP(A118,Data[],2,FALSE)</f>
        <v>BRONX</v>
      </c>
      <c r="C118" s="9" t="s">
        <v>68</v>
      </c>
      <c r="D118" s="9" t="str">
        <f>VLOOKUP(ExtComp[[#This Row],[DEVELOPMENT]],Data[],8,FALSE)</f>
        <v>Zone 3</v>
      </c>
      <c r="E118" s="9" t="str">
        <f>VLOOKUP(ExtComp[[#This Row],[DEVELOPMENT]],Data[],9,FALSE)</f>
        <v>$$</v>
      </c>
      <c r="F118" s="9">
        <f>IFERROR(VLOOKUP(ExtComp[[#This Row],[DEVELOPMENT]],Data[],4,FALSE),"")</f>
        <v>2025</v>
      </c>
      <c r="G118" s="9" t="str">
        <f>IF(ExtComp[[#This Row],[RAD/PACT]]="","",IF(ExtComp[[#This Row],[RAD/PACT]]&lt;=2025,"Yes",""))</f>
        <v>Yes</v>
      </c>
      <c r="H118" s="1" t="str">
        <f ca="1">IF(VLOOKUP(ExtComp[[#This Row],[DEVELOPMENT]],Data[],11,FALSE)=0,"",DATEDIF(VLOOKUP(ExtComp[[#This Row],[DEVELOPMENT]],Data[],13,FALSE),TODAY(),"Y"))</f>
        <v/>
      </c>
      <c r="I118" s="1">
        <f>IF(ExtComp[[#This Row],[RAD/PACT]]="",VLOOKUP(ExtComp[[#This Row],[DEVELOPMENT]],Data[],11,FALSE),IF(ExtComp[[#This Row],[RAD/PACT by 2025]]="yes",0,VLOOKUP(ExtComp[[#This Row],[DEVELOPMENT]],Data[],11,FALSE)))</f>
        <v>0</v>
      </c>
      <c r="J118" s="63">
        <f ca="1">(ExtComp[[#This Row],['# to Replace]]*'Unit Costs'!$B$6)*(1+((ExtComp[[#This Row],[est. Year]]-YEAR(TODAY()))*$J$2))</f>
        <v>0</v>
      </c>
      <c r="K118" s="1">
        <f>SUM(INDEX(ExtComp['# to Replace],1):ExtComp[[#This Row],['# to Replace]])</f>
        <v>0</v>
      </c>
      <c r="L118" s="1">
        <f>ROUNDDOWN(ExtComp[[#This Row],[Count]]/50,0)+$L$1</f>
        <v>2020</v>
      </c>
      <c r="M118" s="81">
        <f t="shared" ca="1" si="1"/>
        <v>0</v>
      </c>
      <c r="N118" s="81" t="str">
        <f>IFERROR(VLOOKUP(ExtComp[[#This Row],[DEVELOPMENT]],Data[],22,FALSE),"")</f>
        <v/>
      </c>
      <c r="O118" s="88" t="str">
        <f>IFERROR(VLOOKUP(ExtComp[[#This Row],[DEVELOPMENT]],Data[],23,FALSE),"")</f>
        <v/>
      </c>
    </row>
    <row r="119" spans="1:15" x14ac:dyDescent="0.25">
      <c r="A119" s="13" t="s">
        <v>286</v>
      </c>
      <c r="B119" s="9" t="str">
        <f>VLOOKUP(A119,Data[],2,FALSE)</f>
        <v>BRONX</v>
      </c>
      <c r="C119" s="9" t="s">
        <v>68</v>
      </c>
      <c r="D119" s="66">
        <f>VLOOKUP(ExtComp[[#This Row],[DEVELOPMENT]],Data[],8,FALSE)</f>
        <v>0</v>
      </c>
      <c r="E119" s="66">
        <f>VLOOKUP(ExtComp[[#This Row],[DEVELOPMENT]],Data[],9,FALSE)</f>
        <v>0</v>
      </c>
      <c r="F119" s="66" t="str">
        <f>IFERROR(VLOOKUP(ExtComp[[#This Row],[DEVELOPMENT]],Data[],4,FALSE),"")</f>
        <v/>
      </c>
      <c r="G119" s="66" t="str">
        <f>IF(ExtComp[[#This Row],[RAD/PACT]]="","",IF(ExtComp[[#This Row],[RAD/PACT]]&lt;=2025,"Yes",""))</f>
        <v/>
      </c>
      <c r="H119" s="67" t="str">
        <f ca="1">IF(VLOOKUP(ExtComp[[#This Row],[DEVELOPMENT]],Data[],11,FALSE)=0,"",DATEDIF(VLOOKUP(ExtComp[[#This Row],[DEVELOPMENT]],Data[],13,FALSE),TODAY(),"Y"))</f>
        <v/>
      </c>
      <c r="I119" s="67">
        <f>IF(ExtComp[[#This Row],[RAD/PACT]]="",VLOOKUP(ExtComp[[#This Row],[DEVELOPMENT]],Data[],11,FALSE),IF(ExtComp[[#This Row],[RAD/PACT by 2025]]="yes",0,VLOOKUP(ExtComp[[#This Row],[DEVELOPMENT]],Data[],11,FALSE)))</f>
        <v>0</v>
      </c>
      <c r="J119" s="63">
        <f ca="1">(ExtComp[[#This Row],['# to Replace]]*'Unit Costs'!$B$6)*(1+((ExtComp[[#This Row],[est. Year]]-YEAR(TODAY()))*$J$2))</f>
        <v>0</v>
      </c>
      <c r="K119" s="67">
        <f>SUM(INDEX(ExtComp['# to Replace],1):ExtComp[[#This Row],['# to Replace]])</f>
        <v>0</v>
      </c>
      <c r="L119" s="67">
        <f>ROUNDDOWN(ExtComp[[#This Row],[Count]]/50,0)+$L$1</f>
        <v>2020</v>
      </c>
      <c r="M119" s="81">
        <f t="shared" ca="1" si="1"/>
        <v>0</v>
      </c>
      <c r="N119" s="81" t="str">
        <f>IFERROR(VLOOKUP(ExtComp[[#This Row],[DEVELOPMENT]],Data[],22,FALSE),"")</f>
        <v/>
      </c>
      <c r="O119" s="67" t="str">
        <f>IFERROR(VLOOKUP(ExtComp[[#This Row],[DEVELOPMENT]],Data[],23,FALSE),"")</f>
        <v/>
      </c>
    </row>
    <row r="120" spans="1:15" x14ac:dyDescent="0.25">
      <c r="A120" s="13" t="s">
        <v>285</v>
      </c>
      <c r="B120" s="9" t="str">
        <f>VLOOKUP(A120,Data[],2,FALSE)</f>
        <v>BROOKLYN</v>
      </c>
      <c r="C120" s="9" t="s">
        <v>68</v>
      </c>
      <c r="D120" s="66">
        <f>VLOOKUP(ExtComp[[#This Row],[DEVELOPMENT]],Data[],8,FALSE)</f>
        <v>0</v>
      </c>
      <c r="E120" s="66">
        <f>VLOOKUP(ExtComp[[#This Row],[DEVELOPMENT]],Data[],9,FALSE)</f>
        <v>0</v>
      </c>
      <c r="F120" s="66">
        <f>IFERROR(VLOOKUP(ExtComp[[#This Row],[DEVELOPMENT]],Data[],4,FALSE),"")</f>
        <v>2025</v>
      </c>
      <c r="G120" s="66" t="str">
        <f>IF(ExtComp[[#This Row],[RAD/PACT]]="","",IF(ExtComp[[#This Row],[RAD/PACT]]&lt;=2025,"Yes",""))</f>
        <v>Yes</v>
      </c>
      <c r="H120" s="67" t="str">
        <f ca="1">IF(VLOOKUP(ExtComp[[#This Row],[DEVELOPMENT]],Data[],11,FALSE)=0,"",DATEDIF(VLOOKUP(ExtComp[[#This Row],[DEVELOPMENT]],Data[],13,FALSE),TODAY(),"Y"))</f>
        <v/>
      </c>
      <c r="I120" s="67">
        <f>IF(ExtComp[[#This Row],[RAD/PACT]]="",VLOOKUP(ExtComp[[#This Row],[DEVELOPMENT]],Data[],11,FALSE),IF(ExtComp[[#This Row],[RAD/PACT by 2025]]="yes",0,VLOOKUP(ExtComp[[#This Row],[DEVELOPMENT]],Data[],11,FALSE)))</f>
        <v>0</v>
      </c>
      <c r="J120" s="63">
        <f ca="1">(ExtComp[[#This Row],['# to Replace]]*'Unit Costs'!$B$6)*(1+((ExtComp[[#This Row],[est. Year]]-YEAR(TODAY()))*$J$2))</f>
        <v>0</v>
      </c>
      <c r="K120" s="67">
        <f>SUM(INDEX(ExtComp['# to Replace],1):ExtComp[[#This Row],['# to Replace]])</f>
        <v>0</v>
      </c>
      <c r="L120" s="67">
        <f>ROUNDDOWN(ExtComp[[#This Row],[Count]]/50,0)+$L$1</f>
        <v>2020</v>
      </c>
      <c r="M120" s="81">
        <f t="shared" ca="1" si="1"/>
        <v>0</v>
      </c>
      <c r="N120" s="81" t="str">
        <f>IFERROR(VLOOKUP(ExtComp[[#This Row],[DEVELOPMENT]],Data[],22,FALSE),"")</f>
        <v/>
      </c>
      <c r="O120" s="88" t="str">
        <f>IFERROR(VLOOKUP(ExtComp[[#This Row],[DEVELOPMENT]],Data[],23,FALSE),"")</f>
        <v/>
      </c>
    </row>
    <row r="121" spans="1:15" x14ac:dyDescent="0.25">
      <c r="A121" s="13" t="s">
        <v>93</v>
      </c>
      <c r="B121" s="1" t="str">
        <f>VLOOKUP(A121,Data[],2,FALSE)</f>
        <v>MANHATTAN</v>
      </c>
      <c r="C121" s="9" t="s">
        <v>68</v>
      </c>
      <c r="D121" s="9" t="str">
        <f>VLOOKUP(ExtComp[[#This Row],[DEVELOPMENT]],Data[],8,FALSE)</f>
        <v>Zone 3</v>
      </c>
      <c r="E121" s="9" t="str">
        <f>VLOOKUP(ExtComp[[#This Row],[DEVELOPMENT]],Data[],9,FALSE)</f>
        <v>$$</v>
      </c>
      <c r="F121" s="9">
        <f>IFERROR(VLOOKUP(ExtComp[[#This Row],[DEVELOPMENT]],Data[],4,FALSE),"")</f>
        <v>2019</v>
      </c>
      <c r="G121" s="9" t="str">
        <f>IF(ExtComp[[#This Row],[RAD/PACT]]="","",IF(ExtComp[[#This Row],[RAD/PACT]]&lt;=2025,"Yes",""))</f>
        <v>Yes</v>
      </c>
      <c r="H121" s="1" t="str">
        <f ca="1">IF(VLOOKUP(ExtComp[[#This Row],[DEVELOPMENT]],Data[],11,FALSE)=0,"",DATEDIF(VLOOKUP(ExtComp[[#This Row],[DEVELOPMENT]],Data[],13,FALSE),TODAY(),"Y"))</f>
        <v/>
      </c>
      <c r="I121" s="1">
        <f>IF(ExtComp[[#This Row],[RAD/PACT]]="",VLOOKUP(ExtComp[[#This Row],[DEVELOPMENT]],Data[],11,FALSE),IF(ExtComp[[#This Row],[RAD/PACT by 2025]]="yes",0,VLOOKUP(ExtComp[[#This Row],[DEVELOPMENT]],Data[],11,FALSE)))</f>
        <v>0</v>
      </c>
      <c r="J121" s="63">
        <f ca="1">(ExtComp[[#This Row],['# to Replace]]*'Unit Costs'!$B$6)*(1+((ExtComp[[#This Row],[est. Year]]-YEAR(TODAY()))*$J$2))</f>
        <v>0</v>
      </c>
      <c r="K121" s="1">
        <f>SUM(INDEX(ExtComp['# to Replace],1):ExtComp[[#This Row],['# to Replace]])</f>
        <v>0</v>
      </c>
      <c r="L121" s="1">
        <f>ROUNDDOWN(ExtComp[[#This Row],[Count]]/50,0)+$L$1</f>
        <v>2020</v>
      </c>
      <c r="M121" s="81">
        <f t="shared" ca="1" si="1"/>
        <v>0</v>
      </c>
      <c r="N121" s="81" t="str">
        <f>IFERROR(VLOOKUP(ExtComp[[#This Row],[DEVELOPMENT]],Data[],22,FALSE),"")</f>
        <v/>
      </c>
      <c r="O121" s="67" t="str">
        <f>IFERROR(VLOOKUP(ExtComp[[#This Row],[DEVELOPMENT]],Data[],23,FALSE),"")</f>
        <v/>
      </c>
    </row>
    <row r="122" spans="1:15" x14ac:dyDescent="0.25">
      <c r="A122" s="13" t="s">
        <v>383</v>
      </c>
      <c r="B122" s="9" t="str">
        <f>VLOOKUP(A122,Data[],2,FALSE)</f>
        <v>BROOKLYN</v>
      </c>
      <c r="C122" s="9"/>
      <c r="D122" s="66">
        <f>VLOOKUP(ExtComp[[#This Row],[DEVELOPMENT]],Data[],8,FALSE)</f>
        <v>0</v>
      </c>
      <c r="E122" s="66">
        <f>VLOOKUP(ExtComp[[#This Row],[DEVELOPMENT]],Data[],9,FALSE)</f>
        <v>0</v>
      </c>
      <c r="F122" s="66">
        <f>IFERROR(VLOOKUP(ExtComp[[#This Row],[DEVELOPMENT]],Data[],4,FALSE),"")</f>
        <v>2019</v>
      </c>
      <c r="G122" s="66" t="str">
        <f>IF(ExtComp[[#This Row],[RAD/PACT]]="","",IF(ExtComp[[#This Row],[RAD/PACT]]&lt;=2025,"Yes",""))</f>
        <v>Yes</v>
      </c>
      <c r="H122" s="67" t="str">
        <f ca="1">IF(VLOOKUP(ExtComp[[#This Row],[DEVELOPMENT]],Data[],11,FALSE)=0,"",DATEDIF(VLOOKUP(ExtComp[[#This Row],[DEVELOPMENT]],Data[],13,FALSE),TODAY(),"Y"))</f>
        <v/>
      </c>
      <c r="I122" s="67">
        <f>IF(ExtComp[[#This Row],[RAD/PACT]]="",VLOOKUP(ExtComp[[#This Row],[DEVELOPMENT]],Data[],11,FALSE),IF(ExtComp[[#This Row],[RAD/PACT by 2025]]="yes",0,VLOOKUP(ExtComp[[#This Row],[DEVELOPMENT]],Data[],11,FALSE)))</f>
        <v>0</v>
      </c>
      <c r="J122" s="63">
        <f ca="1">(ExtComp[[#This Row],['# to Replace]]*'Unit Costs'!$B$6)*(1+((ExtComp[[#This Row],[est. Year]]-YEAR(TODAY()))*$J$2))</f>
        <v>0</v>
      </c>
      <c r="K122" s="67">
        <f>SUM(INDEX(ExtComp['# to Replace],1):ExtComp[[#This Row],['# to Replace]])</f>
        <v>0</v>
      </c>
      <c r="L122" s="67">
        <f>ROUNDDOWN(ExtComp[[#This Row],[Count]]/50,0)+$L$1</f>
        <v>2020</v>
      </c>
      <c r="M122" s="81">
        <f t="shared" ca="1" si="1"/>
        <v>0</v>
      </c>
      <c r="N122" s="81" t="str">
        <f>IFERROR(VLOOKUP(ExtComp[[#This Row],[DEVELOPMENT]],Data[],22,FALSE),"")</f>
        <v/>
      </c>
      <c r="O122" s="88" t="str">
        <f>IFERROR(VLOOKUP(ExtComp[[#This Row],[DEVELOPMENT]],Data[],23,FALSE),"")</f>
        <v/>
      </c>
    </row>
    <row r="123" spans="1:15" x14ac:dyDescent="0.25">
      <c r="A123" s="13" t="s">
        <v>284</v>
      </c>
      <c r="B123" s="9" t="str">
        <f>VLOOKUP(A123,Data[],2,FALSE)</f>
        <v>BROOKLYN</v>
      </c>
      <c r="C123" s="9" t="s">
        <v>68</v>
      </c>
      <c r="D123" s="66">
        <f>VLOOKUP(ExtComp[[#This Row],[DEVELOPMENT]],Data[],8,FALSE)</f>
        <v>0</v>
      </c>
      <c r="E123" s="66">
        <f>VLOOKUP(ExtComp[[#This Row],[DEVELOPMENT]],Data[],9,FALSE)</f>
        <v>0</v>
      </c>
      <c r="F123" s="66" t="str">
        <f>IFERROR(VLOOKUP(ExtComp[[#This Row],[DEVELOPMENT]],Data[],4,FALSE),"")</f>
        <v/>
      </c>
      <c r="G123" s="66" t="str">
        <f>IF(ExtComp[[#This Row],[RAD/PACT]]="","",IF(ExtComp[[#This Row],[RAD/PACT]]&lt;=2025,"Yes",""))</f>
        <v/>
      </c>
      <c r="H123" s="67" t="str">
        <f ca="1">IF(VLOOKUP(ExtComp[[#This Row],[DEVELOPMENT]],Data[],11,FALSE)=0,"",DATEDIF(VLOOKUP(ExtComp[[#This Row],[DEVELOPMENT]],Data[],13,FALSE),TODAY(),"Y"))</f>
        <v/>
      </c>
      <c r="I123" s="67">
        <f>IF(ExtComp[[#This Row],[RAD/PACT]]="",VLOOKUP(ExtComp[[#This Row],[DEVELOPMENT]],Data[],11,FALSE),IF(ExtComp[[#This Row],[RAD/PACT by 2025]]="yes",0,VLOOKUP(ExtComp[[#This Row],[DEVELOPMENT]],Data[],11,FALSE)))</f>
        <v>0</v>
      </c>
      <c r="J123" s="63">
        <f ca="1">(ExtComp[[#This Row],['# to Replace]]*'Unit Costs'!$B$6)*(1+((ExtComp[[#This Row],[est. Year]]-YEAR(TODAY()))*$J$2))</f>
        <v>0</v>
      </c>
      <c r="K123" s="67">
        <f>SUM(INDEX(ExtComp['# to Replace],1):ExtComp[[#This Row],['# to Replace]])</f>
        <v>0</v>
      </c>
      <c r="L123" s="67">
        <f>ROUNDDOWN(ExtComp[[#This Row],[Count]]/50,0)+$L$1</f>
        <v>2020</v>
      </c>
      <c r="M123" s="81">
        <f t="shared" ca="1" si="1"/>
        <v>0</v>
      </c>
      <c r="N123" s="81" t="str">
        <f>IFERROR(VLOOKUP(ExtComp[[#This Row],[DEVELOPMENT]],Data[],22,FALSE),"")</f>
        <v/>
      </c>
      <c r="O123" s="88" t="str">
        <f>IFERROR(VLOOKUP(ExtComp[[#This Row],[DEVELOPMENT]],Data[],23,FALSE),"")</f>
        <v/>
      </c>
    </row>
    <row r="124" spans="1:15" x14ac:dyDescent="0.25">
      <c r="A124" s="13" t="s">
        <v>283</v>
      </c>
      <c r="B124" s="9" t="str">
        <f>VLOOKUP(A124,Data[],2,FALSE)</f>
        <v>BROOKLYN</v>
      </c>
      <c r="C124" s="9" t="s">
        <v>68</v>
      </c>
      <c r="D124" s="66">
        <f>VLOOKUP(ExtComp[[#This Row],[DEVELOPMENT]],Data[],8,FALSE)</f>
        <v>0</v>
      </c>
      <c r="E124" s="66">
        <f>VLOOKUP(ExtComp[[#This Row],[DEVELOPMENT]],Data[],9,FALSE)</f>
        <v>0</v>
      </c>
      <c r="F124" s="66">
        <f>IFERROR(VLOOKUP(ExtComp[[#This Row],[DEVELOPMENT]],Data[],4,FALSE),"")</f>
        <v>2025</v>
      </c>
      <c r="G124" s="66" t="str">
        <f>IF(ExtComp[[#This Row],[RAD/PACT]]="","",IF(ExtComp[[#This Row],[RAD/PACT]]&lt;=2025,"Yes",""))</f>
        <v>Yes</v>
      </c>
      <c r="H124" s="67" t="str">
        <f ca="1">IF(VLOOKUP(ExtComp[[#This Row],[DEVELOPMENT]],Data[],11,FALSE)=0,"",DATEDIF(VLOOKUP(ExtComp[[#This Row],[DEVELOPMENT]],Data[],13,FALSE),TODAY(),"Y"))</f>
        <v/>
      </c>
      <c r="I124" s="67">
        <f>IF(ExtComp[[#This Row],[RAD/PACT]]="",VLOOKUP(ExtComp[[#This Row],[DEVELOPMENT]],Data[],11,FALSE),IF(ExtComp[[#This Row],[RAD/PACT by 2025]]="yes",0,VLOOKUP(ExtComp[[#This Row],[DEVELOPMENT]],Data[],11,FALSE)))</f>
        <v>0</v>
      </c>
      <c r="J124" s="63">
        <f ca="1">(ExtComp[[#This Row],['# to Replace]]*'Unit Costs'!$B$6)*(1+((ExtComp[[#This Row],[est. Year]]-YEAR(TODAY()))*$J$2))</f>
        <v>0</v>
      </c>
      <c r="K124" s="67">
        <f>SUM(INDEX(ExtComp['# to Replace],1):ExtComp[[#This Row],['# to Replace]])</f>
        <v>0</v>
      </c>
      <c r="L124" s="67">
        <f>ROUNDDOWN(ExtComp[[#This Row],[Count]]/50,0)+$L$1</f>
        <v>2020</v>
      </c>
      <c r="M124" s="81">
        <f t="shared" ca="1" si="1"/>
        <v>0</v>
      </c>
      <c r="N124" s="81" t="str">
        <f>IFERROR(VLOOKUP(ExtComp[[#This Row],[DEVELOPMENT]],Data[],22,FALSE),"")</f>
        <v/>
      </c>
      <c r="O124" s="88" t="str">
        <f>IFERROR(VLOOKUP(ExtComp[[#This Row],[DEVELOPMENT]],Data[],23,FALSE),"")</f>
        <v/>
      </c>
    </row>
    <row r="125" spans="1:15" x14ac:dyDescent="0.25">
      <c r="A125" s="13" t="s">
        <v>282</v>
      </c>
      <c r="B125" s="9" t="str">
        <f>VLOOKUP(A125,Data[],2,FALSE)</f>
        <v>BROOKLYN</v>
      </c>
      <c r="C125" s="9" t="s">
        <v>68</v>
      </c>
      <c r="D125" s="66">
        <f>VLOOKUP(ExtComp[[#This Row],[DEVELOPMENT]],Data[],8,FALSE)</f>
        <v>0</v>
      </c>
      <c r="E125" s="66">
        <f>VLOOKUP(ExtComp[[#This Row],[DEVELOPMENT]],Data[],9,FALSE)</f>
        <v>0</v>
      </c>
      <c r="F125" s="66" t="str">
        <f>IFERROR(VLOOKUP(ExtComp[[#This Row],[DEVELOPMENT]],Data[],4,FALSE),"")</f>
        <v/>
      </c>
      <c r="G125" s="66" t="str">
        <f>IF(ExtComp[[#This Row],[RAD/PACT]]="","",IF(ExtComp[[#This Row],[RAD/PACT]]&lt;=2025,"Yes",""))</f>
        <v/>
      </c>
      <c r="H125" s="67" t="str">
        <f ca="1">IF(VLOOKUP(ExtComp[[#This Row],[DEVELOPMENT]],Data[],11,FALSE)=0,"",DATEDIF(VLOOKUP(ExtComp[[#This Row],[DEVELOPMENT]],Data[],13,FALSE),TODAY(),"Y"))</f>
        <v/>
      </c>
      <c r="I125" s="67">
        <f>IF(ExtComp[[#This Row],[RAD/PACT]]="",VLOOKUP(ExtComp[[#This Row],[DEVELOPMENT]],Data[],11,FALSE),IF(ExtComp[[#This Row],[RAD/PACT by 2025]]="yes",0,VLOOKUP(ExtComp[[#This Row],[DEVELOPMENT]],Data[],11,FALSE)))</f>
        <v>0</v>
      </c>
      <c r="J125" s="63">
        <f ca="1">(ExtComp[[#This Row],['# to Replace]]*'Unit Costs'!$B$6)*(1+((ExtComp[[#This Row],[est. Year]]-YEAR(TODAY()))*$J$2))</f>
        <v>0</v>
      </c>
      <c r="K125" s="67">
        <f>SUM(INDEX(ExtComp['# to Replace],1):ExtComp[[#This Row],['# to Replace]])</f>
        <v>0</v>
      </c>
      <c r="L125" s="67">
        <f>ROUNDDOWN(ExtComp[[#This Row],[Count]]/50,0)+$L$1</f>
        <v>2020</v>
      </c>
      <c r="M125" s="81">
        <f t="shared" ca="1" si="1"/>
        <v>0</v>
      </c>
      <c r="N125" s="81" t="str">
        <f>IFERROR(VLOOKUP(ExtComp[[#This Row],[DEVELOPMENT]],Data[],22,FALSE),"")</f>
        <v/>
      </c>
      <c r="O125" s="88" t="str">
        <f>IFERROR(VLOOKUP(ExtComp[[#This Row],[DEVELOPMENT]],Data[],23,FALSE),"")</f>
        <v/>
      </c>
    </row>
    <row r="126" spans="1:15" x14ac:dyDescent="0.25">
      <c r="A126" s="13" t="s">
        <v>281</v>
      </c>
      <c r="B126" s="9" t="str">
        <f>VLOOKUP(A126,Data[],2,FALSE)</f>
        <v>QUEENS</v>
      </c>
      <c r="C126" s="9" t="s">
        <v>68</v>
      </c>
      <c r="D126" s="66">
        <f>VLOOKUP(ExtComp[[#This Row],[DEVELOPMENT]],Data[],8,FALSE)</f>
        <v>0</v>
      </c>
      <c r="E126" s="66">
        <f>VLOOKUP(ExtComp[[#This Row],[DEVELOPMENT]],Data[],9,FALSE)</f>
        <v>0</v>
      </c>
      <c r="F126" s="66" t="str">
        <f>IFERROR(VLOOKUP(ExtComp[[#This Row],[DEVELOPMENT]],Data[],4,FALSE),"")</f>
        <v/>
      </c>
      <c r="G126" s="66" t="str">
        <f>IF(ExtComp[[#This Row],[RAD/PACT]]="","",IF(ExtComp[[#This Row],[RAD/PACT]]&lt;=2025,"Yes",""))</f>
        <v/>
      </c>
      <c r="H126" s="67" t="str">
        <f ca="1">IF(VLOOKUP(ExtComp[[#This Row],[DEVELOPMENT]],Data[],11,FALSE)=0,"",DATEDIF(VLOOKUP(ExtComp[[#This Row],[DEVELOPMENT]],Data[],13,FALSE),TODAY(),"Y"))</f>
        <v/>
      </c>
      <c r="I126" s="67">
        <f>IF(ExtComp[[#This Row],[RAD/PACT]]="",VLOOKUP(ExtComp[[#This Row],[DEVELOPMENT]],Data[],11,FALSE),IF(ExtComp[[#This Row],[RAD/PACT by 2025]]="yes",0,VLOOKUP(ExtComp[[#This Row],[DEVELOPMENT]],Data[],11,FALSE)))</f>
        <v>0</v>
      </c>
      <c r="J126" s="63">
        <f ca="1">(ExtComp[[#This Row],['# to Replace]]*'Unit Costs'!$B$6)*(1+((ExtComp[[#This Row],[est. Year]]-YEAR(TODAY()))*$J$2))</f>
        <v>0</v>
      </c>
      <c r="K126" s="67">
        <f>SUM(INDEX(ExtComp['# to Replace],1):ExtComp[[#This Row],['# to Replace]])</f>
        <v>0</v>
      </c>
      <c r="L126" s="67">
        <f>ROUNDDOWN(ExtComp[[#This Row],[Count]]/50,0)+$L$1</f>
        <v>2020</v>
      </c>
      <c r="M126" s="81">
        <f t="shared" ca="1" si="1"/>
        <v>0</v>
      </c>
      <c r="N126" s="81" t="str">
        <f>IFERROR(VLOOKUP(ExtComp[[#This Row],[DEVELOPMENT]],Data[],22,FALSE),"")</f>
        <v/>
      </c>
      <c r="O126" s="88" t="str">
        <f>IFERROR(VLOOKUP(ExtComp[[#This Row],[DEVELOPMENT]],Data[],23,FALSE),"")</f>
        <v/>
      </c>
    </row>
    <row r="127" spans="1:15" x14ac:dyDescent="0.25">
      <c r="A127" s="13" t="s">
        <v>280</v>
      </c>
      <c r="B127" s="9" t="str">
        <f>VLOOKUP(A127,Data[],2,FALSE)</f>
        <v>BROOKLYN</v>
      </c>
      <c r="C127" s="9" t="s">
        <v>68</v>
      </c>
      <c r="D127" s="66">
        <f>VLOOKUP(ExtComp[[#This Row],[DEVELOPMENT]],Data[],8,FALSE)</f>
        <v>0</v>
      </c>
      <c r="E127" s="66">
        <f>VLOOKUP(ExtComp[[#This Row],[DEVELOPMENT]],Data[],9,FALSE)</f>
        <v>0</v>
      </c>
      <c r="F127" s="66">
        <f>IFERROR(VLOOKUP(ExtComp[[#This Row],[DEVELOPMENT]],Data[],4,FALSE),"")</f>
        <v>2028</v>
      </c>
      <c r="G127" s="66" t="str">
        <f>IF(ExtComp[[#This Row],[RAD/PACT]]="","",IF(ExtComp[[#This Row],[RAD/PACT]]&lt;=2025,"Yes",""))</f>
        <v/>
      </c>
      <c r="H127" s="67" t="str">
        <f ca="1">IF(VLOOKUP(ExtComp[[#This Row],[DEVELOPMENT]],Data[],11,FALSE)=0,"",DATEDIF(VLOOKUP(ExtComp[[#This Row],[DEVELOPMENT]],Data[],13,FALSE),TODAY(),"Y"))</f>
        <v/>
      </c>
      <c r="I127" s="67">
        <f>IF(ExtComp[[#This Row],[RAD/PACT]]="",VLOOKUP(ExtComp[[#This Row],[DEVELOPMENT]],Data[],11,FALSE),IF(ExtComp[[#This Row],[RAD/PACT by 2025]]="yes",0,VLOOKUP(ExtComp[[#This Row],[DEVELOPMENT]],Data[],11,FALSE)))</f>
        <v>0</v>
      </c>
      <c r="J127" s="63">
        <f ca="1">(ExtComp[[#This Row],['# to Replace]]*'Unit Costs'!$B$6)*(1+((ExtComp[[#This Row],[est. Year]]-YEAR(TODAY()))*$J$2))</f>
        <v>0</v>
      </c>
      <c r="K127" s="67">
        <f>SUM(INDEX(ExtComp['# to Replace],1):ExtComp[[#This Row],['# to Replace]])</f>
        <v>0</v>
      </c>
      <c r="L127" s="67">
        <f>ROUNDDOWN(ExtComp[[#This Row],[Count]]/50,0)+$L$1</f>
        <v>2020</v>
      </c>
      <c r="M127" s="81">
        <f t="shared" ca="1" si="1"/>
        <v>0</v>
      </c>
      <c r="N127" s="81" t="str">
        <f>IFERROR(VLOOKUP(ExtComp[[#This Row],[DEVELOPMENT]],Data[],22,FALSE),"")</f>
        <v/>
      </c>
      <c r="O127" s="88" t="str">
        <f>IFERROR(VLOOKUP(ExtComp[[#This Row],[DEVELOPMENT]],Data[],23,FALSE),"")</f>
        <v/>
      </c>
    </row>
    <row r="128" spans="1:15" x14ac:dyDescent="0.25">
      <c r="A128" s="13" t="s">
        <v>279</v>
      </c>
      <c r="B128" s="9" t="str">
        <f>VLOOKUP(A128,Data[],2,FALSE)</f>
        <v>STATEN ISLAND</v>
      </c>
      <c r="C128" s="9" t="s">
        <v>68</v>
      </c>
      <c r="D128" s="66">
        <f>VLOOKUP(ExtComp[[#This Row],[DEVELOPMENT]],Data[],8,FALSE)</f>
        <v>0</v>
      </c>
      <c r="E128" s="66">
        <f>VLOOKUP(ExtComp[[#This Row],[DEVELOPMENT]],Data[],9,FALSE)</f>
        <v>0</v>
      </c>
      <c r="F128" s="66" t="str">
        <f>IFERROR(VLOOKUP(ExtComp[[#This Row],[DEVELOPMENT]],Data[],4,FALSE),"")</f>
        <v/>
      </c>
      <c r="G128" s="66" t="str">
        <f>IF(ExtComp[[#This Row],[RAD/PACT]]="","",IF(ExtComp[[#This Row],[RAD/PACT]]&lt;=2025,"Yes",""))</f>
        <v/>
      </c>
      <c r="H128" s="67" t="str">
        <f ca="1">IF(VLOOKUP(ExtComp[[#This Row],[DEVELOPMENT]],Data[],11,FALSE)=0,"",DATEDIF(VLOOKUP(ExtComp[[#This Row],[DEVELOPMENT]],Data[],13,FALSE),TODAY(),"Y"))</f>
        <v/>
      </c>
      <c r="I128" s="67">
        <f>IF(ExtComp[[#This Row],[RAD/PACT]]="",VLOOKUP(ExtComp[[#This Row],[DEVELOPMENT]],Data[],11,FALSE),IF(ExtComp[[#This Row],[RAD/PACT by 2025]]="yes",0,VLOOKUP(ExtComp[[#This Row],[DEVELOPMENT]],Data[],11,FALSE)))</f>
        <v>0</v>
      </c>
      <c r="J128" s="63">
        <f ca="1">(ExtComp[[#This Row],['# to Replace]]*'Unit Costs'!$B$6)*(1+((ExtComp[[#This Row],[est. Year]]-YEAR(TODAY()))*$J$2))</f>
        <v>0</v>
      </c>
      <c r="K128" s="67">
        <f>SUM(INDEX(ExtComp['# to Replace],1):ExtComp[[#This Row],['# to Replace]])</f>
        <v>0</v>
      </c>
      <c r="L128" s="67">
        <f>ROUNDDOWN(ExtComp[[#This Row],[Count]]/50,0)+$L$1</f>
        <v>2020</v>
      </c>
      <c r="M128" s="81">
        <f t="shared" ca="1" si="1"/>
        <v>0</v>
      </c>
      <c r="N128" s="81" t="str">
        <f>IFERROR(VLOOKUP(ExtComp[[#This Row],[DEVELOPMENT]],Data[],22,FALSE),"")</f>
        <v/>
      </c>
      <c r="O128" s="88" t="str">
        <f>IFERROR(VLOOKUP(ExtComp[[#This Row],[DEVELOPMENT]],Data[],23,FALSE),"")</f>
        <v/>
      </c>
    </row>
    <row r="129" spans="1:15" x14ac:dyDescent="0.25">
      <c r="A129" s="13" t="s">
        <v>278</v>
      </c>
      <c r="B129" s="9" t="str">
        <f>VLOOKUP(A129,Data[],2,FALSE)</f>
        <v>BRONX</v>
      </c>
      <c r="C129" s="9" t="s">
        <v>68</v>
      </c>
      <c r="D129" s="66">
        <f>VLOOKUP(ExtComp[[#This Row],[DEVELOPMENT]],Data[],8,FALSE)</f>
        <v>0</v>
      </c>
      <c r="E129" s="66">
        <f>VLOOKUP(ExtComp[[#This Row],[DEVELOPMENT]],Data[],9,FALSE)</f>
        <v>0</v>
      </c>
      <c r="F129" s="66" t="str">
        <f>IFERROR(VLOOKUP(ExtComp[[#This Row],[DEVELOPMENT]],Data[],4,FALSE),"")</f>
        <v/>
      </c>
      <c r="G129" s="66" t="str">
        <f>IF(ExtComp[[#This Row],[RAD/PACT]]="","",IF(ExtComp[[#This Row],[RAD/PACT]]&lt;=2025,"Yes",""))</f>
        <v/>
      </c>
      <c r="H129" s="67" t="str">
        <f ca="1">IF(VLOOKUP(ExtComp[[#This Row],[DEVELOPMENT]],Data[],11,FALSE)=0,"",DATEDIF(VLOOKUP(ExtComp[[#This Row],[DEVELOPMENT]],Data[],13,FALSE),TODAY(),"Y"))</f>
        <v/>
      </c>
      <c r="I129" s="67">
        <f>IF(ExtComp[[#This Row],[RAD/PACT]]="",VLOOKUP(ExtComp[[#This Row],[DEVELOPMENT]],Data[],11,FALSE),IF(ExtComp[[#This Row],[RAD/PACT by 2025]]="yes",0,VLOOKUP(ExtComp[[#This Row],[DEVELOPMENT]],Data[],11,FALSE)))</f>
        <v>0</v>
      </c>
      <c r="J129" s="63">
        <f ca="1">(ExtComp[[#This Row],['# to Replace]]*'Unit Costs'!$B$6)*(1+((ExtComp[[#This Row],[est. Year]]-YEAR(TODAY()))*$J$2))</f>
        <v>0</v>
      </c>
      <c r="K129" s="67">
        <f>SUM(INDEX(ExtComp['# to Replace],1):ExtComp[[#This Row],['# to Replace]])</f>
        <v>0</v>
      </c>
      <c r="L129" s="67">
        <f>ROUNDDOWN(ExtComp[[#This Row],[Count]]/50,0)+$L$1</f>
        <v>2020</v>
      </c>
      <c r="M129" s="81">
        <f t="shared" ca="1" si="1"/>
        <v>0</v>
      </c>
      <c r="N129" s="81" t="str">
        <f>IFERROR(VLOOKUP(ExtComp[[#This Row],[DEVELOPMENT]],Data[],22,FALSE),"")</f>
        <v/>
      </c>
      <c r="O129" s="88" t="str">
        <f>IFERROR(VLOOKUP(ExtComp[[#This Row],[DEVELOPMENT]],Data[],23,FALSE),"")</f>
        <v/>
      </c>
    </row>
    <row r="130" spans="1:15" x14ac:dyDescent="0.25">
      <c r="A130" s="13" t="s">
        <v>41</v>
      </c>
      <c r="B130" s="1" t="str">
        <f>VLOOKUP(A130,Data[],2,FALSE)</f>
        <v>BRONX</v>
      </c>
      <c r="C130" s="9" t="s">
        <v>68</v>
      </c>
      <c r="D130" s="9" t="str">
        <f>VLOOKUP(ExtComp[[#This Row],[DEVELOPMENT]],Data[],8,FALSE)</f>
        <v>Zone 1</v>
      </c>
      <c r="E130" s="9" t="str">
        <f>VLOOKUP(ExtComp[[#This Row],[DEVELOPMENT]],Data[],9,FALSE)</f>
        <v>$</v>
      </c>
      <c r="F130" s="9" t="str">
        <f>IFERROR(VLOOKUP(ExtComp[[#This Row],[DEVELOPMENT]],Data[],4,FALSE),"")</f>
        <v/>
      </c>
      <c r="G130" s="9" t="str">
        <f>IF(ExtComp[[#This Row],[RAD/PACT]]="","",IF(ExtComp[[#This Row],[RAD/PACT]]&lt;=2025,"Yes",""))</f>
        <v/>
      </c>
      <c r="H130" s="1" t="str">
        <f ca="1">IF(VLOOKUP(ExtComp[[#This Row],[DEVELOPMENT]],Data[],11,FALSE)=0,"",DATEDIF(VLOOKUP(ExtComp[[#This Row],[DEVELOPMENT]],Data[],13,FALSE),TODAY(),"Y"))</f>
        <v/>
      </c>
      <c r="I130" s="1">
        <f>IF(ExtComp[[#This Row],[RAD/PACT]]="",VLOOKUP(ExtComp[[#This Row],[DEVELOPMENT]],Data[],11,FALSE),IF(ExtComp[[#This Row],[RAD/PACT by 2025]]="yes",0,VLOOKUP(ExtComp[[#This Row],[DEVELOPMENT]],Data[],11,FALSE)))</f>
        <v>0</v>
      </c>
      <c r="J130" s="63">
        <f ca="1">(ExtComp[[#This Row],['# to Replace]]*'Unit Costs'!$B$6)*(1+((ExtComp[[#This Row],[est. Year]]-YEAR(TODAY()))*$J$2))</f>
        <v>0</v>
      </c>
      <c r="K130" s="1">
        <f>SUM(INDEX(ExtComp['# to Replace],1):ExtComp[[#This Row],['# to Replace]])</f>
        <v>0</v>
      </c>
      <c r="L130" s="1">
        <f>ROUNDDOWN(ExtComp[[#This Row],[Count]]/50,0)+$L$1</f>
        <v>2020</v>
      </c>
      <c r="M130" s="81">
        <f t="shared" ca="1" si="1"/>
        <v>0</v>
      </c>
      <c r="N130" s="81" t="str">
        <f>IFERROR(VLOOKUP(ExtComp[[#This Row],[DEVELOPMENT]],Data[],22,FALSE),"")</f>
        <v/>
      </c>
      <c r="O130" s="88" t="str">
        <f>IFERROR(VLOOKUP(ExtComp[[#This Row],[DEVELOPMENT]],Data[],23,FALSE),"")</f>
        <v/>
      </c>
    </row>
    <row r="131" spans="1:15" x14ac:dyDescent="0.25">
      <c r="A131" s="82" t="s">
        <v>147</v>
      </c>
      <c r="B131" s="1" t="str">
        <f>VLOOKUP(A131,Data[],2,FALSE)</f>
        <v>BRONX</v>
      </c>
      <c r="C131" s="9" t="s">
        <v>68</v>
      </c>
      <c r="D131" s="9" t="str">
        <f>VLOOKUP(ExtComp[[#This Row],[DEVELOPMENT]],Data[],8,FALSE)</f>
        <v>Zone 1</v>
      </c>
      <c r="E131" s="9" t="str">
        <f>VLOOKUP(ExtComp[[#This Row],[DEVELOPMENT]],Data[],9,FALSE)</f>
        <v>$$$$</v>
      </c>
      <c r="F131" s="9" t="str">
        <f>IFERROR(VLOOKUP(ExtComp[[#This Row],[DEVELOPMENT]],Data[],4,FALSE),"")</f>
        <v/>
      </c>
      <c r="G131" s="9" t="str">
        <f>IF(ExtComp[[#This Row],[RAD/PACT]]="","",IF(ExtComp[[#This Row],[RAD/PACT]]&lt;=2025,"Yes",""))</f>
        <v/>
      </c>
      <c r="H131" s="1" t="str">
        <f ca="1">IF(VLOOKUP(ExtComp[[#This Row],[DEVELOPMENT]],Data[],11,FALSE)=0,"",DATEDIF(VLOOKUP(ExtComp[[#This Row],[DEVELOPMENT]],Data[],13,FALSE),TODAY(),"Y"))</f>
        <v/>
      </c>
      <c r="I131" s="1">
        <f>IF(ExtComp[[#This Row],[RAD/PACT]]="",VLOOKUP(ExtComp[[#This Row],[DEVELOPMENT]],Data[],11,FALSE),IF(ExtComp[[#This Row],[RAD/PACT by 2025]]="yes",0,VLOOKUP(ExtComp[[#This Row],[DEVELOPMENT]],Data[],11,FALSE)))</f>
        <v>0</v>
      </c>
      <c r="J131" s="63">
        <f ca="1">(ExtComp[[#This Row],['# to Replace]]*'Unit Costs'!$B$6)*(1+((ExtComp[[#This Row],[est. Year]]-YEAR(TODAY()))*$J$2))</f>
        <v>0</v>
      </c>
      <c r="K131" s="1">
        <f>SUM(INDEX(ExtComp['# to Replace],1):ExtComp[[#This Row],['# to Replace]])</f>
        <v>0</v>
      </c>
      <c r="L131" s="1">
        <f>ROUNDDOWN(ExtComp[[#This Row],[Count]]/50,0)+$L$1</f>
        <v>2020</v>
      </c>
      <c r="M131" s="81">
        <f t="shared" ca="1" si="1"/>
        <v>0</v>
      </c>
      <c r="N131" s="81" t="str">
        <f>IFERROR(VLOOKUP(ExtComp[[#This Row],[DEVELOPMENT]],Data[],22,FALSE),"")</f>
        <v/>
      </c>
      <c r="O131" s="67" t="str">
        <f>IFERROR(VLOOKUP(ExtComp[[#This Row],[DEVELOPMENT]],Data[],23,FALSE),"")</f>
        <v/>
      </c>
    </row>
    <row r="132" spans="1:15" x14ac:dyDescent="0.25">
      <c r="A132" s="13" t="s">
        <v>92</v>
      </c>
      <c r="B132" s="1" t="str">
        <f>VLOOKUP(A132,Data[],2,FALSE)</f>
        <v>MANHATTAN</v>
      </c>
      <c r="C132" s="9" t="s">
        <v>68</v>
      </c>
      <c r="D132" s="9" t="str">
        <f>VLOOKUP(ExtComp[[#This Row],[DEVELOPMENT]],Data[],8,FALSE)</f>
        <v>Zone 2</v>
      </c>
      <c r="E132" s="9" t="str">
        <f>VLOOKUP(ExtComp[[#This Row],[DEVELOPMENT]],Data[],9,FALSE)</f>
        <v>$$$$</v>
      </c>
      <c r="F132" s="9" t="str">
        <f>IFERROR(VLOOKUP(ExtComp[[#This Row],[DEVELOPMENT]],Data[],4,FALSE),"")</f>
        <v/>
      </c>
      <c r="G132" s="9" t="str">
        <f>IF(ExtComp[[#This Row],[RAD/PACT]]="","",IF(ExtComp[[#This Row],[RAD/PACT]]&lt;=2025,"Yes",""))</f>
        <v/>
      </c>
      <c r="H132" s="1" t="str">
        <f ca="1">IF(VLOOKUP(ExtComp[[#This Row],[DEVELOPMENT]],Data[],11,FALSE)=0,"",DATEDIF(VLOOKUP(ExtComp[[#This Row],[DEVELOPMENT]],Data[],13,FALSE),TODAY(),"Y"))</f>
        <v/>
      </c>
      <c r="I132" s="1">
        <f>IF(ExtComp[[#This Row],[RAD/PACT]]="",VLOOKUP(ExtComp[[#This Row],[DEVELOPMENT]],Data[],11,FALSE),IF(ExtComp[[#This Row],[RAD/PACT by 2025]]="yes",0,VLOOKUP(ExtComp[[#This Row],[DEVELOPMENT]],Data[],11,FALSE)))</f>
        <v>0</v>
      </c>
      <c r="J132" s="63">
        <f ca="1">(ExtComp[[#This Row],['# to Replace]]*'Unit Costs'!$B$6)*(1+((ExtComp[[#This Row],[est. Year]]-YEAR(TODAY()))*$J$2))</f>
        <v>0</v>
      </c>
      <c r="K132" s="1">
        <f>SUM(INDEX(ExtComp['# to Replace],1):ExtComp[[#This Row],['# to Replace]])</f>
        <v>0</v>
      </c>
      <c r="L132" s="1">
        <f>ROUNDDOWN(ExtComp[[#This Row],[Count]]/50,0)+$L$1</f>
        <v>2020</v>
      </c>
      <c r="M132" s="81">
        <f t="shared" ref="M132:M195" ca="1" si="2">IF(L132=L131,J132+M131,J132)</f>
        <v>0</v>
      </c>
      <c r="N132" s="81" t="str">
        <f>IFERROR(VLOOKUP(ExtComp[[#This Row],[DEVELOPMENT]],Data[],22,FALSE),"")</f>
        <v/>
      </c>
      <c r="O132" s="67" t="str">
        <f>IFERROR(VLOOKUP(ExtComp[[#This Row],[DEVELOPMENT]],Data[],23,FALSE),"")</f>
        <v/>
      </c>
    </row>
    <row r="133" spans="1:15" x14ac:dyDescent="0.25">
      <c r="A133" s="13" t="s">
        <v>140</v>
      </c>
      <c r="B133" s="1" t="str">
        <f>VLOOKUP(A133,Data[],2,FALSE)</f>
        <v>BRONX</v>
      </c>
      <c r="C133" s="9" t="s">
        <v>68</v>
      </c>
      <c r="D133" s="9" t="str">
        <f>VLOOKUP(ExtComp[[#This Row],[DEVELOPMENT]],Data[],8,FALSE)</f>
        <v>Zone 1</v>
      </c>
      <c r="E133" s="9" t="str">
        <f>VLOOKUP(ExtComp[[#This Row],[DEVELOPMENT]],Data[],9,FALSE)</f>
        <v>$$$</v>
      </c>
      <c r="F133" s="9" t="str">
        <f>IFERROR(VLOOKUP(ExtComp[[#This Row],[DEVELOPMENT]],Data[],4,FALSE),"")</f>
        <v/>
      </c>
      <c r="G133" s="9" t="str">
        <f>IF(ExtComp[[#This Row],[RAD/PACT]]="","",IF(ExtComp[[#This Row],[RAD/PACT]]&lt;=2025,"Yes",""))</f>
        <v/>
      </c>
      <c r="H133" s="1" t="str">
        <f ca="1">IF(VLOOKUP(ExtComp[[#This Row],[DEVELOPMENT]],Data[],11,FALSE)=0,"",DATEDIF(VLOOKUP(ExtComp[[#This Row],[DEVELOPMENT]],Data[],13,FALSE),TODAY(),"Y"))</f>
        <v/>
      </c>
      <c r="I133" s="1">
        <f>IF(ExtComp[[#This Row],[RAD/PACT]]="",VLOOKUP(ExtComp[[#This Row],[DEVELOPMENT]],Data[],11,FALSE),IF(ExtComp[[#This Row],[RAD/PACT by 2025]]="yes",0,VLOOKUP(ExtComp[[#This Row],[DEVELOPMENT]],Data[],11,FALSE)))</f>
        <v>0</v>
      </c>
      <c r="J133" s="63">
        <f ca="1">(ExtComp[[#This Row],['# to Replace]]*'Unit Costs'!$B$6)*(1+((ExtComp[[#This Row],[est. Year]]-YEAR(TODAY()))*$J$2))</f>
        <v>0</v>
      </c>
      <c r="K133" s="1">
        <f>SUM(INDEX(ExtComp['# to Replace],1):ExtComp[[#This Row],['# to Replace]])</f>
        <v>0</v>
      </c>
      <c r="L133" s="1">
        <f>ROUNDDOWN(ExtComp[[#This Row],[Count]]/50,0)+$L$1</f>
        <v>2020</v>
      </c>
      <c r="M133" s="81">
        <f t="shared" ca="1" si="2"/>
        <v>0</v>
      </c>
      <c r="N133" s="81" t="str">
        <f>IFERROR(VLOOKUP(ExtComp[[#This Row],[DEVELOPMENT]],Data[],22,FALSE),"")</f>
        <v/>
      </c>
      <c r="O133" s="67" t="str">
        <f>IFERROR(VLOOKUP(ExtComp[[#This Row],[DEVELOPMENT]],Data[],23,FALSE),"")</f>
        <v/>
      </c>
    </row>
    <row r="134" spans="1:15" x14ac:dyDescent="0.25">
      <c r="A134" s="13" t="s">
        <v>40</v>
      </c>
      <c r="B134" s="1" t="str">
        <f>VLOOKUP(A134,Data[],2,FALSE)</f>
        <v>BRONX</v>
      </c>
      <c r="C134" s="9" t="s">
        <v>68</v>
      </c>
      <c r="D134" s="9" t="str">
        <f>VLOOKUP(ExtComp[[#This Row],[DEVELOPMENT]],Data[],8,FALSE)</f>
        <v>Zone 1</v>
      </c>
      <c r="E134" s="9" t="str">
        <f>VLOOKUP(ExtComp[[#This Row],[DEVELOPMENT]],Data[],9,FALSE)</f>
        <v>$$</v>
      </c>
      <c r="F134" s="9" t="str">
        <f>IFERROR(VLOOKUP(ExtComp[[#This Row],[DEVELOPMENT]],Data[],4,FALSE),"")</f>
        <v/>
      </c>
      <c r="G134" s="9" t="str">
        <f>IF(ExtComp[[#This Row],[RAD/PACT]]="","",IF(ExtComp[[#This Row],[RAD/PACT]]&lt;=2025,"Yes",""))</f>
        <v/>
      </c>
      <c r="H134" s="1" t="str">
        <f ca="1">IF(VLOOKUP(ExtComp[[#This Row],[DEVELOPMENT]],Data[],11,FALSE)=0,"",DATEDIF(VLOOKUP(ExtComp[[#This Row],[DEVELOPMENT]],Data[],13,FALSE),TODAY(),"Y"))</f>
        <v/>
      </c>
      <c r="I134" s="1">
        <f>IF(ExtComp[[#This Row],[RAD/PACT]]="",VLOOKUP(ExtComp[[#This Row],[DEVELOPMENT]],Data[],11,FALSE),IF(ExtComp[[#This Row],[RAD/PACT by 2025]]="yes",0,VLOOKUP(ExtComp[[#This Row],[DEVELOPMENT]],Data[],11,FALSE)))</f>
        <v>0</v>
      </c>
      <c r="J134" s="63">
        <f ca="1">(ExtComp[[#This Row],['# to Replace]]*'Unit Costs'!$B$6)*(1+((ExtComp[[#This Row],[est. Year]]-YEAR(TODAY()))*$J$2))</f>
        <v>0</v>
      </c>
      <c r="K134" s="1">
        <f>SUM(INDEX(ExtComp['# to Replace],1):ExtComp[[#This Row],['# to Replace]])</f>
        <v>0</v>
      </c>
      <c r="L134" s="1">
        <f>ROUNDDOWN(ExtComp[[#This Row],[Count]]/50,0)+$L$1</f>
        <v>2020</v>
      </c>
      <c r="M134" s="81">
        <f t="shared" ca="1" si="2"/>
        <v>0</v>
      </c>
      <c r="N134" s="81" t="str">
        <f>IFERROR(VLOOKUP(ExtComp[[#This Row],[DEVELOPMENT]],Data[],22,FALSE),"")</f>
        <v/>
      </c>
      <c r="O134" s="88" t="str">
        <f>IFERROR(VLOOKUP(ExtComp[[#This Row],[DEVELOPMENT]],Data[],23,FALSE),"")</f>
        <v/>
      </c>
    </row>
    <row r="135" spans="1:15" x14ac:dyDescent="0.25">
      <c r="A135" s="13" t="s">
        <v>91</v>
      </c>
      <c r="B135" s="1" t="str">
        <f>VLOOKUP(A135,Data[],2,FALSE)</f>
        <v>BRONX</v>
      </c>
      <c r="C135" s="9" t="s">
        <v>68</v>
      </c>
      <c r="D135" s="9" t="str">
        <f>VLOOKUP(ExtComp[[#This Row],[DEVELOPMENT]],Data[],8,FALSE)</f>
        <v>Zone 3</v>
      </c>
      <c r="E135" s="9" t="str">
        <f>VLOOKUP(ExtComp[[#This Row],[DEVELOPMENT]],Data[],9,FALSE)</f>
        <v>$$</v>
      </c>
      <c r="F135" s="9" t="str">
        <f>IFERROR(VLOOKUP(ExtComp[[#This Row],[DEVELOPMENT]],Data[],4,FALSE),"")</f>
        <v/>
      </c>
      <c r="G135" s="9" t="str">
        <f>IF(ExtComp[[#This Row],[RAD/PACT]]="","",IF(ExtComp[[#This Row],[RAD/PACT]]&lt;=2025,"Yes",""))</f>
        <v/>
      </c>
      <c r="H135" s="1" t="str">
        <f ca="1">IF(VLOOKUP(ExtComp[[#This Row],[DEVELOPMENT]],Data[],11,FALSE)=0,"",DATEDIF(VLOOKUP(ExtComp[[#This Row],[DEVELOPMENT]],Data[],13,FALSE),TODAY(),"Y"))</f>
        <v/>
      </c>
      <c r="I135" s="1">
        <f>IF(ExtComp[[#This Row],[RAD/PACT]]="",VLOOKUP(ExtComp[[#This Row],[DEVELOPMENT]],Data[],11,FALSE),IF(ExtComp[[#This Row],[RAD/PACT by 2025]]="yes",0,VLOOKUP(ExtComp[[#This Row],[DEVELOPMENT]],Data[],11,FALSE)))</f>
        <v>0</v>
      </c>
      <c r="J135" s="63">
        <f ca="1">(ExtComp[[#This Row],['# to Replace]]*'Unit Costs'!$B$6)*(1+((ExtComp[[#This Row],[est. Year]]-YEAR(TODAY()))*$J$2))</f>
        <v>0</v>
      </c>
      <c r="K135" s="1">
        <f>SUM(INDEX(ExtComp['# to Replace],1):ExtComp[[#This Row],['# to Replace]])</f>
        <v>0</v>
      </c>
      <c r="L135" s="1">
        <f>ROUNDDOWN(ExtComp[[#This Row],[Count]]/50,0)+$L$1</f>
        <v>2020</v>
      </c>
      <c r="M135" s="81">
        <f t="shared" ca="1" si="2"/>
        <v>0</v>
      </c>
      <c r="N135" s="81" t="str">
        <f>IFERROR(VLOOKUP(ExtComp[[#This Row],[DEVELOPMENT]],Data[],22,FALSE),"")</f>
        <v/>
      </c>
      <c r="O135" s="88" t="str">
        <f>IFERROR(VLOOKUP(ExtComp[[#This Row],[DEVELOPMENT]],Data[],23,FALSE),"")</f>
        <v/>
      </c>
    </row>
    <row r="136" spans="1:15" x14ac:dyDescent="0.25">
      <c r="A136" s="13" t="s">
        <v>114</v>
      </c>
      <c r="B136" s="1" t="str">
        <f>VLOOKUP(A136,Data[],2,FALSE)</f>
        <v>BRONX</v>
      </c>
      <c r="C136" s="9" t="s">
        <v>68</v>
      </c>
      <c r="D136" s="9" t="str">
        <f>VLOOKUP(ExtComp[[#This Row],[DEVELOPMENT]],Data[],8,FALSE)</f>
        <v>Zone 3</v>
      </c>
      <c r="E136" s="9" t="str">
        <f>VLOOKUP(ExtComp[[#This Row],[DEVELOPMENT]],Data[],9,FALSE)</f>
        <v>$</v>
      </c>
      <c r="F136" s="9" t="str">
        <f>IFERROR(VLOOKUP(ExtComp[[#This Row],[DEVELOPMENT]],Data[],4,FALSE),"")</f>
        <v/>
      </c>
      <c r="G136" s="9" t="str">
        <f>IF(ExtComp[[#This Row],[RAD/PACT]]="","",IF(ExtComp[[#This Row],[RAD/PACT]]&lt;=2025,"Yes",""))</f>
        <v/>
      </c>
      <c r="H136" s="1" t="str">
        <f ca="1">IF(VLOOKUP(ExtComp[[#This Row],[DEVELOPMENT]],Data[],11,FALSE)=0,"",DATEDIF(VLOOKUP(ExtComp[[#This Row],[DEVELOPMENT]],Data[],13,FALSE),TODAY(),"Y"))</f>
        <v/>
      </c>
      <c r="I136" s="1">
        <f>IF(ExtComp[[#This Row],[RAD/PACT]]="",VLOOKUP(ExtComp[[#This Row],[DEVELOPMENT]],Data[],11,FALSE),IF(ExtComp[[#This Row],[RAD/PACT by 2025]]="yes",0,VLOOKUP(ExtComp[[#This Row],[DEVELOPMENT]],Data[],11,FALSE)))</f>
        <v>0</v>
      </c>
      <c r="J136" s="63">
        <f ca="1">(ExtComp[[#This Row],['# to Replace]]*'Unit Costs'!$B$6)*(1+((ExtComp[[#This Row],[est. Year]]-YEAR(TODAY()))*$J$2))</f>
        <v>0</v>
      </c>
      <c r="K136" s="1">
        <f>SUM(INDEX(ExtComp['# to Replace],1):ExtComp[[#This Row],['# to Replace]])</f>
        <v>0</v>
      </c>
      <c r="L136" s="1">
        <f>ROUNDDOWN(ExtComp[[#This Row],[Count]]/50,0)+$L$1</f>
        <v>2020</v>
      </c>
      <c r="M136" s="81">
        <f t="shared" ca="1" si="2"/>
        <v>0</v>
      </c>
      <c r="N136" s="81" t="str">
        <f>IFERROR(VLOOKUP(ExtComp[[#This Row],[DEVELOPMENT]],Data[],22,FALSE),"")</f>
        <v/>
      </c>
      <c r="O136" s="88" t="str">
        <f>IFERROR(VLOOKUP(ExtComp[[#This Row],[DEVELOPMENT]],Data[],23,FALSE),"")</f>
        <v/>
      </c>
    </row>
    <row r="137" spans="1:15" x14ac:dyDescent="0.25">
      <c r="A137" s="13" t="s">
        <v>277</v>
      </c>
      <c r="B137" s="9" t="str">
        <f>VLOOKUP(A137,Data[],2,FALSE)</f>
        <v>BRONX</v>
      </c>
      <c r="C137" s="9" t="s">
        <v>68</v>
      </c>
      <c r="D137" s="66">
        <f>VLOOKUP(ExtComp[[#This Row],[DEVELOPMENT]],Data[],8,FALSE)</f>
        <v>0</v>
      </c>
      <c r="E137" s="66">
        <f>VLOOKUP(ExtComp[[#This Row],[DEVELOPMENT]],Data[],9,FALSE)</f>
        <v>0</v>
      </c>
      <c r="F137" s="66" t="str">
        <f>IFERROR(VLOOKUP(ExtComp[[#This Row],[DEVELOPMENT]],Data[],4,FALSE),"")</f>
        <v/>
      </c>
      <c r="G137" s="66" t="str">
        <f>IF(ExtComp[[#This Row],[RAD/PACT]]="","",IF(ExtComp[[#This Row],[RAD/PACT]]&lt;=2025,"Yes",""))</f>
        <v/>
      </c>
      <c r="H137" s="67" t="str">
        <f ca="1">IF(VLOOKUP(ExtComp[[#This Row],[DEVELOPMENT]],Data[],11,FALSE)=0,"",DATEDIF(VLOOKUP(ExtComp[[#This Row],[DEVELOPMENT]],Data[],13,FALSE),TODAY(),"Y"))</f>
        <v/>
      </c>
      <c r="I137" s="67">
        <f>IF(ExtComp[[#This Row],[RAD/PACT]]="",VLOOKUP(ExtComp[[#This Row],[DEVELOPMENT]],Data[],11,FALSE),IF(ExtComp[[#This Row],[RAD/PACT by 2025]]="yes",0,VLOOKUP(ExtComp[[#This Row],[DEVELOPMENT]],Data[],11,FALSE)))</f>
        <v>0</v>
      </c>
      <c r="J137" s="63">
        <f ca="1">(ExtComp[[#This Row],['# to Replace]]*'Unit Costs'!$B$6)*(1+((ExtComp[[#This Row],[est. Year]]-YEAR(TODAY()))*$J$2))</f>
        <v>0</v>
      </c>
      <c r="K137" s="67">
        <f>SUM(INDEX(ExtComp['# to Replace],1):ExtComp[[#This Row],['# to Replace]])</f>
        <v>0</v>
      </c>
      <c r="L137" s="67">
        <f>ROUNDDOWN(ExtComp[[#This Row],[Count]]/50,0)+$L$1</f>
        <v>2020</v>
      </c>
      <c r="M137" s="81">
        <f t="shared" ca="1" si="2"/>
        <v>0</v>
      </c>
      <c r="N137" s="81" t="str">
        <f>IFERROR(VLOOKUP(ExtComp[[#This Row],[DEVELOPMENT]],Data[],22,FALSE),"")</f>
        <v/>
      </c>
      <c r="O137" s="67" t="str">
        <f>IFERROR(VLOOKUP(ExtComp[[#This Row],[DEVELOPMENT]],Data[],23,FALSE),"")</f>
        <v/>
      </c>
    </row>
    <row r="138" spans="1:15" x14ac:dyDescent="0.25">
      <c r="A138" s="13" t="s">
        <v>276</v>
      </c>
      <c r="B138" s="9" t="str">
        <f>VLOOKUP(A138,Data[],2,FALSE)</f>
        <v>BRONX</v>
      </c>
      <c r="C138" s="9" t="s">
        <v>68</v>
      </c>
      <c r="D138" s="66">
        <f>VLOOKUP(ExtComp[[#This Row],[DEVELOPMENT]],Data[],8,FALSE)</f>
        <v>0</v>
      </c>
      <c r="E138" s="66">
        <f>VLOOKUP(ExtComp[[#This Row],[DEVELOPMENT]],Data[],9,FALSE)</f>
        <v>0</v>
      </c>
      <c r="F138" s="66" t="str">
        <f>IFERROR(VLOOKUP(ExtComp[[#This Row],[DEVELOPMENT]],Data[],4,FALSE),"")</f>
        <v/>
      </c>
      <c r="G138" s="66" t="str">
        <f>IF(ExtComp[[#This Row],[RAD/PACT]]="","",IF(ExtComp[[#This Row],[RAD/PACT]]&lt;=2025,"Yes",""))</f>
        <v/>
      </c>
      <c r="H138" s="67" t="str">
        <f ca="1">IF(VLOOKUP(ExtComp[[#This Row],[DEVELOPMENT]],Data[],11,FALSE)=0,"",DATEDIF(VLOOKUP(ExtComp[[#This Row],[DEVELOPMENT]],Data[],13,FALSE),TODAY(),"Y"))</f>
        <v/>
      </c>
      <c r="I138" s="67">
        <f>IF(ExtComp[[#This Row],[RAD/PACT]]="",VLOOKUP(ExtComp[[#This Row],[DEVELOPMENT]],Data[],11,FALSE),IF(ExtComp[[#This Row],[RAD/PACT by 2025]]="yes",0,VLOOKUP(ExtComp[[#This Row],[DEVELOPMENT]],Data[],11,FALSE)))</f>
        <v>0</v>
      </c>
      <c r="J138" s="63">
        <f ca="1">(ExtComp[[#This Row],['# to Replace]]*'Unit Costs'!$B$6)*(1+((ExtComp[[#This Row],[est. Year]]-YEAR(TODAY()))*$J$2))</f>
        <v>0</v>
      </c>
      <c r="K138" s="67">
        <f>SUM(INDEX(ExtComp['# to Replace],1):ExtComp[[#This Row],['# to Replace]])</f>
        <v>0</v>
      </c>
      <c r="L138" s="67">
        <f>ROUNDDOWN(ExtComp[[#This Row],[Count]]/50,0)+$L$1</f>
        <v>2020</v>
      </c>
      <c r="M138" s="81">
        <f t="shared" ca="1" si="2"/>
        <v>0</v>
      </c>
      <c r="N138" s="81" t="str">
        <f>IFERROR(VLOOKUP(ExtComp[[#This Row],[DEVELOPMENT]],Data[],22,FALSE),"")</f>
        <v/>
      </c>
      <c r="O138" s="88" t="str">
        <f>IFERROR(VLOOKUP(ExtComp[[#This Row],[DEVELOPMENT]],Data[],23,FALSE),"")</f>
        <v/>
      </c>
    </row>
    <row r="139" spans="1:15" x14ac:dyDescent="0.25">
      <c r="A139" s="13" t="s">
        <v>275</v>
      </c>
      <c r="B139" s="9" t="str">
        <f>VLOOKUP(A139,Data[],2,FALSE)</f>
        <v>BRONX</v>
      </c>
      <c r="C139" s="9" t="s">
        <v>68</v>
      </c>
      <c r="D139" s="66">
        <f>VLOOKUP(ExtComp[[#This Row],[DEVELOPMENT]],Data[],8,FALSE)</f>
        <v>0</v>
      </c>
      <c r="E139" s="66">
        <f>VLOOKUP(ExtComp[[#This Row],[DEVELOPMENT]],Data[],9,FALSE)</f>
        <v>0</v>
      </c>
      <c r="F139" s="66" t="str">
        <f>IFERROR(VLOOKUP(ExtComp[[#This Row],[DEVELOPMENT]],Data[],4,FALSE),"")</f>
        <v/>
      </c>
      <c r="G139" s="66" t="str">
        <f>IF(ExtComp[[#This Row],[RAD/PACT]]="","",IF(ExtComp[[#This Row],[RAD/PACT]]&lt;=2025,"Yes",""))</f>
        <v/>
      </c>
      <c r="H139" s="67" t="str">
        <f ca="1">IF(VLOOKUP(ExtComp[[#This Row],[DEVELOPMENT]],Data[],11,FALSE)=0,"",DATEDIF(VLOOKUP(ExtComp[[#This Row],[DEVELOPMENT]],Data[],13,FALSE),TODAY(),"Y"))</f>
        <v/>
      </c>
      <c r="I139" s="67">
        <f>IF(ExtComp[[#This Row],[RAD/PACT]]="",VLOOKUP(ExtComp[[#This Row],[DEVELOPMENT]],Data[],11,FALSE),IF(ExtComp[[#This Row],[RAD/PACT by 2025]]="yes",0,VLOOKUP(ExtComp[[#This Row],[DEVELOPMENT]],Data[],11,FALSE)))</f>
        <v>0</v>
      </c>
      <c r="J139" s="63">
        <f ca="1">(ExtComp[[#This Row],['# to Replace]]*'Unit Costs'!$B$6)*(1+((ExtComp[[#This Row],[est. Year]]-YEAR(TODAY()))*$J$2))</f>
        <v>0</v>
      </c>
      <c r="K139" s="67">
        <f>SUM(INDEX(ExtComp['# to Replace],1):ExtComp[[#This Row],['# to Replace]])</f>
        <v>0</v>
      </c>
      <c r="L139" s="67">
        <f>ROUNDDOWN(ExtComp[[#This Row],[Count]]/50,0)+$L$1</f>
        <v>2020</v>
      </c>
      <c r="M139" s="81">
        <f t="shared" ca="1" si="2"/>
        <v>0</v>
      </c>
      <c r="N139" s="81" t="str">
        <f>IFERROR(VLOOKUP(ExtComp[[#This Row],[DEVELOPMENT]],Data[],22,FALSE),"")</f>
        <v/>
      </c>
      <c r="O139" s="88" t="str">
        <f>IFERROR(VLOOKUP(ExtComp[[#This Row],[DEVELOPMENT]],Data[],23,FALSE),"")</f>
        <v/>
      </c>
    </row>
    <row r="140" spans="1:15" x14ac:dyDescent="0.25">
      <c r="A140" s="13" t="s">
        <v>274</v>
      </c>
      <c r="B140" s="9" t="str">
        <f>VLOOKUP(A140,Data[],2,FALSE)</f>
        <v>BRONX</v>
      </c>
      <c r="C140" s="9" t="s">
        <v>68</v>
      </c>
      <c r="D140" s="66">
        <f>VLOOKUP(ExtComp[[#This Row],[DEVELOPMENT]],Data[],8,FALSE)</f>
        <v>0</v>
      </c>
      <c r="E140" s="66">
        <f>VLOOKUP(ExtComp[[#This Row],[DEVELOPMENT]],Data[],9,FALSE)</f>
        <v>0</v>
      </c>
      <c r="F140" s="66">
        <f>IFERROR(VLOOKUP(ExtComp[[#This Row],[DEVELOPMENT]],Data[],4,FALSE),"")</f>
        <v>2026</v>
      </c>
      <c r="G140" s="66" t="str">
        <f>IF(ExtComp[[#This Row],[RAD/PACT]]="","",IF(ExtComp[[#This Row],[RAD/PACT]]&lt;=2025,"Yes",""))</f>
        <v/>
      </c>
      <c r="H140" s="67" t="str">
        <f ca="1">IF(VLOOKUP(ExtComp[[#This Row],[DEVELOPMENT]],Data[],11,FALSE)=0,"",DATEDIF(VLOOKUP(ExtComp[[#This Row],[DEVELOPMENT]],Data[],13,FALSE),TODAY(),"Y"))</f>
        <v/>
      </c>
      <c r="I140" s="67">
        <f>IF(ExtComp[[#This Row],[RAD/PACT]]="",VLOOKUP(ExtComp[[#This Row],[DEVELOPMENT]],Data[],11,FALSE),IF(ExtComp[[#This Row],[RAD/PACT by 2025]]="yes",0,VLOOKUP(ExtComp[[#This Row],[DEVELOPMENT]],Data[],11,FALSE)))</f>
        <v>0</v>
      </c>
      <c r="J140" s="63">
        <f ca="1">(ExtComp[[#This Row],['# to Replace]]*'Unit Costs'!$B$6)*(1+((ExtComp[[#This Row],[est. Year]]-YEAR(TODAY()))*$J$2))</f>
        <v>0</v>
      </c>
      <c r="K140" s="67">
        <f>SUM(INDEX(ExtComp['# to Replace],1):ExtComp[[#This Row],['# to Replace]])</f>
        <v>0</v>
      </c>
      <c r="L140" s="67">
        <f>ROUNDDOWN(ExtComp[[#This Row],[Count]]/50,0)+$L$1</f>
        <v>2020</v>
      </c>
      <c r="M140" s="81">
        <f t="shared" ca="1" si="2"/>
        <v>0</v>
      </c>
      <c r="N140" s="81" t="str">
        <f>IFERROR(VLOOKUP(ExtComp[[#This Row],[DEVELOPMENT]],Data[],22,FALSE),"")</f>
        <v/>
      </c>
      <c r="O140" s="88" t="str">
        <f>IFERROR(VLOOKUP(ExtComp[[#This Row],[DEVELOPMENT]],Data[],23,FALSE),"")</f>
        <v/>
      </c>
    </row>
    <row r="141" spans="1:15" x14ac:dyDescent="0.25">
      <c r="A141" s="13" t="s">
        <v>90</v>
      </c>
      <c r="B141" s="1" t="str">
        <f>VLOOKUP(A141,Data[],2,FALSE)</f>
        <v>MANHATTAN</v>
      </c>
      <c r="C141" s="9" t="s">
        <v>68</v>
      </c>
      <c r="D141" s="9" t="str">
        <f>VLOOKUP(ExtComp[[#This Row],[DEVELOPMENT]],Data[],8,FALSE)</f>
        <v>Zone 2</v>
      </c>
      <c r="E141" s="9" t="str">
        <f>VLOOKUP(ExtComp[[#This Row],[DEVELOPMENT]],Data[],9,FALSE)</f>
        <v>$</v>
      </c>
      <c r="F141" s="9" t="str">
        <f>IFERROR(VLOOKUP(ExtComp[[#This Row],[DEVELOPMENT]],Data[],4,FALSE),"")</f>
        <v/>
      </c>
      <c r="G141" s="9" t="str">
        <f>IF(ExtComp[[#This Row],[RAD/PACT]]="","",IF(ExtComp[[#This Row],[RAD/PACT]]&lt;=2025,"Yes",""))</f>
        <v/>
      </c>
      <c r="H141" s="1" t="str">
        <f ca="1">IF(VLOOKUP(ExtComp[[#This Row],[DEVELOPMENT]],Data[],11,FALSE)=0,"",DATEDIF(VLOOKUP(ExtComp[[#This Row],[DEVELOPMENT]],Data[],13,FALSE),TODAY(),"Y"))</f>
        <v/>
      </c>
      <c r="I141" s="1">
        <f>IF(ExtComp[[#This Row],[RAD/PACT]]="",VLOOKUP(ExtComp[[#This Row],[DEVELOPMENT]],Data[],11,FALSE),IF(ExtComp[[#This Row],[RAD/PACT by 2025]]="yes",0,VLOOKUP(ExtComp[[#This Row],[DEVELOPMENT]],Data[],11,FALSE)))</f>
        <v>0</v>
      </c>
      <c r="J141" s="63">
        <f ca="1">(ExtComp[[#This Row],['# to Replace]]*'Unit Costs'!$B$6)*(1+((ExtComp[[#This Row],[est. Year]]-YEAR(TODAY()))*$J$2))</f>
        <v>0</v>
      </c>
      <c r="K141" s="1">
        <f>SUM(INDEX(ExtComp['# to Replace],1):ExtComp[[#This Row],['# to Replace]])</f>
        <v>0</v>
      </c>
      <c r="L141" s="1">
        <f>ROUNDDOWN(ExtComp[[#This Row],[Count]]/50,0)+$L$1</f>
        <v>2020</v>
      </c>
      <c r="M141" s="81">
        <f t="shared" ca="1" si="2"/>
        <v>0</v>
      </c>
      <c r="N141" s="81" t="str">
        <f>IFERROR(VLOOKUP(ExtComp[[#This Row],[DEVELOPMENT]],Data[],22,FALSE),"")</f>
        <v/>
      </c>
      <c r="O141" s="67" t="str">
        <f>IFERROR(VLOOKUP(ExtComp[[#This Row],[DEVELOPMENT]],Data[],23,FALSE),"")</f>
        <v/>
      </c>
    </row>
    <row r="142" spans="1:15" x14ac:dyDescent="0.25">
      <c r="A142" s="82" t="s">
        <v>50</v>
      </c>
      <c r="B142" s="1" t="str">
        <f>VLOOKUP(A142,Data[],2,FALSE)</f>
        <v>MANHATTAN</v>
      </c>
      <c r="C142" s="9" t="s">
        <v>68</v>
      </c>
      <c r="D142" s="9" t="str">
        <f>VLOOKUP(ExtComp[[#This Row],[DEVELOPMENT]],Data[],8,FALSE)</f>
        <v>Zone 1</v>
      </c>
      <c r="E142" s="9" t="str">
        <f>VLOOKUP(ExtComp[[#This Row],[DEVELOPMENT]],Data[],9,FALSE)</f>
        <v>$</v>
      </c>
      <c r="F142" s="9" t="str">
        <f>IFERROR(VLOOKUP(ExtComp[[#This Row],[DEVELOPMENT]],Data[],4,FALSE),"")</f>
        <v/>
      </c>
      <c r="G142" s="9" t="str">
        <f>IF(ExtComp[[#This Row],[RAD/PACT]]="","",IF(ExtComp[[#This Row],[RAD/PACT]]&lt;=2025,"Yes",""))</f>
        <v/>
      </c>
      <c r="H142" s="1" t="str">
        <f ca="1">IF(VLOOKUP(ExtComp[[#This Row],[DEVELOPMENT]],Data[],11,FALSE)=0,"",DATEDIF(VLOOKUP(ExtComp[[#This Row],[DEVELOPMENT]],Data[],13,FALSE),TODAY(),"Y"))</f>
        <v/>
      </c>
      <c r="I142" s="1">
        <f>IF(ExtComp[[#This Row],[RAD/PACT]]="",VLOOKUP(ExtComp[[#This Row],[DEVELOPMENT]],Data[],11,FALSE),IF(ExtComp[[#This Row],[RAD/PACT by 2025]]="yes",0,VLOOKUP(ExtComp[[#This Row],[DEVELOPMENT]],Data[],11,FALSE)))</f>
        <v>0</v>
      </c>
      <c r="J142" s="63">
        <f ca="1">(ExtComp[[#This Row],['# to Replace]]*'Unit Costs'!$B$6)*(1+((ExtComp[[#This Row],[est. Year]]-YEAR(TODAY()))*$J$2))</f>
        <v>0</v>
      </c>
      <c r="K142" s="1">
        <f>SUM(INDEX(ExtComp['# to Replace],1):ExtComp[[#This Row],['# to Replace]])</f>
        <v>0</v>
      </c>
      <c r="L142" s="1">
        <f>ROUNDDOWN(ExtComp[[#This Row],[Count]]/50,0)+$L$1</f>
        <v>2020</v>
      </c>
      <c r="M142" s="81">
        <f t="shared" ca="1" si="2"/>
        <v>0</v>
      </c>
      <c r="N142" s="81" t="str">
        <f>IFERROR(VLOOKUP(ExtComp[[#This Row],[DEVELOPMENT]],Data[],22,FALSE),"")</f>
        <v/>
      </c>
      <c r="O142" s="67" t="str">
        <f>IFERROR(VLOOKUP(ExtComp[[#This Row],[DEVELOPMENT]],Data[],23,FALSE),"")</f>
        <v/>
      </c>
    </row>
    <row r="143" spans="1:15" x14ac:dyDescent="0.25">
      <c r="A143" s="13" t="s">
        <v>39</v>
      </c>
      <c r="B143" s="1" t="str">
        <f>VLOOKUP(A143,Data[],2,FALSE)</f>
        <v>BRONX</v>
      </c>
      <c r="C143" s="9" t="s">
        <v>68</v>
      </c>
      <c r="D143" s="9" t="str">
        <f>VLOOKUP(ExtComp[[#This Row],[DEVELOPMENT]],Data[],8,FALSE)</f>
        <v>Zone 1</v>
      </c>
      <c r="E143" s="9" t="str">
        <f>VLOOKUP(ExtComp[[#This Row],[DEVELOPMENT]],Data[],9,FALSE)</f>
        <v>$</v>
      </c>
      <c r="F143" s="9">
        <f>IFERROR(VLOOKUP(ExtComp[[#This Row],[DEVELOPMENT]],Data[],4,FALSE),"")</f>
        <v>2023</v>
      </c>
      <c r="G143" s="9" t="str">
        <f>IF(ExtComp[[#This Row],[RAD/PACT]]="","",IF(ExtComp[[#This Row],[RAD/PACT]]&lt;=2025,"Yes",""))</f>
        <v>Yes</v>
      </c>
      <c r="H143" s="1" t="str">
        <f ca="1">IF(VLOOKUP(ExtComp[[#This Row],[DEVELOPMENT]],Data[],11,FALSE)=0,"",DATEDIF(VLOOKUP(ExtComp[[#This Row],[DEVELOPMENT]],Data[],13,FALSE),TODAY(),"Y"))</f>
        <v/>
      </c>
      <c r="I143" s="1">
        <f>IF(ExtComp[[#This Row],[RAD/PACT]]="",VLOOKUP(ExtComp[[#This Row],[DEVELOPMENT]],Data[],11,FALSE),IF(ExtComp[[#This Row],[RAD/PACT by 2025]]="yes",0,VLOOKUP(ExtComp[[#This Row],[DEVELOPMENT]],Data[],11,FALSE)))</f>
        <v>0</v>
      </c>
      <c r="J143" s="63">
        <f ca="1">(ExtComp[[#This Row],['# to Replace]]*'Unit Costs'!$B$6)*(1+((ExtComp[[#This Row],[est. Year]]-YEAR(TODAY()))*$J$2))</f>
        <v>0</v>
      </c>
      <c r="K143" s="1">
        <f>SUM(INDEX(ExtComp['# to Replace],1):ExtComp[[#This Row],['# to Replace]])</f>
        <v>0</v>
      </c>
      <c r="L143" s="1">
        <f>ROUNDDOWN(ExtComp[[#This Row],[Count]]/50,0)+$L$1</f>
        <v>2020</v>
      </c>
      <c r="M143" s="81">
        <f t="shared" ca="1" si="2"/>
        <v>0</v>
      </c>
      <c r="N143" s="81" t="str">
        <f>IFERROR(VLOOKUP(ExtComp[[#This Row],[DEVELOPMENT]],Data[],22,FALSE),"")</f>
        <v/>
      </c>
      <c r="O143" s="88" t="str">
        <f>IFERROR(VLOOKUP(ExtComp[[#This Row],[DEVELOPMENT]],Data[],23,FALSE),"")</f>
        <v/>
      </c>
    </row>
    <row r="144" spans="1:15" x14ac:dyDescent="0.25">
      <c r="A144" s="13" t="s">
        <v>273</v>
      </c>
      <c r="B144" s="9" t="str">
        <f>VLOOKUP(A144,Data[],2,FALSE)</f>
        <v>BRONX</v>
      </c>
      <c r="C144" s="9" t="s">
        <v>68</v>
      </c>
      <c r="D144" s="66" t="str">
        <f>VLOOKUP(ExtComp[[#This Row],[DEVELOPMENT]],Data[],8,FALSE)</f>
        <v>Zone 4</v>
      </c>
      <c r="E144" s="66">
        <f>VLOOKUP(ExtComp[[#This Row],[DEVELOPMENT]],Data[],9,FALSE)</f>
        <v>0</v>
      </c>
      <c r="F144" s="66" t="str">
        <f>IFERROR(VLOOKUP(ExtComp[[#This Row],[DEVELOPMENT]],Data[],4,FALSE),"")</f>
        <v/>
      </c>
      <c r="G144" s="66" t="str">
        <f>IF(ExtComp[[#This Row],[RAD/PACT]]="","",IF(ExtComp[[#This Row],[RAD/PACT]]&lt;=2025,"Yes",""))</f>
        <v/>
      </c>
      <c r="H144" s="67" t="str">
        <f ca="1">IF(VLOOKUP(ExtComp[[#This Row],[DEVELOPMENT]],Data[],11,FALSE)=0,"",DATEDIF(VLOOKUP(ExtComp[[#This Row],[DEVELOPMENT]],Data[],13,FALSE),TODAY(),"Y"))</f>
        <v/>
      </c>
      <c r="I144" s="67">
        <f>IF(ExtComp[[#This Row],[RAD/PACT]]="",VLOOKUP(ExtComp[[#This Row],[DEVELOPMENT]],Data[],11,FALSE),IF(ExtComp[[#This Row],[RAD/PACT by 2025]]="yes",0,VLOOKUP(ExtComp[[#This Row],[DEVELOPMENT]],Data[],11,FALSE)))</f>
        <v>0</v>
      </c>
      <c r="J144" s="63">
        <f ca="1">(ExtComp[[#This Row],['# to Replace]]*'Unit Costs'!$B$6)*(1+((ExtComp[[#This Row],[est. Year]]-YEAR(TODAY()))*$J$2))</f>
        <v>0</v>
      </c>
      <c r="K144" s="67">
        <f>SUM(INDEX(ExtComp['# to Replace],1):ExtComp[[#This Row],['# to Replace]])</f>
        <v>0</v>
      </c>
      <c r="L144" s="67">
        <f>ROUNDDOWN(ExtComp[[#This Row],[Count]]/50,0)+$L$1</f>
        <v>2020</v>
      </c>
      <c r="M144" s="81">
        <f t="shared" ca="1" si="2"/>
        <v>0</v>
      </c>
      <c r="N144" s="81" t="str">
        <f>IFERROR(VLOOKUP(ExtComp[[#This Row],[DEVELOPMENT]],Data[],22,FALSE),"")</f>
        <v/>
      </c>
      <c r="O144" s="88" t="str">
        <f>IFERROR(VLOOKUP(ExtComp[[#This Row],[DEVELOPMENT]],Data[],23,FALSE),"")</f>
        <v/>
      </c>
    </row>
    <row r="145" spans="1:15" x14ac:dyDescent="0.25">
      <c r="A145" s="13" t="s">
        <v>89</v>
      </c>
      <c r="B145" s="1" t="str">
        <f>VLOOKUP(A145,Data[],2,FALSE)</f>
        <v>MANHATTAN</v>
      </c>
      <c r="C145" s="9" t="s">
        <v>68</v>
      </c>
      <c r="D145" s="9" t="str">
        <f>VLOOKUP(ExtComp[[#This Row],[DEVELOPMENT]],Data[],8,FALSE)</f>
        <v>Zone 3</v>
      </c>
      <c r="E145" s="9" t="str">
        <f>VLOOKUP(ExtComp[[#This Row],[DEVELOPMENT]],Data[],9,FALSE)</f>
        <v>$$</v>
      </c>
      <c r="F145" s="9">
        <f>IFERROR(VLOOKUP(ExtComp[[#This Row],[DEVELOPMENT]],Data[],4,FALSE),"")</f>
        <v>2020</v>
      </c>
      <c r="G145" s="9" t="str">
        <f>IF(ExtComp[[#This Row],[RAD/PACT]]="","",IF(ExtComp[[#This Row],[RAD/PACT]]&lt;=2025,"Yes",""))</f>
        <v>Yes</v>
      </c>
      <c r="H145" s="1" t="str">
        <f ca="1">IF(VLOOKUP(ExtComp[[#This Row],[DEVELOPMENT]],Data[],11,FALSE)=0,"",DATEDIF(VLOOKUP(ExtComp[[#This Row],[DEVELOPMENT]],Data[],13,FALSE),TODAY(),"Y"))</f>
        <v/>
      </c>
      <c r="I145" s="1">
        <f>IF(ExtComp[[#This Row],[RAD/PACT]]="",VLOOKUP(ExtComp[[#This Row],[DEVELOPMENT]],Data[],11,FALSE),IF(ExtComp[[#This Row],[RAD/PACT by 2025]]="yes",0,VLOOKUP(ExtComp[[#This Row],[DEVELOPMENT]],Data[],11,FALSE)))</f>
        <v>0</v>
      </c>
      <c r="J145" s="63">
        <f ca="1">(ExtComp[[#This Row],['# to Replace]]*'Unit Costs'!$B$6)*(1+((ExtComp[[#This Row],[est. Year]]-YEAR(TODAY()))*$J$2))</f>
        <v>0</v>
      </c>
      <c r="K145" s="1">
        <f>SUM(INDEX(ExtComp['# to Replace],1):ExtComp[[#This Row],['# to Replace]])</f>
        <v>0</v>
      </c>
      <c r="L145" s="1">
        <f>ROUNDDOWN(ExtComp[[#This Row],[Count]]/50,0)+$L$1</f>
        <v>2020</v>
      </c>
      <c r="M145" s="81">
        <f t="shared" ca="1" si="2"/>
        <v>0</v>
      </c>
      <c r="N145" s="81" t="str">
        <f>IFERROR(VLOOKUP(ExtComp[[#This Row],[DEVELOPMENT]],Data[],22,FALSE),"")</f>
        <v/>
      </c>
      <c r="O145" s="67" t="str">
        <f>IFERROR(VLOOKUP(ExtComp[[#This Row],[DEVELOPMENT]],Data[],23,FALSE),"")</f>
        <v/>
      </c>
    </row>
    <row r="146" spans="1:15" x14ac:dyDescent="0.25">
      <c r="A146" s="13" t="s">
        <v>272</v>
      </c>
      <c r="B146" s="9" t="str">
        <f>VLOOKUP(A146,Data[],2,FALSE)</f>
        <v>BROOKLYN</v>
      </c>
      <c r="C146" s="9" t="s">
        <v>68</v>
      </c>
      <c r="D146" s="66">
        <f>VLOOKUP(ExtComp[[#This Row],[DEVELOPMENT]],Data[],8,FALSE)</f>
        <v>0</v>
      </c>
      <c r="E146" s="66">
        <f>VLOOKUP(ExtComp[[#This Row],[DEVELOPMENT]],Data[],9,FALSE)</f>
        <v>0</v>
      </c>
      <c r="F146" s="66" t="str">
        <f>IFERROR(VLOOKUP(ExtComp[[#This Row],[DEVELOPMENT]],Data[],4,FALSE),"")</f>
        <v/>
      </c>
      <c r="G146" s="66" t="str">
        <f>IF(ExtComp[[#This Row],[RAD/PACT]]="","",IF(ExtComp[[#This Row],[RAD/PACT]]&lt;=2025,"Yes",""))</f>
        <v/>
      </c>
      <c r="H146" s="67" t="str">
        <f ca="1">IF(VLOOKUP(ExtComp[[#This Row],[DEVELOPMENT]],Data[],11,FALSE)=0,"",DATEDIF(VLOOKUP(ExtComp[[#This Row],[DEVELOPMENT]],Data[],13,FALSE),TODAY(),"Y"))</f>
        <v/>
      </c>
      <c r="I146" s="67">
        <f>IF(ExtComp[[#This Row],[RAD/PACT]]="",VLOOKUP(ExtComp[[#This Row],[DEVELOPMENT]],Data[],11,FALSE),IF(ExtComp[[#This Row],[RAD/PACT by 2025]]="yes",0,VLOOKUP(ExtComp[[#This Row],[DEVELOPMENT]],Data[],11,FALSE)))</f>
        <v>0</v>
      </c>
      <c r="J146" s="63">
        <f ca="1">(ExtComp[[#This Row],['# to Replace]]*'Unit Costs'!$B$6)*(1+((ExtComp[[#This Row],[est. Year]]-YEAR(TODAY()))*$J$2))</f>
        <v>0</v>
      </c>
      <c r="K146" s="67">
        <f>SUM(INDEX(ExtComp['# to Replace],1):ExtComp[[#This Row],['# to Replace]])</f>
        <v>0</v>
      </c>
      <c r="L146" s="67">
        <f>ROUNDDOWN(ExtComp[[#This Row],[Count]]/50,0)+$L$1</f>
        <v>2020</v>
      </c>
      <c r="M146" s="81">
        <f t="shared" ca="1" si="2"/>
        <v>0</v>
      </c>
      <c r="N146" s="81" t="str">
        <f>IFERROR(VLOOKUP(ExtComp[[#This Row],[DEVELOPMENT]],Data[],22,FALSE),"")</f>
        <v/>
      </c>
      <c r="O146" s="88" t="str">
        <f>IFERROR(VLOOKUP(ExtComp[[#This Row],[DEVELOPMENT]],Data[],23,FALSE),"")</f>
        <v/>
      </c>
    </row>
    <row r="147" spans="1:15" x14ac:dyDescent="0.25">
      <c r="A147" s="13" t="s">
        <v>271</v>
      </c>
      <c r="B147" s="9" t="str">
        <f>VLOOKUP(A147,Data[],2,FALSE)</f>
        <v>STATEN ISLAND</v>
      </c>
      <c r="C147" s="9" t="s">
        <v>68</v>
      </c>
      <c r="D147" s="66">
        <f>VLOOKUP(ExtComp[[#This Row],[DEVELOPMENT]],Data[],8,FALSE)</f>
        <v>0</v>
      </c>
      <c r="E147" s="66">
        <f>VLOOKUP(ExtComp[[#This Row],[DEVELOPMENT]],Data[],9,FALSE)</f>
        <v>0</v>
      </c>
      <c r="F147" s="66">
        <f>IFERROR(VLOOKUP(ExtComp[[#This Row],[DEVELOPMENT]],Data[],4,FALSE),"")</f>
        <v>2028</v>
      </c>
      <c r="G147" s="66" t="str">
        <f>IF(ExtComp[[#This Row],[RAD/PACT]]="","",IF(ExtComp[[#This Row],[RAD/PACT]]&lt;=2025,"Yes",""))</f>
        <v/>
      </c>
      <c r="H147" s="67" t="str">
        <f ca="1">IF(VLOOKUP(ExtComp[[#This Row],[DEVELOPMENT]],Data[],11,FALSE)=0,"",DATEDIF(VLOOKUP(ExtComp[[#This Row],[DEVELOPMENT]],Data[],13,FALSE),TODAY(),"Y"))</f>
        <v/>
      </c>
      <c r="I147" s="67">
        <f>IF(ExtComp[[#This Row],[RAD/PACT]]="",VLOOKUP(ExtComp[[#This Row],[DEVELOPMENT]],Data[],11,FALSE),IF(ExtComp[[#This Row],[RAD/PACT by 2025]]="yes",0,VLOOKUP(ExtComp[[#This Row],[DEVELOPMENT]],Data[],11,FALSE)))</f>
        <v>0</v>
      </c>
      <c r="J147" s="63">
        <f ca="1">(ExtComp[[#This Row],['# to Replace]]*'Unit Costs'!$B$6)*(1+((ExtComp[[#This Row],[est. Year]]-YEAR(TODAY()))*$J$2))</f>
        <v>0</v>
      </c>
      <c r="K147" s="67">
        <f>SUM(INDEX(ExtComp['# to Replace],1):ExtComp[[#This Row],['# to Replace]])</f>
        <v>0</v>
      </c>
      <c r="L147" s="67">
        <f>ROUNDDOWN(ExtComp[[#This Row],[Count]]/50,0)+$L$1</f>
        <v>2020</v>
      </c>
      <c r="M147" s="81">
        <f t="shared" ca="1" si="2"/>
        <v>0</v>
      </c>
      <c r="N147" s="81" t="str">
        <f>IFERROR(VLOOKUP(ExtComp[[#This Row],[DEVELOPMENT]],Data[],22,FALSE),"")</f>
        <v/>
      </c>
      <c r="O147" s="88" t="str">
        <f>IFERROR(VLOOKUP(ExtComp[[#This Row],[DEVELOPMENT]],Data[],23,FALSE),"")</f>
        <v/>
      </c>
    </row>
    <row r="148" spans="1:15" x14ac:dyDescent="0.25">
      <c r="A148" s="13" t="s">
        <v>270</v>
      </c>
      <c r="B148" s="9" t="str">
        <f>VLOOKUP(A148,Data[],2,FALSE)</f>
        <v>BROOKLYN</v>
      </c>
      <c r="C148" s="9"/>
      <c r="D148" s="66">
        <f>VLOOKUP(ExtComp[[#This Row],[DEVELOPMENT]],Data[],8,FALSE)</f>
        <v>0</v>
      </c>
      <c r="E148" s="66">
        <f>VLOOKUP(ExtComp[[#This Row],[DEVELOPMENT]],Data[],9,FALSE)</f>
        <v>0</v>
      </c>
      <c r="F148" s="66">
        <f>IFERROR(VLOOKUP(ExtComp[[#This Row],[DEVELOPMENT]],Data[],4,FALSE),"")</f>
        <v>2019</v>
      </c>
      <c r="G148" s="66" t="str">
        <f>IF(ExtComp[[#This Row],[RAD/PACT]]="","",IF(ExtComp[[#This Row],[RAD/PACT]]&lt;=2025,"Yes",""))</f>
        <v>Yes</v>
      </c>
      <c r="H148" s="67" t="str">
        <f ca="1">IF(VLOOKUP(ExtComp[[#This Row],[DEVELOPMENT]],Data[],11,FALSE)=0,"",DATEDIF(VLOOKUP(ExtComp[[#This Row],[DEVELOPMENT]],Data[],13,FALSE),TODAY(),"Y"))</f>
        <v/>
      </c>
      <c r="I148" s="67">
        <f>IF(ExtComp[[#This Row],[RAD/PACT]]="",VLOOKUP(ExtComp[[#This Row],[DEVELOPMENT]],Data[],11,FALSE),IF(ExtComp[[#This Row],[RAD/PACT by 2025]]="yes",0,VLOOKUP(ExtComp[[#This Row],[DEVELOPMENT]],Data[],11,FALSE)))</f>
        <v>0</v>
      </c>
      <c r="J148" s="63">
        <f ca="1">(ExtComp[[#This Row],['# to Replace]]*'Unit Costs'!$B$6)*(1+((ExtComp[[#This Row],[est. Year]]-YEAR(TODAY()))*$J$2))</f>
        <v>0</v>
      </c>
      <c r="K148" s="67">
        <f>SUM(INDEX(ExtComp['# to Replace],1):ExtComp[[#This Row],['# to Replace]])</f>
        <v>0</v>
      </c>
      <c r="L148" s="67">
        <f>ROUNDDOWN(ExtComp[[#This Row],[Count]]/50,0)+$L$1</f>
        <v>2020</v>
      </c>
      <c r="M148" s="81">
        <f t="shared" ca="1" si="2"/>
        <v>0</v>
      </c>
      <c r="N148" s="81" t="str">
        <f>IFERROR(VLOOKUP(ExtComp[[#This Row],[DEVELOPMENT]],Data[],22,FALSE),"")</f>
        <v/>
      </c>
      <c r="O148" s="88" t="str">
        <f>IFERROR(VLOOKUP(ExtComp[[#This Row],[DEVELOPMENT]],Data[],23,FALSE),"")</f>
        <v/>
      </c>
    </row>
    <row r="149" spans="1:15" x14ac:dyDescent="0.25">
      <c r="A149" s="13" t="s">
        <v>269</v>
      </c>
      <c r="B149" s="1" t="str">
        <f>VLOOKUP(A149,Data[],2,FALSE)</f>
        <v>BROOKLYN</v>
      </c>
      <c r="C149" s="9" t="s">
        <v>68</v>
      </c>
      <c r="D149" s="66" t="str">
        <f>VLOOKUP(ExtComp[[#This Row],[DEVELOPMENT]],Data[],8,FALSE)</f>
        <v>Zone 1</v>
      </c>
      <c r="E149" s="9" t="str">
        <f>VLOOKUP(ExtComp[[#This Row],[DEVELOPMENT]],Data[],9,FALSE)</f>
        <v>$</v>
      </c>
      <c r="F149" s="66">
        <f>IFERROR(VLOOKUP(ExtComp[[#This Row],[DEVELOPMENT]],Data[],4,FALSE),"")</f>
        <v>2019</v>
      </c>
      <c r="G149" s="66" t="str">
        <f>IF(ExtComp[[#This Row],[RAD/PACT]]="","",IF(ExtComp[[#This Row],[RAD/PACT]]&lt;=2025,"Yes",""))</f>
        <v>Yes</v>
      </c>
      <c r="H149" s="67" t="str">
        <f ca="1">IF(VLOOKUP(ExtComp[[#This Row],[DEVELOPMENT]],Data[],11,FALSE)=0,"",DATEDIF(VLOOKUP(ExtComp[[#This Row],[DEVELOPMENT]],Data[],13,FALSE),TODAY(),"Y"))</f>
        <v/>
      </c>
      <c r="I149" s="67">
        <f>IF(ExtComp[[#This Row],[RAD/PACT]]="",VLOOKUP(ExtComp[[#This Row],[DEVELOPMENT]],Data[],11,FALSE),IF(ExtComp[[#This Row],[RAD/PACT by 2025]]="yes",0,VLOOKUP(ExtComp[[#This Row],[DEVELOPMENT]],Data[],11,FALSE)))</f>
        <v>0</v>
      </c>
      <c r="J149" s="63">
        <f ca="1">(ExtComp[[#This Row],['# to Replace]]*'Unit Costs'!$B$6)*(1+((ExtComp[[#This Row],[est. Year]]-YEAR(TODAY()))*$J$2))</f>
        <v>0</v>
      </c>
      <c r="K149" s="67">
        <f>SUM(INDEX(ExtComp['# to Replace],1):ExtComp[[#This Row],['# to Replace]])</f>
        <v>0</v>
      </c>
      <c r="L149" s="67">
        <f>ROUNDDOWN(ExtComp[[#This Row],[Count]]/50,0)+$L$1</f>
        <v>2020</v>
      </c>
      <c r="M149" s="81">
        <f t="shared" ca="1" si="2"/>
        <v>0</v>
      </c>
      <c r="N149" s="81" t="str">
        <f>IFERROR(VLOOKUP(ExtComp[[#This Row],[DEVELOPMENT]],Data[],22,FALSE),"")</f>
        <v/>
      </c>
      <c r="O149" s="67" t="str">
        <f>IFERROR(VLOOKUP(ExtComp[[#This Row],[DEVELOPMENT]],Data[],23,FALSE),"")</f>
        <v/>
      </c>
    </row>
    <row r="150" spans="1:15" x14ac:dyDescent="0.25">
      <c r="A150" s="82" t="s">
        <v>38</v>
      </c>
      <c r="B150" s="1" t="str">
        <f>VLOOKUP(A150,Data[],2,FALSE)</f>
        <v>BROOKLYN</v>
      </c>
      <c r="C150" s="9" t="s">
        <v>68</v>
      </c>
      <c r="D150" s="9" t="str">
        <f>VLOOKUP(ExtComp[[#This Row],[DEVELOPMENT]],Data[],8,FALSE)</f>
        <v>Zone 1</v>
      </c>
      <c r="E150" s="9" t="str">
        <f>VLOOKUP(ExtComp[[#This Row],[DEVELOPMENT]],Data[],9,FALSE)</f>
        <v>$$</v>
      </c>
      <c r="F150" s="9">
        <f>IFERROR(VLOOKUP(ExtComp[[#This Row],[DEVELOPMENT]],Data[],4,FALSE),"")</f>
        <v>2027</v>
      </c>
      <c r="G150" s="9" t="str">
        <f>IF(ExtComp[[#This Row],[RAD/PACT]]="","",IF(ExtComp[[#This Row],[RAD/PACT]]&lt;=2025,"Yes",""))</f>
        <v/>
      </c>
      <c r="H150" s="1" t="str">
        <f ca="1">IF(VLOOKUP(ExtComp[[#This Row],[DEVELOPMENT]],Data[],11,FALSE)=0,"",DATEDIF(VLOOKUP(ExtComp[[#This Row],[DEVELOPMENT]],Data[],13,FALSE),TODAY(),"Y"))</f>
        <v/>
      </c>
      <c r="I150" s="1">
        <f>IF(ExtComp[[#This Row],[RAD/PACT]]="",VLOOKUP(ExtComp[[#This Row],[DEVELOPMENT]],Data[],11,FALSE),IF(ExtComp[[#This Row],[RAD/PACT by 2025]]="yes",0,VLOOKUP(ExtComp[[#This Row],[DEVELOPMENT]],Data[],11,FALSE)))</f>
        <v>0</v>
      </c>
      <c r="J150" s="63">
        <f ca="1">(ExtComp[[#This Row],['# to Replace]]*'Unit Costs'!$B$6)*(1+((ExtComp[[#This Row],[est. Year]]-YEAR(TODAY()))*$J$2))</f>
        <v>0</v>
      </c>
      <c r="K150" s="1">
        <f>SUM(INDEX(ExtComp['# to Replace],1):ExtComp[[#This Row],['# to Replace]])</f>
        <v>0</v>
      </c>
      <c r="L150" s="1">
        <f>ROUNDDOWN(ExtComp[[#This Row],[Count]]/50,0)+$L$1</f>
        <v>2020</v>
      </c>
      <c r="M150" s="81">
        <f t="shared" ca="1" si="2"/>
        <v>0</v>
      </c>
      <c r="N150" s="81" t="str">
        <f>IFERROR(VLOOKUP(ExtComp[[#This Row],[DEVELOPMENT]],Data[],22,FALSE),"")</f>
        <v/>
      </c>
      <c r="O150" s="88" t="str">
        <f>IFERROR(VLOOKUP(ExtComp[[#This Row],[DEVELOPMENT]],Data[],23,FALSE),"")</f>
        <v/>
      </c>
    </row>
    <row r="151" spans="1:15" x14ac:dyDescent="0.25">
      <c r="A151" s="13" t="s">
        <v>268</v>
      </c>
      <c r="B151" s="9" t="str">
        <f>VLOOKUP(A151,Data[],2,FALSE)</f>
        <v>BRONX</v>
      </c>
      <c r="C151" s="9" t="s">
        <v>68</v>
      </c>
      <c r="D151" s="66">
        <f>VLOOKUP(ExtComp[[#This Row],[DEVELOPMENT]],Data[],8,FALSE)</f>
        <v>0</v>
      </c>
      <c r="E151" s="66">
        <f>VLOOKUP(ExtComp[[#This Row],[DEVELOPMENT]],Data[],9,FALSE)</f>
        <v>0</v>
      </c>
      <c r="F151" s="66" t="str">
        <f>IFERROR(VLOOKUP(ExtComp[[#This Row],[DEVELOPMENT]],Data[],4,FALSE),"")</f>
        <v/>
      </c>
      <c r="G151" s="66" t="str">
        <f>IF(ExtComp[[#This Row],[RAD/PACT]]="","",IF(ExtComp[[#This Row],[RAD/PACT]]&lt;=2025,"Yes",""))</f>
        <v/>
      </c>
      <c r="H151" s="67" t="str">
        <f ca="1">IF(VLOOKUP(ExtComp[[#This Row],[DEVELOPMENT]],Data[],11,FALSE)=0,"",DATEDIF(VLOOKUP(ExtComp[[#This Row],[DEVELOPMENT]],Data[],13,FALSE),TODAY(),"Y"))</f>
        <v/>
      </c>
      <c r="I151" s="67">
        <f>IF(ExtComp[[#This Row],[RAD/PACT]]="",VLOOKUP(ExtComp[[#This Row],[DEVELOPMENT]],Data[],11,FALSE),IF(ExtComp[[#This Row],[RAD/PACT by 2025]]="yes",0,VLOOKUP(ExtComp[[#This Row],[DEVELOPMENT]],Data[],11,FALSE)))</f>
        <v>0</v>
      </c>
      <c r="J151" s="63">
        <f ca="1">(ExtComp[[#This Row],['# to Replace]]*'Unit Costs'!$B$6)*(1+((ExtComp[[#This Row],[est. Year]]-YEAR(TODAY()))*$J$2))</f>
        <v>0</v>
      </c>
      <c r="K151" s="67">
        <f>SUM(INDEX(ExtComp['# to Replace],1):ExtComp[[#This Row],['# to Replace]])</f>
        <v>0</v>
      </c>
      <c r="L151" s="67">
        <f>ROUNDDOWN(ExtComp[[#This Row],[Count]]/50,0)+$L$1</f>
        <v>2020</v>
      </c>
      <c r="M151" s="81">
        <f t="shared" ca="1" si="2"/>
        <v>0</v>
      </c>
      <c r="N151" s="81" t="str">
        <f>IFERROR(VLOOKUP(ExtComp[[#This Row],[DEVELOPMENT]],Data[],22,FALSE),"")</f>
        <v/>
      </c>
      <c r="O151" s="88" t="str">
        <f>IFERROR(VLOOKUP(ExtComp[[#This Row],[DEVELOPMENT]],Data[],23,FALSE),"")</f>
        <v/>
      </c>
    </row>
    <row r="152" spans="1:15" x14ac:dyDescent="0.25">
      <c r="A152" s="13" t="s">
        <v>88</v>
      </c>
      <c r="B152" s="1" t="str">
        <f>VLOOKUP(A152,Data[],2,FALSE)</f>
        <v>MANHATTAN</v>
      </c>
      <c r="C152" s="9" t="s">
        <v>68</v>
      </c>
      <c r="D152" s="9" t="str">
        <f>VLOOKUP(ExtComp[[#This Row],[DEVELOPMENT]],Data[],8,FALSE)</f>
        <v>Zone 3</v>
      </c>
      <c r="E152" s="9" t="str">
        <f>VLOOKUP(ExtComp[[#This Row],[DEVELOPMENT]],Data[],9,FALSE)</f>
        <v>$</v>
      </c>
      <c r="F152" s="9">
        <f>IFERROR(VLOOKUP(ExtComp[[#This Row],[DEVELOPMENT]],Data[],4,FALSE),"")</f>
        <v>2019</v>
      </c>
      <c r="G152" s="9" t="str">
        <f>IF(ExtComp[[#This Row],[RAD/PACT]]="","",IF(ExtComp[[#This Row],[RAD/PACT]]&lt;=2025,"Yes",""))</f>
        <v>Yes</v>
      </c>
      <c r="H152" s="1" t="str">
        <f ca="1">IF(VLOOKUP(ExtComp[[#This Row],[DEVELOPMENT]],Data[],11,FALSE)=0,"",DATEDIF(VLOOKUP(ExtComp[[#This Row],[DEVELOPMENT]],Data[],13,FALSE),TODAY(),"Y"))</f>
        <v/>
      </c>
      <c r="I152" s="1">
        <f>IF(ExtComp[[#This Row],[RAD/PACT]]="",VLOOKUP(ExtComp[[#This Row],[DEVELOPMENT]],Data[],11,FALSE),IF(ExtComp[[#This Row],[RAD/PACT by 2025]]="yes",0,VLOOKUP(ExtComp[[#This Row],[DEVELOPMENT]],Data[],11,FALSE)))</f>
        <v>0</v>
      </c>
      <c r="J152" s="63">
        <f ca="1">(ExtComp[[#This Row],['# to Replace]]*'Unit Costs'!$B$6)*(1+((ExtComp[[#This Row],[est. Year]]-YEAR(TODAY()))*$J$2))</f>
        <v>0</v>
      </c>
      <c r="K152" s="1">
        <f>SUM(INDEX(ExtComp['# to Replace],1):ExtComp[[#This Row],['# to Replace]])</f>
        <v>0</v>
      </c>
      <c r="L152" s="1">
        <f>ROUNDDOWN(ExtComp[[#This Row],[Count]]/50,0)+$L$1</f>
        <v>2020</v>
      </c>
      <c r="M152" s="81">
        <f t="shared" ca="1" si="2"/>
        <v>0</v>
      </c>
      <c r="N152" s="81" t="str">
        <f>IFERROR(VLOOKUP(ExtComp[[#This Row],[DEVELOPMENT]],Data[],22,FALSE),"")</f>
        <v/>
      </c>
      <c r="O152" s="67" t="str">
        <f>IFERROR(VLOOKUP(ExtComp[[#This Row],[DEVELOPMENT]],Data[],23,FALSE),"")</f>
        <v/>
      </c>
    </row>
    <row r="153" spans="1:15" x14ac:dyDescent="0.25">
      <c r="A153" s="13" t="s">
        <v>87</v>
      </c>
      <c r="B153" s="1" t="str">
        <f>VLOOKUP(A153,Data[],2,FALSE)</f>
        <v>MANHATTAN</v>
      </c>
      <c r="C153" s="9" t="s">
        <v>68</v>
      </c>
      <c r="D153" s="9" t="str">
        <f>VLOOKUP(ExtComp[[#This Row],[DEVELOPMENT]],Data[],8,FALSE)</f>
        <v>Zone 3</v>
      </c>
      <c r="E153" s="9" t="str">
        <f>VLOOKUP(ExtComp[[#This Row],[DEVELOPMENT]],Data[],9,FALSE)</f>
        <v>$</v>
      </c>
      <c r="F153" s="9">
        <f>IFERROR(VLOOKUP(ExtComp[[#This Row],[DEVELOPMENT]],Data[],4,FALSE),"")</f>
        <v>2019</v>
      </c>
      <c r="G153" s="9" t="str">
        <f>IF(ExtComp[[#This Row],[RAD/PACT]]="","",IF(ExtComp[[#This Row],[RAD/PACT]]&lt;=2025,"Yes",""))</f>
        <v>Yes</v>
      </c>
      <c r="H153" s="1" t="str">
        <f ca="1">IF(VLOOKUP(ExtComp[[#This Row],[DEVELOPMENT]],Data[],11,FALSE)=0,"",DATEDIF(VLOOKUP(ExtComp[[#This Row],[DEVELOPMENT]],Data[],13,FALSE),TODAY(),"Y"))</f>
        <v/>
      </c>
      <c r="I153" s="1">
        <f>IF(ExtComp[[#This Row],[RAD/PACT]]="",VLOOKUP(ExtComp[[#This Row],[DEVELOPMENT]],Data[],11,FALSE),IF(ExtComp[[#This Row],[RAD/PACT by 2025]]="yes",0,VLOOKUP(ExtComp[[#This Row],[DEVELOPMENT]],Data[],11,FALSE)))</f>
        <v>0</v>
      </c>
      <c r="J153" s="63">
        <f ca="1">(ExtComp[[#This Row],['# to Replace]]*'Unit Costs'!$B$6)*(1+((ExtComp[[#This Row],[est. Year]]-YEAR(TODAY()))*$J$2))</f>
        <v>0</v>
      </c>
      <c r="K153" s="1">
        <f>SUM(INDEX(ExtComp['# to Replace],1):ExtComp[[#This Row],['# to Replace]])</f>
        <v>0</v>
      </c>
      <c r="L153" s="1">
        <f>ROUNDDOWN(ExtComp[[#This Row],[Count]]/50,0)+$L$1</f>
        <v>2020</v>
      </c>
      <c r="M153" s="81">
        <f t="shared" ca="1" si="2"/>
        <v>0</v>
      </c>
      <c r="N153" s="81" t="str">
        <f>IFERROR(VLOOKUP(ExtComp[[#This Row],[DEVELOPMENT]],Data[],22,FALSE),"")</f>
        <v/>
      </c>
      <c r="O153" s="67" t="str">
        <f>IFERROR(VLOOKUP(ExtComp[[#This Row],[DEVELOPMENT]],Data[],23,FALSE),"")</f>
        <v/>
      </c>
    </row>
    <row r="154" spans="1:15" x14ac:dyDescent="0.25">
      <c r="A154" s="13" t="s">
        <v>122</v>
      </c>
      <c r="B154" s="1" t="str">
        <f>VLOOKUP(A154,Data[],2,FALSE)</f>
        <v>MANHATTAN</v>
      </c>
      <c r="C154" s="9" t="s">
        <v>68</v>
      </c>
      <c r="D154" s="9" t="str">
        <f>VLOOKUP(ExtComp[[#This Row],[DEVELOPMENT]],Data[],8,FALSE)</f>
        <v>Zone 2</v>
      </c>
      <c r="E154" s="9" t="str">
        <f>VLOOKUP(ExtComp[[#This Row],[DEVELOPMENT]],Data[],9,FALSE)</f>
        <v>$</v>
      </c>
      <c r="F154" s="9">
        <f>IFERROR(VLOOKUP(ExtComp[[#This Row],[DEVELOPMENT]],Data[],4,FALSE),"")</f>
        <v>2028</v>
      </c>
      <c r="G154" s="9" t="str">
        <f>IF(ExtComp[[#This Row],[RAD/PACT]]="","",IF(ExtComp[[#This Row],[RAD/PACT]]&lt;=2025,"Yes",""))</f>
        <v/>
      </c>
      <c r="H154" s="1" t="str">
        <f ca="1">IF(VLOOKUP(ExtComp[[#This Row],[DEVELOPMENT]],Data[],11,FALSE)=0,"",DATEDIF(VLOOKUP(ExtComp[[#This Row],[DEVELOPMENT]],Data[],13,FALSE),TODAY(),"Y"))</f>
        <v/>
      </c>
      <c r="I154" s="1">
        <f>IF(ExtComp[[#This Row],[RAD/PACT]]="",VLOOKUP(ExtComp[[#This Row],[DEVELOPMENT]],Data[],11,FALSE),IF(ExtComp[[#This Row],[RAD/PACT by 2025]]="yes",0,VLOOKUP(ExtComp[[#This Row],[DEVELOPMENT]],Data[],11,FALSE)))</f>
        <v>0</v>
      </c>
      <c r="J154" s="63">
        <f ca="1">(ExtComp[[#This Row],['# to Replace]]*'Unit Costs'!$B$6)*(1+((ExtComp[[#This Row],[est. Year]]-YEAR(TODAY()))*$J$2))</f>
        <v>0</v>
      </c>
      <c r="K154" s="1">
        <f>SUM(INDEX(ExtComp['# to Replace],1):ExtComp[[#This Row],['# to Replace]])</f>
        <v>0</v>
      </c>
      <c r="L154" s="1">
        <f>ROUNDDOWN(ExtComp[[#This Row],[Count]]/50,0)+$L$1</f>
        <v>2020</v>
      </c>
      <c r="M154" s="81">
        <f t="shared" ca="1" si="2"/>
        <v>0</v>
      </c>
      <c r="N154" s="81" t="str">
        <f>IFERROR(VLOOKUP(ExtComp[[#This Row],[DEVELOPMENT]],Data[],22,FALSE),"")</f>
        <v/>
      </c>
      <c r="O154" s="88" t="str">
        <f>IFERROR(VLOOKUP(ExtComp[[#This Row],[DEVELOPMENT]],Data[],23,FALSE),"")</f>
        <v/>
      </c>
    </row>
    <row r="155" spans="1:15" x14ac:dyDescent="0.25">
      <c r="A155" s="82" t="s">
        <v>64</v>
      </c>
      <c r="B155" s="1" t="str">
        <f>VLOOKUP(A155,Data[],2,FALSE)</f>
        <v>MANHATTAN</v>
      </c>
      <c r="C155" s="9" t="s">
        <v>68</v>
      </c>
      <c r="D155" s="9" t="str">
        <f>VLOOKUP(ExtComp[[#This Row],[DEVELOPMENT]],Data[],8,FALSE)</f>
        <v>Zone 1</v>
      </c>
      <c r="E155" s="9" t="str">
        <f>VLOOKUP(ExtComp[[#This Row],[DEVELOPMENT]],Data[],9,FALSE)</f>
        <v>$$</v>
      </c>
      <c r="F155" s="9">
        <f>IFERROR(VLOOKUP(ExtComp[[#This Row],[DEVELOPMENT]],Data[],4,FALSE),"")</f>
        <v>2026</v>
      </c>
      <c r="G155" s="9" t="str">
        <f>IF(ExtComp[[#This Row],[RAD/PACT]]="","",IF(ExtComp[[#This Row],[RAD/PACT]]&lt;=2025,"Yes",""))</f>
        <v/>
      </c>
      <c r="H155" s="1" t="str">
        <f ca="1">IF(VLOOKUP(ExtComp[[#This Row],[DEVELOPMENT]],Data[],11,FALSE)=0,"",DATEDIF(VLOOKUP(ExtComp[[#This Row],[DEVELOPMENT]],Data[],13,FALSE),TODAY(),"Y"))</f>
        <v/>
      </c>
      <c r="I155" s="1">
        <f>IF(ExtComp[[#This Row],[RAD/PACT]]="",VLOOKUP(ExtComp[[#This Row],[DEVELOPMENT]],Data[],11,FALSE),IF(ExtComp[[#This Row],[RAD/PACT by 2025]]="yes",0,VLOOKUP(ExtComp[[#This Row],[DEVELOPMENT]],Data[],11,FALSE)))</f>
        <v>0</v>
      </c>
      <c r="J155" s="63">
        <f ca="1">(ExtComp[[#This Row],['# to Replace]]*'Unit Costs'!$B$6)*(1+((ExtComp[[#This Row],[est. Year]]-YEAR(TODAY()))*$J$2))</f>
        <v>0</v>
      </c>
      <c r="K155" s="1">
        <f>SUM(INDEX(ExtComp['# to Replace],1):ExtComp[[#This Row],['# to Replace]])</f>
        <v>0</v>
      </c>
      <c r="L155" s="1">
        <f>ROUNDDOWN(ExtComp[[#This Row],[Count]]/50,0)+$L$1</f>
        <v>2020</v>
      </c>
      <c r="M155" s="81">
        <f t="shared" ca="1" si="2"/>
        <v>0</v>
      </c>
      <c r="N155" s="81" t="str">
        <f>IFERROR(VLOOKUP(ExtComp[[#This Row],[DEVELOPMENT]],Data[],22,FALSE),"")</f>
        <v/>
      </c>
      <c r="O155" s="67" t="str">
        <f>IFERROR(VLOOKUP(ExtComp[[#This Row],[DEVELOPMENT]],Data[],23,FALSE),"")</f>
        <v/>
      </c>
    </row>
    <row r="156" spans="1:15" x14ac:dyDescent="0.25">
      <c r="A156" s="13" t="s">
        <v>267</v>
      </c>
      <c r="B156" s="1" t="str">
        <f>VLOOKUP(A156,Data[],2,FALSE)</f>
        <v>MANHATTAN</v>
      </c>
      <c r="C156" s="9" t="s">
        <v>68</v>
      </c>
      <c r="D156" s="66" t="str">
        <f>VLOOKUP(ExtComp[[#This Row],[DEVELOPMENT]],Data[],8,FALSE)</f>
        <v>Zone 1</v>
      </c>
      <c r="E156" s="9" t="str">
        <f>VLOOKUP(ExtComp[[#This Row],[DEVELOPMENT]],Data[],9,FALSE)</f>
        <v>$</v>
      </c>
      <c r="F156" s="66" t="str">
        <f>IFERROR(VLOOKUP(ExtComp[[#This Row],[DEVELOPMENT]],Data[],4,FALSE),"")</f>
        <v/>
      </c>
      <c r="G156" s="66" t="str">
        <f>IF(ExtComp[[#This Row],[RAD/PACT]]="","",IF(ExtComp[[#This Row],[RAD/PACT]]&lt;=2025,"Yes",""))</f>
        <v/>
      </c>
      <c r="H156" s="67" t="str">
        <f ca="1">IF(VLOOKUP(ExtComp[[#This Row],[DEVELOPMENT]],Data[],11,FALSE)=0,"",DATEDIF(VLOOKUP(ExtComp[[#This Row],[DEVELOPMENT]],Data[],13,FALSE),TODAY(),"Y"))</f>
        <v/>
      </c>
      <c r="I156" s="67">
        <f>IF(ExtComp[[#This Row],[RAD/PACT]]="",VLOOKUP(ExtComp[[#This Row],[DEVELOPMENT]],Data[],11,FALSE),IF(ExtComp[[#This Row],[RAD/PACT by 2025]]="yes",0,VLOOKUP(ExtComp[[#This Row],[DEVELOPMENT]],Data[],11,FALSE)))</f>
        <v>0</v>
      </c>
      <c r="J156" s="63">
        <f ca="1">(ExtComp[[#This Row],['# to Replace]]*'Unit Costs'!$B$6)*(1+((ExtComp[[#This Row],[est. Year]]-YEAR(TODAY()))*$J$2))</f>
        <v>0</v>
      </c>
      <c r="K156" s="67">
        <f>SUM(INDEX(ExtComp['# to Replace],1):ExtComp[[#This Row],['# to Replace]])</f>
        <v>0</v>
      </c>
      <c r="L156" s="67">
        <f>ROUNDDOWN(ExtComp[[#This Row],[Count]]/50,0)+$L$1</f>
        <v>2020</v>
      </c>
      <c r="M156" s="81">
        <f t="shared" ca="1" si="2"/>
        <v>0</v>
      </c>
      <c r="N156" s="81" t="str">
        <f>IFERROR(VLOOKUP(ExtComp[[#This Row],[DEVELOPMENT]],Data[],22,FALSE),"")</f>
        <v/>
      </c>
      <c r="O156" s="67" t="str">
        <f>IFERROR(VLOOKUP(ExtComp[[#This Row],[DEVELOPMENT]],Data[],23,FALSE),"")</f>
        <v/>
      </c>
    </row>
    <row r="157" spans="1:15" x14ac:dyDescent="0.25">
      <c r="A157" s="82" t="s">
        <v>63</v>
      </c>
      <c r="B157" s="1" t="str">
        <f>VLOOKUP(A157,Data[],2,FALSE)</f>
        <v>MANHATTAN</v>
      </c>
      <c r="C157" s="9" t="s">
        <v>68</v>
      </c>
      <c r="D157" s="9" t="str">
        <f>VLOOKUP(ExtComp[[#This Row],[DEVELOPMENT]],Data[],8,FALSE)</f>
        <v>Zone 1</v>
      </c>
      <c r="E157" s="9" t="str">
        <f>VLOOKUP(ExtComp[[#This Row],[DEVELOPMENT]],Data[],9,FALSE)</f>
        <v>$</v>
      </c>
      <c r="F157" s="9">
        <f>IFERROR(VLOOKUP(ExtComp[[#This Row],[DEVELOPMENT]],Data[],4,FALSE),"")</f>
        <v>2026</v>
      </c>
      <c r="G157" s="9" t="str">
        <f>IF(ExtComp[[#This Row],[RAD/PACT]]="","",IF(ExtComp[[#This Row],[RAD/PACT]]&lt;=2025,"Yes",""))</f>
        <v/>
      </c>
      <c r="H157" s="1" t="str">
        <f ca="1">IF(VLOOKUP(ExtComp[[#This Row],[DEVELOPMENT]],Data[],11,FALSE)=0,"",DATEDIF(VLOOKUP(ExtComp[[#This Row],[DEVELOPMENT]],Data[],13,FALSE),TODAY(),"Y"))</f>
        <v/>
      </c>
      <c r="I157" s="1">
        <f>IF(ExtComp[[#This Row],[RAD/PACT]]="",VLOOKUP(ExtComp[[#This Row],[DEVELOPMENT]],Data[],11,FALSE),IF(ExtComp[[#This Row],[RAD/PACT by 2025]]="yes",0,VLOOKUP(ExtComp[[#This Row],[DEVELOPMENT]],Data[],11,FALSE)))</f>
        <v>0</v>
      </c>
      <c r="J157" s="63">
        <f ca="1">(ExtComp[[#This Row],['# to Replace]]*'Unit Costs'!$B$6)*(1+((ExtComp[[#This Row],[est. Year]]-YEAR(TODAY()))*$J$2))</f>
        <v>0</v>
      </c>
      <c r="K157" s="1">
        <f>SUM(INDEX(ExtComp['# to Replace],1):ExtComp[[#This Row],['# to Replace]])</f>
        <v>0</v>
      </c>
      <c r="L157" s="1">
        <f>ROUNDDOWN(ExtComp[[#This Row],[Count]]/50,0)+$L$1</f>
        <v>2020</v>
      </c>
      <c r="M157" s="81">
        <f t="shared" ca="1" si="2"/>
        <v>0</v>
      </c>
      <c r="N157" s="81" t="str">
        <f>IFERROR(VLOOKUP(ExtComp[[#This Row],[DEVELOPMENT]],Data[],22,FALSE),"")</f>
        <v/>
      </c>
      <c r="O157" s="67" t="str">
        <f>IFERROR(VLOOKUP(ExtComp[[#This Row],[DEVELOPMENT]],Data[],23,FALSE),"")</f>
        <v/>
      </c>
    </row>
    <row r="158" spans="1:15" x14ac:dyDescent="0.25">
      <c r="A158" s="82" t="s">
        <v>62</v>
      </c>
      <c r="B158" s="1" t="str">
        <f>VLOOKUP(A158,Data[],2,FALSE)</f>
        <v>MANHATTAN</v>
      </c>
      <c r="C158" s="9" t="s">
        <v>68</v>
      </c>
      <c r="D158" s="9" t="str">
        <f>VLOOKUP(ExtComp[[#This Row],[DEVELOPMENT]],Data[],8,FALSE)</f>
        <v>Zone 1</v>
      </c>
      <c r="E158" s="9" t="str">
        <f>VLOOKUP(ExtComp[[#This Row],[DEVELOPMENT]],Data[],9,FALSE)</f>
        <v>$$</v>
      </c>
      <c r="F158" s="9" t="str">
        <f>IFERROR(VLOOKUP(ExtComp[[#This Row],[DEVELOPMENT]],Data[],4,FALSE),"")</f>
        <v/>
      </c>
      <c r="G158" s="9" t="str">
        <f>IF(ExtComp[[#This Row],[RAD/PACT]]="","",IF(ExtComp[[#This Row],[RAD/PACT]]&lt;=2025,"Yes",""))</f>
        <v/>
      </c>
      <c r="H158" s="1" t="str">
        <f ca="1">IF(VLOOKUP(ExtComp[[#This Row],[DEVELOPMENT]],Data[],11,FALSE)=0,"",DATEDIF(VLOOKUP(ExtComp[[#This Row],[DEVELOPMENT]],Data[],13,FALSE),TODAY(),"Y"))</f>
        <v/>
      </c>
      <c r="I158" s="1">
        <f>IF(ExtComp[[#This Row],[RAD/PACT]]="",VLOOKUP(ExtComp[[#This Row],[DEVELOPMENT]],Data[],11,FALSE),IF(ExtComp[[#This Row],[RAD/PACT by 2025]]="yes",0,VLOOKUP(ExtComp[[#This Row],[DEVELOPMENT]],Data[],11,FALSE)))</f>
        <v>0</v>
      </c>
      <c r="J158" s="63">
        <f ca="1">(ExtComp[[#This Row],['# to Replace]]*'Unit Costs'!$B$6)*(1+((ExtComp[[#This Row],[est. Year]]-YEAR(TODAY()))*$J$2))</f>
        <v>0</v>
      </c>
      <c r="K158" s="1">
        <f>SUM(INDEX(ExtComp['# to Replace],1):ExtComp[[#This Row],['# to Replace]])</f>
        <v>0</v>
      </c>
      <c r="L158" s="1">
        <f>ROUNDDOWN(ExtComp[[#This Row],[Count]]/50,0)+$L$1</f>
        <v>2020</v>
      </c>
      <c r="M158" s="81">
        <f t="shared" ca="1" si="2"/>
        <v>0</v>
      </c>
      <c r="N158" s="81" t="str">
        <f>IFERROR(VLOOKUP(ExtComp[[#This Row],[DEVELOPMENT]],Data[],22,FALSE),"")</f>
        <v/>
      </c>
      <c r="O158" s="67" t="str">
        <f>IFERROR(VLOOKUP(ExtComp[[#This Row],[DEVELOPMENT]],Data[],23,FALSE),"")</f>
        <v/>
      </c>
    </row>
    <row r="159" spans="1:15" x14ac:dyDescent="0.25">
      <c r="A159" s="13" t="s">
        <v>266</v>
      </c>
      <c r="B159" s="9" t="str">
        <f>VLOOKUP(A159,Data[],2,FALSE)</f>
        <v>BROOKLYN</v>
      </c>
      <c r="C159" s="9" t="s">
        <v>68</v>
      </c>
      <c r="D159" s="66">
        <f>VLOOKUP(ExtComp[[#This Row],[DEVELOPMENT]],Data[],8,FALSE)</f>
        <v>0</v>
      </c>
      <c r="E159" s="66">
        <f>VLOOKUP(ExtComp[[#This Row],[DEVELOPMENT]],Data[],9,FALSE)</f>
        <v>0</v>
      </c>
      <c r="F159" s="66" t="str">
        <f>IFERROR(VLOOKUP(ExtComp[[#This Row],[DEVELOPMENT]],Data[],4,FALSE),"")</f>
        <v/>
      </c>
      <c r="G159" s="66" t="str">
        <f>IF(ExtComp[[#This Row],[RAD/PACT]]="","",IF(ExtComp[[#This Row],[RAD/PACT]]&lt;=2025,"Yes",""))</f>
        <v/>
      </c>
      <c r="H159" s="67" t="str">
        <f ca="1">IF(VLOOKUP(ExtComp[[#This Row],[DEVELOPMENT]],Data[],11,FALSE)=0,"",DATEDIF(VLOOKUP(ExtComp[[#This Row],[DEVELOPMENT]],Data[],13,FALSE),TODAY(),"Y"))</f>
        <v/>
      </c>
      <c r="I159" s="67">
        <f>IF(ExtComp[[#This Row],[RAD/PACT]]="",VLOOKUP(ExtComp[[#This Row],[DEVELOPMENT]],Data[],11,FALSE),IF(ExtComp[[#This Row],[RAD/PACT by 2025]]="yes",0,VLOOKUP(ExtComp[[#This Row],[DEVELOPMENT]],Data[],11,FALSE)))</f>
        <v>0</v>
      </c>
      <c r="J159" s="63">
        <f ca="1">(ExtComp[[#This Row],['# to Replace]]*'Unit Costs'!$B$6)*(1+((ExtComp[[#This Row],[est. Year]]-YEAR(TODAY()))*$J$2))</f>
        <v>0</v>
      </c>
      <c r="K159" s="67">
        <f>SUM(INDEX(ExtComp['# to Replace],1):ExtComp[[#This Row],['# to Replace]])</f>
        <v>0</v>
      </c>
      <c r="L159" s="67">
        <f>ROUNDDOWN(ExtComp[[#This Row],[Count]]/50,0)+$L$1</f>
        <v>2020</v>
      </c>
      <c r="M159" s="81">
        <f t="shared" ca="1" si="2"/>
        <v>0</v>
      </c>
      <c r="N159" s="81" t="str">
        <f>IFERROR(VLOOKUP(ExtComp[[#This Row],[DEVELOPMENT]],Data[],22,FALSE),"")</f>
        <v/>
      </c>
      <c r="O159" s="88" t="str">
        <f>IFERROR(VLOOKUP(ExtComp[[#This Row],[DEVELOPMENT]],Data[],23,FALSE),"")</f>
        <v/>
      </c>
    </row>
    <row r="160" spans="1:15" x14ac:dyDescent="0.25">
      <c r="A160" s="13" t="s">
        <v>265</v>
      </c>
      <c r="B160" s="9" t="str">
        <f>VLOOKUP(A160,Data[],2,FALSE)</f>
        <v>BRONX</v>
      </c>
      <c r="C160" s="9" t="s">
        <v>68</v>
      </c>
      <c r="D160" s="66">
        <f>VLOOKUP(ExtComp[[#This Row],[DEVELOPMENT]],Data[],8,FALSE)</f>
        <v>0</v>
      </c>
      <c r="E160" s="66">
        <f>VLOOKUP(ExtComp[[#This Row],[DEVELOPMENT]],Data[],9,FALSE)</f>
        <v>0</v>
      </c>
      <c r="F160" s="66" t="str">
        <f>IFERROR(VLOOKUP(ExtComp[[#This Row],[DEVELOPMENT]],Data[],4,FALSE),"")</f>
        <v/>
      </c>
      <c r="G160" s="66" t="str">
        <f>IF(ExtComp[[#This Row],[RAD/PACT]]="","",IF(ExtComp[[#This Row],[RAD/PACT]]&lt;=2025,"Yes",""))</f>
        <v/>
      </c>
      <c r="H160" s="67" t="str">
        <f ca="1">IF(VLOOKUP(ExtComp[[#This Row],[DEVELOPMENT]],Data[],11,FALSE)=0,"",DATEDIF(VLOOKUP(ExtComp[[#This Row],[DEVELOPMENT]],Data[],13,FALSE),TODAY(),"Y"))</f>
        <v/>
      </c>
      <c r="I160" s="67">
        <f>IF(ExtComp[[#This Row],[RAD/PACT]]="",VLOOKUP(ExtComp[[#This Row],[DEVELOPMENT]],Data[],11,FALSE),IF(ExtComp[[#This Row],[RAD/PACT by 2025]]="yes",0,VLOOKUP(ExtComp[[#This Row],[DEVELOPMENT]],Data[],11,FALSE)))</f>
        <v>0</v>
      </c>
      <c r="J160" s="63">
        <f ca="1">(ExtComp[[#This Row],['# to Replace]]*'Unit Costs'!$B$6)*(1+((ExtComp[[#This Row],[est. Year]]-YEAR(TODAY()))*$J$2))</f>
        <v>0</v>
      </c>
      <c r="K160" s="67">
        <f>SUM(INDEX(ExtComp['# to Replace],1):ExtComp[[#This Row],['# to Replace]])</f>
        <v>0</v>
      </c>
      <c r="L160" s="67">
        <f>ROUNDDOWN(ExtComp[[#This Row],[Count]]/50,0)+$L$1</f>
        <v>2020</v>
      </c>
      <c r="M160" s="81">
        <f t="shared" ca="1" si="2"/>
        <v>0</v>
      </c>
      <c r="N160" s="81" t="str">
        <f>IFERROR(VLOOKUP(ExtComp[[#This Row],[DEVELOPMENT]],Data[],22,FALSE),"")</f>
        <v/>
      </c>
      <c r="O160" s="88" t="str">
        <f>IFERROR(VLOOKUP(ExtComp[[#This Row],[DEVELOPMENT]],Data[],23,FALSE),"")</f>
        <v/>
      </c>
    </row>
    <row r="161" spans="1:15" x14ac:dyDescent="0.25">
      <c r="A161" s="13" t="s">
        <v>264</v>
      </c>
      <c r="B161" s="9" t="str">
        <f>VLOOKUP(A161,Data[],2,FALSE)</f>
        <v>BROOKLYN</v>
      </c>
      <c r="C161" s="9" t="s">
        <v>68</v>
      </c>
      <c r="D161" s="66">
        <f>VLOOKUP(ExtComp[[#This Row],[DEVELOPMENT]],Data[],8,FALSE)</f>
        <v>0</v>
      </c>
      <c r="E161" s="66">
        <f>VLOOKUP(ExtComp[[#This Row],[DEVELOPMENT]],Data[],9,FALSE)</f>
        <v>0</v>
      </c>
      <c r="F161" s="66">
        <f>IFERROR(VLOOKUP(ExtComp[[#This Row],[DEVELOPMENT]],Data[],4,FALSE),"")</f>
        <v>2026</v>
      </c>
      <c r="G161" s="66" t="str">
        <f>IF(ExtComp[[#This Row],[RAD/PACT]]="","",IF(ExtComp[[#This Row],[RAD/PACT]]&lt;=2025,"Yes",""))</f>
        <v/>
      </c>
      <c r="H161" s="67" t="str">
        <f ca="1">IF(VLOOKUP(ExtComp[[#This Row],[DEVELOPMENT]],Data[],11,FALSE)=0,"",DATEDIF(VLOOKUP(ExtComp[[#This Row],[DEVELOPMENT]],Data[],13,FALSE),TODAY(),"Y"))</f>
        <v/>
      </c>
      <c r="I161" s="67">
        <f>IF(ExtComp[[#This Row],[RAD/PACT]]="",VLOOKUP(ExtComp[[#This Row],[DEVELOPMENT]],Data[],11,FALSE),IF(ExtComp[[#This Row],[RAD/PACT by 2025]]="yes",0,VLOOKUP(ExtComp[[#This Row],[DEVELOPMENT]],Data[],11,FALSE)))</f>
        <v>0</v>
      </c>
      <c r="J161" s="63">
        <f ca="1">(ExtComp[[#This Row],['# to Replace]]*'Unit Costs'!$B$6)*(1+((ExtComp[[#This Row],[est. Year]]-YEAR(TODAY()))*$J$2))</f>
        <v>0</v>
      </c>
      <c r="K161" s="67">
        <f>SUM(INDEX(ExtComp['# to Replace],1):ExtComp[[#This Row],['# to Replace]])</f>
        <v>0</v>
      </c>
      <c r="L161" s="67">
        <f>ROUNDDOWN(ExtComp[[#This Row],[Count]]/50,0)+$L$1</f>
        <v>2020</v>
      </c>
      <c r="M161" s="81">
        <f t="shared" ca="1" si="2"/>
        <v>0</v>
      </c>
      <c r="N161" s="81" t="str">
        <f>IFERROR(VLOOKUP(ExtComp[[#This Row],[DEVELOPMENT]],Data[],22,FALSE),"")</f>
        <v/>
      </c>
      <c r="O161" s="88" t="str">
        <f>IFERROR(VLOOKUP(ExtComp[[#This Row],[DEVELOPMENT]],Data[],23,FALSE),"")</f>
        <v/>
      </c>
    </row>
    <row r="162" spans="1:15" x14ac:dyDescent="0.25">
      <c r="A162" s="13" t="s">
        <v>263</v>
      </c>
      <c r="B162" s="9" t="str">
        <f>VLOOKUP(A162,Data[],2,FALSE)</f>
        <v>BROOKLYN</v>
      </c>
      <c r="C162" s="9"/>
      <c r="D162" s="66">
        <f>VLOOKUP(ExtComp[[#This Row],[DEVELOPMENT]],Data[],8,FALSE)</f>
        <v>0</v>
      </c>
      <c r="E162" s="66">
        <f>VLOOKUP(ExtComp[[#This Row],[DEVELOPMENT]],Data[],9,FALSE)</f>
        <v>0</v>
      </c>
      <c r="F162" s="66">
        <f>IFERROR(VLOOKUP(ExtComp[[#This Row],[DEVELOPMENT]],Data[],4,FALSE),"")</f>
        <v>2020</v>
      </c>
      <c r="G162" s="66" t="str">
        <f>IF(ExtComp[[#This Row],[RAD/PACT]]="","",IF(ExtComp[[#This Row],[RAD/PACT]]&lt;=2025,"Yes",""))</f>
        <v>Yes</v>
      </c>
      <c r="H162" s="67" t="str">
        <f ca="1">IF(VLOOKUP(ExtComp[[#This Row],[DEVELOPMENT]],Data[],11,FALSE)=0,"",DATEDIF(VLOOKUP(ExtComp[[#This Row],[DEVELOPMENT]],Data[],13,FALSE),TODAY(),"Y"))</f>
        <v/>
      </c>
      <c r="I162" s="67">
        <f>IF(ExtComp[[#This Row],[RAD/PACT]]="",VLOOKUP(ExtComp[[#This Row],[DEVELOPMENT]],Data[],11,FALSE),IF(ExtComp[[#This Row],[RAD/PACT by 2025]]="yes",0,VLOOKUP(ExtComp[[#This Row],[DEVELOPMENT]],Data[],11,FALSE)))</f>
        <v>0</v>
      </c>
      <c r="J162" s="63">
        <f ca="1">(ExtComp[[#This Row],['# to Replace]]*'Unit Costs'!$B$6)*(1+((ExtComp[[#This Row],[est. Year]]-YEAR(TODAY()))*$J$2))</f>
        <v>0</v>
      </c>
      <c r="K162" s="67">
        <f>SUM(INDEX(ExtComp['# to Replace],1):ExtComp[[#This Row],['# to Replace]])</f>
        <v>0</v>
      </c>
      <c r="L162" s="67">
        <f>ROUNDDOWN(ExtComp[[#This Row],[Count]]/50,0)+$L$1</f>
        <v>2020</v>
      </c>
      <c r="M162" s="81">
        <f t="shared" ca="1" si="2"/>
        <v>0</v>
      </c>
      <c r="N162" s="81" t="str">
        <f>IFERROR(VLOOKUP(ExtComp[[#This Row],[DEVELOPMENT]],Data[],22,FALSE),"")</f>
        <v/>
      </c>
      <c r="O162" s="88" t="str">
        <f>IFERROR(VLOOKUP(ExtComp[[#This Row],[DEVELOPMENT]],Data[],23,FALSE),"")</f>
        <v/>
      </c>
    </row>
    <row r="163" spans="1:15" x14ac:dyDescent="0.25">
      <c r="A163" s="13" t="s">
        <v>113</v>
      </c>
      <c r="B163" s="1" t="str">
        <f>VLOOKUP(A163,Data[],2,FALSE)</f>
        <v>MANHATTAN</v>
      </c>
      <c r="C163" s="9" t="s">
        <v>68</v>
      </c>
      <c r="D163" s="9" t="str">
        <f>VLOOKUP(ExtComp[[#This Row],[DEVELOPMENT]],Data[],8,FALSE)</f>
        <v>Zone 2</v>
      </c>
      <c r="E163" s="9" t="str">
        <f>VLOOKUP(ExtComp[[#This Row],[DEVELOPMENT]],Data[],9,FALSE)</f>
        <v>$$$$</v>
      </c>
      <c r="F163" s="9" t="str">
        <f>IFERROR(VLOOKUP(ExtComp[[#This Row],[DEVELOPMENT]],Data[],4,FALSE),"")</f>
        <v/>
      </c>
      <c r="G163" s="9" t="str">
        <f>IF(ExtComp[[#This Row],[RAD/PACT]]="","",IF(ExtComp[[#This Row],[RAD/PACT]]&lt;=2025,"Yes",""))</f>
        <v/>
      </c>
      <c r="H163" s="1" t="str">
        <f ca="1">IF(VLOOKUP(ExtComp[[#This Row],[DEVELOPMENT]],Data[],11,FALSE)=0,"",DATEDIF(VLOOKUP(ExtComp[[#This Row],[DEVELOPMENT]],Data[],13,FALSE),TODAY(),"Y"))</f>
        <v/>
      </c>
      <c r="I163" s="1">
        <f>IF(ExtComp[[#This Row],[RAD/PACT]]="",VLOOKUP(ExtComp[[#This Row],[DEVELOPMENT]],Data[],11,FALSE),IF(ExtComp[[#This Row],[RAD/PACT by 2025]]="yes",0,VLOOKUP(ExtComp[[#This Row],[DEVELOPMENT]],Data[],11,FALSE)))</f>
        <v>0</v>
      </c>
      <c r="J163" s="63">
        <f ca="1">(ExtComp[[#This Row],['# to Replace]]*'Unit Costs'!$B$6)*(1+((ExtComp[[#This Row],[est. Year]]-YEAR(TODAY()))*$J$2))</f>
        <v>0</v>
      </c>
      <c r="K163" s="1">
        <f>SUM(INDEX(ExtComp['# to Replace],1):ExtComp[[#This Row],['# to Replace]])</f>
        <v>0</v>
      </c>
      <c r="L163" s="1">
        <f>ROUNDDOWN(ExtComp[[#This Row],[Count]]/50,0)+$L$1</f>
        <v>2020</v>
      </c>
      <c r="M163" s="81">
        <f t="shared" ca="1" si="2"/>
        <v>0</v>
      </c>
      <c r="N163" s="81" t="str">
        <f>IFERROR(VLOOKUP(ExtComp[[#This Row],[DEVELOPMENT]],Data[],22,FALSE),"")</f>
        <v/>
      </c>
      <c r="O163" s="88" t="str">
        <f>IFERROR(VLOOKUP(ExtComp[[#This Row],[DEVELOPMENT]],Data[],23,FALSE),"")</f>
        <v/>
      </c>
    </row>
    <row r="164" spans="1:15" x14ac:dyDescent="0.25">
      <c r="A164" s="13" t="s">
        <v>125</v>
      </c>
      <c r="B164" s="1" t="str">
        <f>VLOOKUP(A164,Data[],2,FALSE)</f>
        <v>MANHATTAN</v>
      </c>
      <c r="C164" s="9" t="s">
        <v>68</v>
      </c>
      <c r="D164" s="9" t="str">
        <f>VLOOKUP(ExtComp[[#This Row],[DEVELOPMENT]],Data[],8,FALSE)</f>
        <v>Zone 2</v>
      </c>
      <c r="E164" s="9" t="str">
        <f>VLOOKUP(ExtComp[[#This Row],[DEVELOPMENT]],Data[],9,FALSE)</f>
        <v>$</v>
      </c>
      <c r="F164" s="9">
        <f>IFERROR(VLOOKUP(ExtComp[[#This Row],[DEVELOPMENT]],Data[],4,FALSE),"")</f>
        <v>2023</v>
      </c>
      <c r="G164" s="9" t="str">
        <f>IF(ExtComp[[#This Row],[RAD/PACT]]="","",IF(ExtComp[[#This Row],[RAD/PACT]]&lt;=2025,"Yes",""))</f>
        <v>Yes</v>
      </c>
      <c r="H164" s="1" t="str">
        <f ca="1">IF(VLOOKUP(ExtComp[[#This Row],[DEVELOPMENT]],Data[],11,FALSE)=0,"",DATEDIF(VLOOKUP(ExtComp[[#This Row],[DEVELOPMENT]],Data[],13,FALSE),TODAY(),"Y"))</f>
        <v/>
      </c>
      <c r="I164" s="1">
        <f>IF(ExtComp[[#This Row],[RAD/PACT]]="",VLOOKUP(ExtComp[[#This Row],[DEVELOPMENT]],Data[],11,FALSE),IF(ExtComp[[#This Row],[RAD/PACT by 2025]]="yes",0,VLOOKUP(ExtComp[[#This Row],[DEVELOPMENT]],Data[],11,FALSE)))</f>
        <v>0</v>
      </c>
      <c r="J164" s="63">
        <f ca="1">(ExtComp[[#This Row],['# to Replace]]*'Unit Costs'!$B$6)*(1+((ExtComp[[#This Row],[est. Year]]-YEAR(TODAY()))*$J$2))</f>
        <v>0</v>
      </c>
      <c r="K164" s="1">
        <f>SUM(INDEX(ExtComp['# to Replace],1):ExtComp[[#This Row],['# to Replace]])</f>
        <v>0</v>
      </c>
      <c r="L164" s="1">
        <f>ROUNDDOWN(ExtComp[[#This Row],[Count]]/50,0)+$L$1</f>
        <v>2020</v>
      </c>
      <c r="M164" s="81">
        <f t="shared" ca="1" si="2"/>
        <v>0</v>
      </c>
      <c r="N164" s="81" t="str">
        <f>IFERROR(VLOOKUP(ExtComp[[#This Row],[DEVELOPMENT]],Data[],22,FALSE),"")</f>
        <v/>
      </c>
      <c r="O164" s="88" t="str">
        <f>IFERROR(VLOOKUP(ExtComp[[#This Row],[DEVELOPMENT]],Data[],23,FALSE),"")</f>
        <v/>
      </c>
    </row>
    <row r="165" spans="1:15" x14ac:dyDescent="0.25">
      <c r="A165" s="13" t="s">
        <v>262</v>
      </c>
      <c r="B165" s="9" t="str">
        <f>VLOOKUP(A165,Data[],2,FALSE)</f>
        <v>BROOKLYN</v>
      </c>
      <c r="C165" s="9"/>
      <c r="D165" s="66">
        <f>VLOOKUP(ExtComp[[#This Row],[DEVELOPMENT]],Data[],8,FALSE)</f>
        <v>0</v>
      </c>
      <c r="E165" s="66">
        <f>VLOOKUP(ExtComp[[#This Row],[DEVELOPMENT]],Data[],9,FALSE)</f>
        <v>0</v>
      </c>
      <c r="F165" s="66">
        <f>IFERROR(VLOOKUP(ExtComp[[#This Row],[DEVELOPMENT]],Data[],4,FALSE),"")</f>
        <v>2021</v>
      </c>
      <c r="G165" s="66" t="str">
        <f>IF(ExtComp[[#This Row],[RAD/PACT]]="","",IF(ExtComp[[#This Row],[RAD/PACT]]&lt;=2025,"Yes",""))</f>
        <v>Yes</v>
      </c>
      <c r="H165" s="67" t="str">
        <f ca="1">IF(VLOOKUP(ExtComp[[#This Row],[DEVELOPMENT]],Data[],11,FALSE)=0,"",DATEDIF(VLOOKUP(ExtComp[[#This Row],[DEVELOPMENT]],Data[],13,FALSE),TODAY(),"Y"))</f>
        <v/>
      </c>
      <c r="I165" s="67">
        <f>IF(ExtComp[[#This Row],[RAD/PACT]]="",VLOOKUP(ExtComp[[#This Row],[DEVELOPMENT]],Data[],11,FALSE),IF(ExtComp[[#This Row],[RAD/PACT by 2025]]="yes",0,VLOOKUP(ExtComp[[#This Row],[DEVELOPMENT]],Data[],11,FALSE)))</f>
        <v>0</v>
      </c>
      <c r="J165" s="63">
        <f ca="1">(ExtComp[[#This Row],['# to Replace]]*'Unit Costs'!$B$6)*(1+((ExtComp[[#This Row],[est. Year]]-YEAR(TODAY()))*$J$2))</f>
        <v>0</v>
      </c>
      <c r="K165" s="67">
        <f>SUM(INDEX(ExtComp['# to Replace],1):ExtComp[[#This Row],['# to Replace]])</f>
        <v>0</v>
      </c>
      <c r="L165" s="67">
        <f>ROUNDDOWN(ExtComp[[#This Row],[Count]]/50,0)+$L$1</f>
        <v>2020</v>
      </c>
      <c r="M165" s="81">
        <f t="shared" ca="1" si="2"/>
        <v>0</v>
      </c>
      <c r="N165" s="81" t="str">
        <f>IFERROR(VLOOKUP(ExtComp[[#This Row],[DEVELOPMENT]],Data[],22,FALSE),"")</f>
        <v/>
      </c>
      <c r="O165" s="88" t="str">
        <f>IFERROR(VLOOKUP(ExtComp[[#This Row],[DEVELOPMENT]],Data[],23,FALSE),"")</f>
        <v/>
      </c>
    </row>
    <row r="166" spans="1:15" x14ac:dyDescent="0.25">
      <c r="A166" s="13" t="s">
        <v>146</v>
      </c>
      <c r="B166" s="9" t="str">
        <f>VLOOKUP(A166,Data[],2,FALSE)</f>
        <v>MANHATTAN</v>
      </c>
      <c r="C166" s="9" t="s">
        <v>68</v>
      </c>
      <c r="D166" s="66">
        <f>VLOOKUP(ExtComp[[#This Row],[DEVELOPMENT]],Data[],8,FALSE)</f>
        <v>0</v>
      </c>
      <c r="E166" s="66">
        <f>VLOOKUP(ExtComp[[#This Row],[DEVELOPMENT]],Data[],9,FALSE)</f>
        <v>0</v>
      </c>
      <c r="F166" s="66" t="str">
        <f>IFERROR(VLOOKUP(ExtComp[[#This Row],[DEVELOPMENT]],Data[],4,FALSE),"")</f>
        <v/>
      </c>
      <c r="G166" s="66" t="str">
        <f>IF(ExtComp[[#This Row],[RAD/PACT]]="","",IF(ExtComp[[#This Row],[RAD/PACT]]&lt;=2025,"Yes",""))</f>
        <v/>
      </c>
      <c r="H166" s="67" t="str">
        <f ca="1">IF(VLOOKUP(ExtComp[[#This Row],[DEVELOPMENT]],Data[],11,FALSE)=0,"",DATEDIF(VLOOKUP(ExtComp[[#This Row],[DEVELOPMENT]],Data[],13,FALSE),TODAY(),"Y"))</f>
        <v/>
      </c>
      <c r="I166" s="67">
        <f>IF(ExtComp[[#This Row],[RAD/PACT]]="",VLOOKUP(ExtComp[[#This Row],[DEVELOPMENT]],Data[],11,FALSE),IF(ExtComp[[#This Row],[RAD/PACT by 2025]]="yes",0,VLOOKUP(ExtComp[[#This Row],[DEVELOPMENT]],Data[],11,FALSE)))</f>
        <v>0</v>
      </c>
      <c r="J166" s="63">
        <f ca="1">(ExtComp[[#This Row],['# to Replace]]*'Unit Costs'!$B$6)*(1+((ExtComp[[#This Row],[est. Year]]-YEAR(TODAY()))*$J$2))</f>
        <v>0</v>
      </c>
      <c r="K166" s="67">
        <f>SUM(INDEX(ExtComp['# to Replace],1):ExtComp[[#This Row],['# to Replace]])</f>
        <v>0</v>
      </c>
      <c r="L166" s="67">
        <f>ROUNDDOWN(ExtComp[[#This Row],[Count]]/50,0)+$L$1</f>
        <v>2020</v>
      </c>
      <c r="M166" s="81">
        <f t="shared" ca="1" si="2"/>
        <v>0</v>
      </c>
      <c r="N166" s="81" t="str">
        <f>IFERROR(VLOOKUP(ExtComp[[#This Row],[DEVELOPMENT]],Data[],22,FALSE),"")</f>
        <v/>
      </c>
      <c r="O166" s="88" t="str">
        <f>IFERROR(VLOOKUP(ExtComp[[#This Row],[DEVELOPMENT]],Data[],23,FALSE),"")</f>
        <v/>
      </c>
    </row>
    <row r="167" spans="1:15" x14ac:dyDescent="0.25">
      <c r="A167" s="13" t="s">
        <v>261</v>
      </c>
      <c r="B167" s="9" t="str">
        <f>VLOOKUP(A167,Data[],2,FALSE)</f>
        <v>QUEENS</v>
      </c>
      <c r="C167" s="9" t="s">
        <v>68</v>
      </c>
      <c r="D167" s="66">
        <f>VLOOKUP(ExtComp[[#This Row],[DEVELOPMENT]],Data[],8,FALSE)</f>
        <v>0</v>
      </c>
      <c r="E167" s="66">
        <f>VLOOKUP(ExtComp[[#This Row],[DEVELOPMENT]],Data[],9,FALSE)</f>
        <v>0</v>
      </c>
      <c r="F167" s="66" t="str">
        <f>IFERROR(VLOOKUP(ExtComp[[#This Row],[DEVELOPMENT]],Data[],4,FALSE),"")</f>
        <v/>
      </c>
      <c r="G167" s="66" t="str">
        <f>IF(ExtComp[[#This Row],[RAD/PACT]]="","",IF(ExtComp[[#This Row],[RAD/PACT]]&lt;=2025,"Yes",""))</f>
        <v/>
      </c>
      <c r="H167" s="67" t="str">
        <f ca="1">IF(VLOOKUP(ExtComp[[#This Row],[DEVELOPMENT]],Data[],11,FALSE)=0,"",DATEDIF(VLOOKUP(ExtComp[[#This Row],[DEVELOPMENT]],Data[],13,FALSE),TODAY(),"Y"))</f>
        <v/>
      </c>
      <c r="I167" s="67">
        <f>IF(ExtComp[[#This Row],[RAD/PACT]]="",VLOOKUP(ExtComp[[#This Row],[DEVELOPMENT]],Data[],11,FALSE),IF(ExtComp[[#This Row],[RAD/PACT by 2025]]="yes",0,VLOOKUP(ExtComp[[#This Row],[DEVELOPMENT]],Data[],11,FALSE)))</f>
        <v>0</v>
      </c>
      <c r="J167" s="63">
        <f ca="1">(ExtComp[[#This Row],['# to Replace]]*'Unit Costs'!$B$6)*(1+((ExtComp[[#This Row],[est. Year]]-YEAR(TODAY()))*$J$2))</f>
        <v>0</v>
      </c>
      <c r="K167" s="67">
        <f>SUM(INDEX(ExtComp['# to Replace],1):ExtComp[[#This Row],['# to Replace]])</f>
        <v>0</v>
      </c>
      <c r="L167" s="67">
        <f>ROUNDDOWN(ExtComp[[#This Row],[Count]]/50,0)+$L$1</f>
        <v>2020</v>
      </c>
      <c r="M167" s="81">
        <f t="shared" ca="1" si="2"/>
        <v>0</v>
      </c>
      <c r="N167" s="81" t="str">
        <f>IFERROR(VLOOKUP(ExtComp[[#This Row],[DEVELOPMENT]],Data[],22,FALSE),"")</f>
        <v/>
      </c>
      <c r="O167" s="88" t="str">
        <f>IFERROR(VLOOKUP(ExtComp[[#This Row],[DEVELOPMENT]],Data[],23,FALSE),"")</f>
        <v/>
      </c>
    </row>
    <row r="168" spans="1:15" x14ac:dyDescent="0.25">
      <c r="A168" s="13" t="s">
        <v>382</v>
      </c>
      <c r="B168" s="9" t="str">
        <f>VLOOKUP(A168,Data[],2,FALSE)</f>
        <v>MANHATTAN</v>
      </c>
      <c r="C168" s="9" t="s">
        <v>68</v>
      </c>
      <c r="D168" s="66">
        <f>VLOOKUP(ExtComp[[#This Row],[DEVELOPMENT]],Data[],8,FALSE)</f>
        <v>0</v>
      </c>
      <c r="E168" s="66">
        <f>VLOOKUP(ExtComp[[#This Row],[DEVELOPMENT]],Data[],9,FALSE)</f>
        <v>0</v>
      </c>
      <c r="F168" s="66" t="str">
        <f>IFERROR(VLOOKUP(ExtComp[[#This Row],[DEVELOPMENT]],Data[],4,FALSE),"")</f>
        <v/>
      </c>
      <c r="G168" s="66" t="str">
        <f>IF(ExtComp[[#This Row],[RAD/PACT]]="","",IF(ExtComp[[#This Row],[RAD/PACT]]&lt;=2025,"Yes",""))</f>
        <v/>
      </c>
      <c r="H168" s="67" t="str">
        <f ca="1">IF(VLOOKUP(ExtComp[[#This Row],[DEVELOPMENT]],Data[],11,FALSE)=0,"",DATEDIF(VLOOKUP(ExtComp[[#This Row],[DEVELOPMENT]],Data[],13,FALSE),TODAY(),"Y"))</f>
        <v/>
      </c>
      <c r="I168" s="67">
        <f>IF(ExtComp[[#This Row],[RAD/PACT]]="",VLOOKUP(ExtComp[[#This Row],[DEVELOPMENT]],Data[],11,FALSE),IF(ExtComp[[#This Row],[RAD/PACT by 2025]]="yes",0,VLOOKUP(ExtComp[[#This Row],[DEVELOPMENT]],Data[],11,FALSE)))</f>
        <v>0</v>
      </c>
      <c r="J168" s="63">
        <f ca="1">(ExtComp[[#This Row],['# to Replace]]*'Unit Costs'!$B$6)*(1+((ExtComp[[#This Row],[est. Year]]-YEAR(TODAY()))*$J$2))</f>
        <v>0</v>
      </c>
      <c r="K168" s="67">
        <f>SUM(INDEX(ExtComp['# to Replace],1):ExtComp[[#This Row],['# to Replace]])</f>
        <v>0</v>
      </c>
      <c r="L168" s="67">
        <f>ROUNDDOWN(ExtComp[[#This Row],[Count]]/50,0)+$L$1</f>
        <v>2020</v>
      </c>
      <c r="M168" s="81">
        <f t="shared" ca="1" si="2"/>
        <v>0</v>
      </c>
      <c r="N168" s="81" t="str">
        <f>IFERROR(VLOOKUP(ExtComp[[#This Row],[DEVELOPMENT]],Data[],22,FALSE),"")</f>
        <v/>
      </c>
      <c r="O168" s="88" t="str">
        <f>IFERROR(VLOOKUP(ExtComp[[#This Row],[DEVELOPMENT]],Data[],23,FALSE),"")</f>
        <v/>
      </c>
    </row>
    <row r="169" spans="1:15" x14ac:dyDescent="0.25">
      <c r="A169" s="13" t="s">
        <v>260</v>
      </c>
      <c r="B169" s="9" t="str">
        <f>VLOOKUP(A169,Data[],2,FALSE)</f>
        <v>QUEENS</v>
      </c>
      <c r="C169" s="9" t="s">
        <v>68</v>
      </c>
      <c r="D169" s="66">
        <f>VLOOKUP(ExtComp[[#This Row],[DEVELOPMENT]],Data[],8,FALSE)</f>
        <v>0</v>
      </c>
      <c r="E169" s="66">
        <f>VLOOKUP(ExtComp[[#This Row],[DEVELOPMENT]],Data[],9,FALSE)</f>
        <v>0</v>
      </c>
      <c r="F169" s="66" t="str">
        <f>IFERROR(VLOOKUP(ExtComp[[#This Row],[DEVELOPMENT]],Data[],4,FALSE),"")</f>
        <v/>
      </c>
      <c r="G169" s="66" t="str">
        <f>IF(ExtComp[[#This Row],[RAD/PACT]]="","",IF(ExtComp[[#This Row],[RAD/PACT]]&lt;=2025,"Yes",""))</f>
        <v/>
      </c>
      <c r="H169" s="67" t="str">
        <f ca="1">IF(VLOOKUP(ExtComp[[#This Row],[DEVELOPMENT]],Data[],11,FALSE)=0,"",DATEDIF(VLOOKUP(ExtComp[[#This Row],[DEVELOPMENT]],Data[],13,FALSE),TODAY(),"Y"))</f>
        <v/>
      </c>
      <c r="I169" s="67">
        <f>IF(ExtComp[[#This Row],[RAD/PACT]]="",VLOOKUP(ExtComp[[#This Row],[DEVELOPMENT]],Data[],11,FALSE),IF(ExtComp[[#This Row],[RAD/PACT by 2025]]="yes",0,VLOOKUP(ExtComp[[#This Row],[DEVELOPMENT]],Data[],11,FALSE)))</f>
        <v>0</v>
      </c>
      <c r="J169" s="63">
        <f ca="1">(ExtComp[[#This Row],['# to Replace]]*'Unit Costs'!$B$6)*(1+((ExtComp[[#This Row],[est. Year]]-YEAR(TODAY()))*$J$2))</f>
        <v>0</v>
      </c>
      <c r="K169" s="67">
        <f>SUM(INDEX(ExtComp['# to Replace],1):ExtComp[[#This Row],['# to Replace]])</f>
        <v>0</v>
      </c>
      <c r="L169" s="67">
        <f>ROUNDDOWN(ExtComp[[#This Row],[Count]]/50,0)+$L$1</f>
        <v>2020</v>
      </c>
      <c r="M169" s="81">
        <f t="shared" ca="1" si="2"/>
        <v>0</v>
      </c>
      <c r="N169" s="81" t="str">
        <f>IFERROR(VLOOKUP(ExtComp[[#This Row],[DEVELOPMENT]],Data[],22,FALSE),"")</f>
        <v/>
      </c>
      <c r="O169" s="88" t="str">
        <f>IFERROR(VLOOKUP(ExtComp[[#This Row],[DEVELOPMENT]],Data[],23,FALSE),"")</f>
        <v/>
      </c>
    </row>
    <row r="170" spans="1:15" x14ac:dyDescent="0.25">
      <c r="A170" s="82" t="s">
        <v>37</v>
      </c>
      <c r="B170" s="1" t="str">
        <f>VLOOKUP(A170,Data[],2,FALSE)</f>
        <v>BROOKLYN</v>
      </c>
      <c r="C170" s="9" t="s">
        <v>68</v>
      </c>
      <c r="D170" s="9" t="str">
        <f>VLOOKUP(ExtComp[[#This Row],[DEVELOPMENT]],Data[],8,FALSE)</f>
        <v>Zone 1</v>
      </c>
      <c r="E170" s="9" t="str">
        <f>VLOOKUP(ExtComp[[#This Row],[DEVELOPMENT]],Data[],9,FALSE)</f>
        <v>$$$</v>
      </c>
      <c r="F170" s="9" t="str">
        <f>IFERROR(VLOOKUP(ExtComp[[#This Row],[DEVELOPMENT]],Data[],4,FALSE),"")</f>
        <v/>
      </c>
      <c r="G170" s="9" t="str">
        <f>IF(ExtComp[[#This Row],[RAD/PACT]]="","",IF(ExtComp[[#This Row],[RAD/PACT]]&lt;=2025,"Yes",""))</f>
        <v/>
      </c>
      <c r="H170" s="1" t="str">
        <f ca="1">IF(VLOOKUP(ExtComp[[#This Row],[DEVELOPMENT]],Data[],11,FALSE)=0,"",DATEDIF(VLOOKUP(ExtComp[[#This Row],[DEVELOPMENT]],Data[],13,FALSE),TODAY(),"Y"))</f>
        <v/>
      </c>
      <c r="I170" s="1">
        <f>IF(ExtComp[[#This Row],[RAD/PACT]]="",VLOOKUP(ExtComp[[#This Row],[DEVELOPMENT]],Data[],11,FALSE),IF(ExtComp[[#This Row],[RAD/PACT by 2025]]="yes",0,VLOOKUP(ExtComp[[#This Row],[DEVELOPMENT]],Data[],11,FALSE)))</f>
        <v>0</v>
      </c>
      <c r="J170" s="63">
        <f ca="1">(ExtComp[[#This Row],['# to Replace]]*'Unit Costs'!$B$6)*(1+((ExtComp[[#This Row],[est. Year]]-YEAR(TODAY()))*$J$2))</f>
        <v>0</v>
      </c>
      <c r="K170" s="1">
        <f>SUM(INDEX(ExtComp['# to Replace],1):ExtComp[[#This Row],['# to Replace]])</f>
        <v>0</v>
      </c>
      <c r="L170" s="1">
        <f>ROUNDDOWN(ExtComp[[#This Row],[Count]]/50,0)+$L$1</f>
        <v>2020</v>
      </c>
      <c r="M170" s="81">
        <f t="shared" ca="1" si="2"/>
        <v>0</v>
      </c>
      <c r="N170" s="81" t="str">
        <f>IFERROR(VLOOKUP(ExtComp[[#This Row],[DEVELOPMENT]],Data[],22,FALSE),"")</f>
        <v/>
      </c>
      <c r="O170" s="88" t="str">
        <f>IFERROR(VLOOKUP(ExtComp[[#This Row],[DEVELOPMENT]],Data[],23,FALSE),"")</f>
        <v/>
      </c>
    </row>
    <row r="171" spans="1:15" x14ac:dyDescent="0.25">
      <c r="A171" s="82" t="s">
        <v>103</v>
      </c>
      <c r="B171" s="1" t="str">
        <f>VLOOKUP(A171,Data[],2,FALSE)</f>
        <v>MANHATTAN</v>
      </c>
      <c r="C171" s="9" t="s">
        <v>68</v>
      </c>
      <c r="D171" s="9" t="str">
        <f>VLOOKUP(ExtComp[[#This Row],[DEVELOPMENT]],Data[],8,FALSE)</f>
        <v>Zone 1</v>
      </c>
      <c r="E171" s="9" t="str">
        <f>VLOOKUP(ExtComp[[#This Row],[DEVELOPMENT]],Data[],9,FALSE)</f>
        <v>$</v>
      </c>
      <c r="F171" s="9" t="str">
        <f>IFERROR(VLOOKUP(ExtComp[[#This Row],[DEVELOPMENT]],Data[],4,FALSE),"")</f>
        <v/>
      </c>
      <c r="G171" s="9" t="str">
        <f>IF(ExtComp[[#This Row],[RAD/PACT]]="","",IF(ExtComp[[#This Row],[RAD/PACT]]&lt;=2025,"Yes",""))</f>
        <v/>
      </c>
      <c r="H171" s="1" t="str">
        <f ca="1">IF(VLOOKUP(ExtComp[[#This Row],[DEVELOPMENT]],Data[],11,FALSE)=0,"",DATEDIF(VLOOKUP(ExtComp[[#This Row],[DEVELOPMENT]],Data[],13,FALSE),TODAY(),"Y"))</f>
        <v/>
      </c>
      <c r="I171" s="1">
        <f>IF(ExtComp[[#This Row],[RAD/PACT]]="",VLOOKUP(ExtComp[[#This Row],[DEVELOPMENT]],Data[],11,FALSE),IF(ExtComp[[#This Row],[RAD/PACT by 2025]]="yes",0,VLOOKUP(ExtComp[[#This Row],[DEVELOPMENT]],Data[],11,FALSE)))</f>
        <v>0</v>
      </c>
      <c r="J171" s="63">
        <f ca="1">(ExtComp[[#This Row],['# to Replace]]*'Unit Costs'!$B$6)*(1+((ExtComp[[#This Row],[est. Year]]-YEAR(TODAY()))*$J$2))</f>
        <v>0</v>
      </c>
      <c r="K171" s="1">
        <f>SUM(INDEX(ExtComp['# to Replace],1):ExtComp[[#This Row],['# to Replace]])</f>
        <v>0</v>
      </c>
      <c r="L171" s="1">
        <f>ROUNDDOWN(ExtComp[[#This Row],[Count]]/50,0)+$L$1</f>
        <v>2020</v>
      </c>
      <c r="M171" s="81">
        <f t="shared" ca="1" si="2"/>
        <v>0</v>
      </c>
      <c r="N171" s="81" t="str">
        <f>IFERROR(VLOOKUP(ExtComp[[#This Row],[DEVELOPMENT]],Data[],22,FALSE),"")</f>
        <v/>
      </c>
      <c r="O171" s="67" t="str">
        <f>IFERROR(VLOOKUP(ExtComp[[#This Row],[DEVELOPMENT]],Data[],23,FALSE),"")</f>
        <v/>
      </c>
    </row>
    <row r="172" spans="1:15" x14ac:dyDescent="0.25">
      <c r="A172" s="13" t="s">
        <v>36</v>
      </c>
      <c r="B172" s="1" t="str">
        <f>VLOOKUP(A172,Data[],2,FALSE)</f>
        <v>MANHATTAN</v>
      </c>
      <c r="C172" s="9" t="s">
        <v>68</v>
      </c>
      <c r="D172" s="9" t="str">
        <f>VLOOKUP(ExtComp[[#This Row],[DEVELOPMENT]],Data[],8,FALSE)</f>
        <v>Zone 1</v>
      </c>
      <c r="E172" s="9" t="str">
        <f>VLOOKUP(ExtComp[[#This Row],[DEVELOPMENT]],Data[],9,FALSE)</f>
        <v>$$</v>
      </c>
      <c r="F172" s="9" t="str">
        <f>IFERROR(VLOOKUP(ExtComp[[#This Row],[DEVELOPMENT]],Data[],4,FALSE),"")</f>
        <v/>
      </c>
      <c r="G172" s="9" t="str">
        <f>IF(ExtComp[[#This Row],[RAD/PACT]]="","",IF(ExtComp[[#This Row],[RAD/PACT]]&lt;=2025,"Yes",""))</f>
        <v/>
      </c>
      <c r="H172" s="1" t="str">
        <f ca="1">IF(VLOOKUP(ExtComp[[#This Row],[DEVELOPMENT]],Data[],11,FALSE)=0,"",DATEDIF(VLOOKUP(ExtComp[[#This Row],[DEVELOPMENT]],Data[],13,FALSE),TODAY(),"Y"))</f>
        <v/>
      </c>
      <c r="I172" s="1">
        <f>IF(ExtComp[[#This Row],[RAD/PACT]]="",VLOOKUP(ExtComp[[#This Row],[DEVELOPMENT]],Data[],11,FALSE),IF(ExtComp[[#This Row],[RAD/PACT by 2025]]="yes",0,VLOOKUP(ExtComp[[#This Row],[DEVELOPMENT]],Data[],11,FALSE)))</f>
        <v>0</v>
      </c>
      <c r="J172" s="63">
        <f ca="1">(ExtComp[[#This Row],['# to Replace]]*'Unit Costs'!$B$6)*(1+((ExtComp[[#This Row],[est. Year]]-YEAR(TODAY()))*$J$2))</f>
        <v>0</v>
      </c>
      <c r="K172" s="1">
        <f>SUM(INDEX(ExtComp['# to Replace],1):ExtComp[[#This Row],['# to Replace]])</f>
        <v>0</v>
      </c>
      <c r="L172" s="1">
        <f>ROUNDDOWN(ExtComp[[#This Row],[Count]]/50,0)+$L$1</f>
        <v>2020</v>
      </c>
      <c r="M172" s="81">
        <f t="shared" ca="1" si="2"/>
        <v>0</v>
      </c>
      <c r="N172" s="81" t="str">
        <f>IFERROR(VLOOKUP(ExtComp[[#This Row],[DEVELOPMENT]],Data[],22,FALSE),"")</f>
        <v/>
      </c>
      <c r="O172" s="88" t="str">
        <f>IFERROR(VLOOKUP(ExtComp[[#This Row],[DEVELOPMENT]],Data[],23,FALSE),"")</f>
        <v/>
      </c>
    </row>
    <row r="173" spans="1:15" x14ac:dyDescent="0.25">
      <c r="A173" s="13" t="s">
        <v>259</v>
      </c>
      <c r="B173" s="9" t="str">
        <f>VLOOKUP(A173,Data[],2,FALSE)</f>
        <v>BROOKLYN</v>
      </c>
      <c r="C173" s="9" t="s">
        <v>68</v>
      </c>
      <c r="D173" s="66" t="str">
        <f>VLOOKUP(ExtComp[[#This Row],[DEVELOPMENT]],Data[],8,FALSE)</f>
        <v>Zone 4</v>
      </c>
      <c r="E173" s="66">
        <f>VLOOKUP(ExtComp[[#This Row],[DEVELOPMENT]],Data[],9,FALSE)</f>
        <v>0</v>
      </c>
      <c r="F173" s="66" t="str">
        <f>IFERROR(VLOOKUP(ExtComp[[#This Row],[DEVELOPMENT]],Data[],4,FALSE),"")</f>
        <v/>
      </c>
      <c r="G173" s="66" t="str">
        <f>IF(ExtComp[[#This Row],[RAD/PACT]]="","",IF(ExtComp[[#This Row],[RAD/PACT]]&lt;=2025,"Yes",""))</f>
        <v/>
      </c>
      <c r="H173" s="67" t="str">
        <f ca="1">IF(VLOOKUP(ExtComp[[#This Row],[DEVELOPMENT]],Data[],11,FALSE)=0,"",DATEDIF(VLOOKUP(ExtComp[[#This Row],[DEVELOPMENT]],Data[],13,FALSE),TODAY(),"Y"))</f>
        <v/>
      </c>
      <c r="I173" s="67">
        <f>IF(ExtComp[[#This Row],[RAD/PACT]]="",VLOOKUP(ExtComp[[#This Row],[DEVELOPMENT]],Data[],11,FALSE),IF(ExtComp[[#This Row],[RAD/PACT by 2025]]="yes",0,VLOOKUP(ExtComp[[#This Row],[DEVELOPMENT]],Data[],11,FALSE)))</f>
        <v>0</v>
      </c>
      <c r="J173" s="63">
        <f ca="1">(ExtComp[[#This Row],['# to Replace]]*'Unit Costs'!$B$6)*(1+((ExtComp[[#This Row],[est. Year]]-YEAR(TODAY()))*$J$2))</f>
        <v>0</v>
      </c>
      <c r="K173" s="67">
        <f>SUM(INDEX(ExtComp['# to Replace],1):ExtComp[[#This Row],['# to Replace]])</f>
        <v>0</v>
      </c>
      <c r="L173" s="67">
        <f>ROUNDDOWN(ExtComp[[#This Row],[Count]]/50,0)+$L$1</f>
        <v>2020</v>
      </c>
      <c r="M173" s="81">
        <f t="shared" ca="1" si="2"/>
        <v>0</v>
      </c>
      <c r="N173" s="81" t="str">
        <f>IFERROR(VLOOKUP(ExtComp[[#This Row],[DEVELOPMENT]],Data[],22,FALSE),"")</f>
        <v/>
      </c>
      <c r="O173" s="88" t="str">
        <f>IFERROR(VLOOKUP(ExtComp[[#This Row],[DEVELOPMENT]],Data[],23,FALSE),"")</f>
        <v/>
      </c>
    </row>
    <row r="174" spans="1:15" x14ac:dyDescent="0.25">
      <c r="A174" s="13" t="s">
        <v>84</v>
      </c>
      <c r="B174" s="1" t="str">
        <f>VLOOKUP(A174,Data[],2,FALSE)</f>
        <v>BROOKLYN</v>
      </c>
      <c r="C174" s="9" t="s">
        <v>68</v>
      </c>
      <c r="D174" s="9" t="str">
        <f>VLOOKUP(ExtComp[[#This Row],[DEVELOPMENT]],Data[],8,FALSE)</f>
        <v>Zone 3</v>
      </c>
      <c r="E174" s="9" t="str">
        <f>VLOOKUP(ExtComp[[#This Row],[DEVELOPMENT]],Data[],9,FALSE)</f>
        <v>$</v>
      </c>
      <c r="F174" s="9" t="str">
        <f>IFERROR(VLOOKUP(ExtComp[[#This Row],[DEVELOPMENT]],Data[],4,FALSE),"")</f>
        <v/>
      </c>
      <c r="G174" s="9" t="str">
        <f>IF(ExtComp[[#This Row],[RAD/PACT]]="","",IF(ExtComp[[#This Row],[RAD/PACT]]&lt;=2025,"Yes",""))</f>
        <v/>
      </c>
      <c r="H174" s="1" t="str">
        <f ca="1">IF(VLOOKUP(ExtComp[[#This Row],[DEVELOPMENT]],Data[],11,FALSE)=0,"",DATEDIF(VLOOKUP(ExtComp[[#This Row],[DEVELOPMENT]],Data[],13,FALSE),TODAY(),"Y"))</f>
        <v/>
      </c>
      <c r="I174" s="1">
        <f>IF(ExtComp[[#This Row],[RAD/PACT]]="",VLOOKUP(ExtComp[[#This Row],[DEVELOPMENT]],Data[],11,FALSE),IF(ExtComp[[#This Row],[RAD/PACT by 2025]]="yes",0,VLOOKUP(ExtComp[[#This Row],[DEVELOPMENT]],Data[],11,FALSE)))</f>
        <v>0</v>
      </c>
      <c r="J174" s="63">
        <f ca="1">(ExtComp[[#This Row],['# to Replace]]*'Unit Costs'!$B$6)*(1+((ExtComp[[#This Row],[est. Year]]-YEAR(TODAY()))*$J$2))</f>
        <v>0</v>
      </c>
      <c r="K174" s="1">
        <f>SUM(INDEX(ExtComp['# to Replace],1):ExtComp[[#This Row],['# to Replace]])</f>
        <v>0</v>
      </c>
      <c r="L174" s="1">
        <f>ROUNDDOWN(ExtComp[[#This Row],[Count]]/50,0)+$L$1</f>
        <v>2020</v>
      </c>
      <c r="M174" s="81">
        <f t="shared" ca="1" si="2"/>
        <v>0</v>
      </c>
      <c r="N174" s="81" t="str">
        <f>IFERROR(VLOOKUP(ExtComp[[#This Row],[DEVELOPMENT]],Data[],22,FALSE),"")</f>
        <v/>
      </c>
      <c r="O174" s="67" t="str">
        <f>IFERROR(VLOOKUP(ExtComp[[#This Row],[DEVELOPMENT]],Data[],23,FALSE),"")</f>
        <v/>
      </c>
    </row>
    <row r="175" spans="1:15" x14ac:dyDescent="0.25">
      <c r="A175" s="13" t="s">
        <v>131</v>
      </c>
      <c r="B175" s="1" t="str">
        <f>VLOOKUP(A175,Data[],2,FALSE)</f>
        <v>MANHATTAN</v>
      </c>
      <c r="C175" s="9" t="s">
        <v>68</v>
      </c>
      <c r="D175" s="9" t="str">
        <f>VLOOKUP(ExtComp[[#This Row],[DEVELOPMENT]],Data[],8,FALSE)</f>
        <v>Zone 2</v>
      </c>
      <c r="E175" s="9" t="str">
        <f>VLOOKUP(ExtComp[[#This Row],[DEVELOPMENT]],Data[],9,FALSE)</f>
        <v>$$$</v>
      </c>
      <c r="F175" s="9" t="str">
        <f>IFERROR(VLOOKUP(ExtComp[[#This Row],[DEVELOPMENT]],Data[],4,FALSE),"")</f>
        <v/>
      </c>
      <c r="G175" s="9" t="str">
        <f>IF(ExtComp[[#This Row],[RAD/PACT]]="","",IF(ExtComp[[#This Row],[RAD/PACT]]&lt;=2025,"Yes",""))</f>
        <v/>
      </c>
      <c r="H175" s="1" t="str">
        <f ca="1">IF(VLOOKUP(ExtComp[[#This Row],[DEVELOPMENT]],Data[],11,FALSE)=0,"",DATEDIF(VLOOKUP(ExtComp[[#This Row],[DEVELOPMENT]],Data[],13,FALSE),TODAY(),"Y"))</f>
        <v/>
      </c>
      <c r="I175" s="1">
        <f>IF(ExtComp[[#This Row],[RAD/PACT]]="",VLOOKUP(ExtComp[[#This Row],[DEVELOPMENT]],Data[],11,FALSE),IF(ExtComp[[#This Row],[RAD/PACT by 2025]]="yes",0,VLOOKUP(ExtComp[[#This Row],[DEVELOPMENT]],Data[],11,FALSE)))</f>
        <v>0</v>
      </c>
      <c r="J175" s="63">
        <f ca="1">(ExtComp[[#This Row],['# to Replace]]*'Unit Costs'!$B$6)*(1+((ExtComp[[#This Row],[est. Year]]-YEAR(TODAY()))*$J$2))</f>
        <v>0</v>
      </c>
      <c r="K175" s="1">
        <f>SUM(INDEX(ExtComp['# to Replace],1):ExtComp[[#This Row],['# to Replace]])</f>
        <v>0</v>
      </c>
      <c r="L175" s="1">
        <f>ROUNDDOWN(ExtComp[[#This Row],[Count]]/50,0)+$L$1</f>
        <v>2020</v>
      </c>
      <c r="M175" s="81">
        <f t="shared" ca="1" si="2"/>
        <v>0</v>
      </c>
      <c r="N175" s="81" t="str">
        <f>IFERROR(VLOOKUP(ExtComp[[#This Row],[DEVELOPMENT]],Data[],22,FALSE),"")</f>
        <v/>
      </c>
      <c r="O175" s="88" t="str">
        <f>IFERROR(VLOOKUP(ExtComp[[#This Row],[DEVELOPMENT]],Data[],23,FALSE),"")</f>
        <v/>
      </c>
    </row>
    <row r="176" spans="1:15" x14ac:dyDescent="0.25">
      <c r="A176" s="13" t="s">
        <v>83</v>
      </c>
      <c r="B176" s="1" t="str">
        <f>VLOOKUP(A176,Data[],2,FALSE)</f>
        <v>MANHATTAN</v>
      </c>
      <c r="C176" s="9" t="s">
        <v>68</v>
      </c>
      <c r="D176" s="9" t="str">
        <f>VLOOKUP(ExtComp[[#This Row],[DEVELOPMENT]],Data[],8,FALSE)</f>
        <v>Zone 2</v>
      </c>
      <c r="E176" s="9" t="str">
        <f>VLOOKUP(ExtComp[[#This Row],[DEVELOPMENT]],Data[],9,FALSE)</f>
        <v>$$$</v>
      </c>
      <c r="F176" s="9">
        <f>IFERROR(VLOOKUP(ExtComp[[#This Row],[DEVELOPMENT]],Data[],4,FALSE),"")</f>
        <v>2028</v>
      </c>
      <c r="G176" s="9" t="str">
        <f>IF(ExtComp[[#This Row],[RAD/PACT]]="","",IF(ExtComp[[#This Row],[RAD/PACT]]&lt;=2025,"Yes",""))</f>
        <v/>
      </c>
      <c r="H176" s="1" t="str">
        <f ca="1">IF(VLOOKUP(ExtComp[[#This Row],[DEVELOPMENT]],Data[],11,FALSE)=0,"",DATEDIF(VLOOKUP(ExtComp[[#This Row],[DEVELOPMENT]],Data[],13,FALSE),TODAY(),"Y"))</f>
        <v/>
      </c>
      <c r="I176" s="1">
        <f>IF(ExtComp[[#This Row],[RAD/PACT]]="",VLOOKUP(ExtComp[[#This Row],[DEVELOPMENT]],Data[],11,FALSE),IF(ExtComp[[#This Row],[RAD/PACT by 2025]]="yes",0,VLOOKUP(ExtComp[[#This Row],[DEVELOPMENT]],Data[],11,FALSE)))</f>
        <v>0</v>
      </c>
      <c r="J176" s="63">
        <f ca="1">(ExtComp[[#This Row],['# to Replace]]*'Unit Costs'!$B$6)*(1+((ExtComp[[#This Row],[est. Year]]-YEAR(TODAY()))*$J$2))</f>
        <v>0</v>
      </c>
      <c r="K176" s="1">
        <f>SUM(INDEX(ExtComp['# to Replace],1):ExtComp[[#This Row],['# to Replace]])</f>
        <v>0</v>
      </c>
      <c r="L176" s="1">
        <f>ROUNDDOWN(ExtComp[[#This Row],[Count]]/50,0)+$L$1</f>
        <v>2020</v>
      </c>
      <c r="M176" s="81">
        <f t="shared" ca="1" si="2"/>
        <v>0</v>
      </c>
      <c r="N176" s="81" t="str">
        <f>IFERROR(VLOOKUP(ExtComp[[#This Row],[DEVELOPMENT]],Data[],22,FALSE),"")</f>
        <v/>
      </c>
      <c r="O176" s="88" t="str">
        <f>IFERROR(VLOOKUP(ExtComp[[#This Row],[DEVELOPMENT]],Data[],23,FALSE),"")</f>
        <v/>
      </c>
    </row>
    <row r="177" spans="1:15" x14ac:dyDescent="0.25">
      <c r="A177" s="13" t="s">
        <v>112</v>
      </c>
      <c r="B177" s="1" t="str">
        <f>VLOOKUP(A177,Data[],2,FALSE)</f>
        <v>MANHATTAN</v>
      </c>
      <c r="C177" s="9" t="s">
        <v>68</v>
      </c>
      <c r="D177" s="9" t="str">
        <f>VLOOKUP(ExtComp[[#This Row],[DEVELOPMENT]],Data[],8,FALSE)</f>
        <v>Zone 2</v>
      </c>
      <c r="E177" s="9" t="str">
        <f>VLOOKUP(ExtComp[[#This Row],[DEVELOPMENT]],Data[],9,FALSE)</f>
        <v>$$</v>
      </c>
      <c r="F177" s="9">
        <f>IFERROR(VLOOKUP(ExtComp[[#This Row],[DEVELOPMENT]],Data[],4,FALSE),"")</f>
        <v>2026</v>
      </c>
      <c r="G177" s="9" t="str">
        <f>IF(ExtComp[[#This Row],[RAD/PACT]]="","",IF(ExtComp[[#This Row],[RAD/PACT]]&lt;=2025,"Yes",""))</f>
        <v/>
      </c>
      <c r="H177" s="1" t="str">
        <f ca="1">IF(VLOOKUP(ExtComp[[#This Row],[DEVELOPMENT]],Data[],11,FALSE)=0,"",DATEDIF(VLOOKUP(ExtComp[[#This Row],[DEVELOPMENT]],Data[],13,FALSE),TODAY(),"Y"))</f>
        <v/>
      </c>
      <c r="I177" s="1">
        <f>IF(ExtComp[[#This Row],[RAD/PACT]]="",VLOOKUP(ExtComp[[#This Row],[DEVELOPMENT]],Data[],11,FALSE),IF(ExtComp[[#This Row],[RAD/PACT by 2025]]="yes",0,VLOOKUP(ExtComp[[#This Row],[DEVELOPMENT]],Data[],11,FALSE)))</f>
        <v>0</v>
      </c>
      <c r="J177" s="63">
        <f ca="1">(ExtComp[[#This Row],['# to Replace]]*'Unit Costs'!$B$6)*(1+((ExtComp[[#This Row],[est. Year]]-YEAR(TODAY()))*$J$2))</f>
        <v>0</v>
      </c>
      <c r="K177" s="1">
        <f>SUM(INDEX(ExtComp['# to Replace],1):ExtComp[[#This Row],['# to Replace]])</f>
        <v>0</v>
      </c>
      <c r="L177" s="1">
        <f>ROUNDDOWN(ExtComp[[#This Row],[Count]]/50,0)+$L$1</f>
        <v>2020</v>
      </c>
      <c r="M177" s="81">
        <f t="shared" ca="1" si="2"/>
        <v>0</v>
      </c>
      <c r="N177" s="81" t="str">
        <f>IFERROR(VLOOKUP(ExtComp[[#This Row],[DEVELOPMENT]],Data[],22,FALSE),"")</f>
        <v/>
      </c>
      <c r="O177" s="88" t="str">
        <f>IFERROR(VLOOKUP(ExtComp[[#This Row],[DEVELOPMENT]],Data[],23,FALSE),"")</f>
        <v/>
      </c>
    </row>
    <row r="178" spans="1:15" x14ac:dyDescent="0.25">
      <c r="A178" s="82" t="s">
        <v>35</v>
      </c>
      <c r="B178" s="1" t="str">
        <f>VLOOKUP(A178,Data[],2,FALSE)</f>
        <v>BRONX</v>
      </c>
      <c r="C178" s="9" t="s">
        <v>68</v>
      </c>
      <c r="D178" s="9" t="str">
        <f>VLOOKUP(ExtComp[[#This Row],[DEVELOPMENT]],Data[],8,FALSE)</f>
        <v>Zone 1</v>
      </c>
      <c r="E178" s="9" t="str">
        <f>VLOOKUP(ExtComp[[#This Row],[DEVELOPMENT]],Data[],9,FALSE)</f>
        <v>$</v>
      </c>
      <c r="F178" s="9" t="str">
        <f>IFERROR(VLOOKUP(ExtComp[[#This Row],[DEVELOPMENT]],Data[],4,FALSE),"")</f>
        <v/>
      </c>
      <c r="G178" s="9" t="str">
        <f>IF(ExtComp[[#This Row],[RAD/PACT]]="","",IF(ExtComp[[#This Row],[RAD/PACT]]&lt;=2025,"Yes",""))</f>
        <v/>
      </c>
      <c r="H178" s="1" t="str">
        <f ca="1">IF(VLOOKUP(ExtComp[[#This Row],[DEVELOPMENT]],Data[],11,FALSE)=0,"",DATEDIF(VLOOKUP(ExtComp[[#This Row],[DEVELOPMENT]],Data[],13,FALSE),TODAY(),"Y"))</f>
        <v/>
      </c>
      <c r="I178" s="1">
        <f>IF(ExtComp[[#This Row],[RAD/PACT]]="",VLOOKUP(ExtComp[[#This Row],[DEVELOPMENT]],Data[],11,FALSE),IF(ExtComp[[#This Row],[RAD/PACT by 2025]]="yes",0,VLOOKUP(ExtComp[[#This Row],[DEVELOPMENT]],Data[],11,FALSE)))</f>
        <v>0</v>
      </c>
      <c r="J178" s="63">
        <f ca="1">(ExtComp[[#This Row],['# to Replace]]*'Unit Costs'!$B$6)*(1+((ExtComp[[#This Row],[est. Year]]-YEAR(TODAY()))*$J$2))</f>
        <v>0</v>
      </c>
      <c r="K178" s="1">
        <f>SUM(INDEX(ExtComp['# to Replace],1):ExtComp[[#This Row],['# to Replace]])</f>
        <v>0</v>
      </c>
      <c r="L178" s="1">
        <f>ROUNDDOWN(ExtComp[[#This Row],[Count]]/50,0)+$L$1</f>
        <v>2020</v>
      </c>
      <c r="M178" s="81">
        <f t="shared" ca="1" si="2"/>
        <v>0</v>
      </c>
      <c r="N178" s="81" t="str">
        <f>IFERROR(VLOOKUP(ExtComp[[#This Row],[DEVELOPMENT]],Data[],22,FALSE),"")</f>
        <v/>
      </c>
      <c r="O178" s="88" t="str">
        <f>IFERROR(VLOOKUP(ExtComp[[#This Row],[DEVELOPMENT]],Data[],23,FALSE),"")</f>
        <v/>
      </c>
    </row>
    <row r="179" spans="1:15" x14ac:dyDescent="0.25">
      <c r="A179" s="13" t="s">
        <v>258</v>
      </c>
      <c r="B179" s="9" t="str">
        <f>VLOOKUP(A179,Data[],2,FALSE)</f>
        <v>MANHATTAN</v>
      </c>
      <c r="C179" s="9" t="s">
        <v>68</v>
      </c>
      <c r="D179" s="66">
        <f>VLOOKUP(ExtComp[[#This Row],[DEVELOPMENT]],Data[],8,FALSE)</f>
        <v>0</v>
      </c>
      <c r="E179" s="66">
        <f>VLOOKUP(ExtComp[[#This Row],[DEVELOPMENT]],Data[],9,FALSE)</f>
        <v>0</v>
      </c>
      <c r="F179" s="66" t="str">
        <f>IFERROR(VLOOKUP(ExtComp[[#This Row],[DEVELOPMENT]],Data[],4,FALSE),"")</f>
        <v/>
      </c>
      <c r="G179" s="66" t="str">
        <f>IF(ExtComp[[#This Row],[RAD/PACT]]="","",IF(ExtComp[[#This Row],[RAD/PACT]]&lt;=2025,"Yes",""))</f>
        <v/>
      </c>
      <c r="H179" s="67" t="str">
        <f ca="1">IF(VLOOKUP(ExtComp[[#This Row],[DEVELOPMENT]],Data[],11,FALSE)=0,"",DATEDIF(VLOOKUP(ExtComp[[#This Row],[DEVELOPMENT]],Data[],13,FALSE),TODAY(),"Y"))</f>
        <v/>
      </c>
      <c r="I179" s="67">
        <f>IF(ExtComp[[#This Row],[RAD/PACT]]="",VLOOKUP(ExtComp[[#This Row],[DEVELOPMENT]],Data[],11,FALSE),IF(ExtComp[[#This Row],[RAD/PACT by 2025]]="yes",0,VLOOKUP(ExtComp[[#This Row],[DEVELOPMENT]],Data[],11,FALSE)))</f>
        <v>0</v>
      </c>
      <c r="J179" s="63">
        <f ca="1">(ExtComp[[#This Row],['# to Replace]]*'Unit Costs'!$B$6)*(1+((ExtComp[[#This Row],[est. Year]]-YEAR(TODAY()))*$J$2))</f>
        <v>0</v>
      </c>
      <c r="K179" s="67">
        <f>SUM(INDEX(ExtComp['# to Replace],1):ExtComp[[#This Row],['# to Replace]])</f>
        <v>0</v>
      </c>
      <c r="L179" s="67">
        <f>ROUNDDOWN(ExtComp[[#This Row],[Count]]/50,0)+$L$1</f>
        <v>2020</v>
      </c>
      <c r="M179" s="81">
        <f t="shared" ca="1" si="2"/>
        <v>0</v>
      </c>
      <c r="N179" s="81" t="str">
        <f>IFERROR(VLOOKUP(ExtComp[[#This Row],[DEVELOPMENT]],Data[],22,FALSE),"")</f>
        <v/>
      </c>
      <c r="O179" s="88" t="str">
        <f>IFERROR(VLOOKUP(ExtComp[[#This Row],[DEVELOPMENT]],Data[],23,FALSE),"")</f>
        <v/>
      </c>
    </row>
    <row r="180" spans="1:15" x14ac:dyDescent="0.25">
      <c r="A180" s="13" t="s">
        <v>257</v>
      </c>
      <c r="B180" s="9" t="str">
        <f>VLOOKUP(A180,Data[],2,FALSE)</f>
        <v>QUEENS</v>
      </c>
      <c r="C180" s="9" t="s">
        <v>68</v>
      </c>
      <c r="D180" s="66">
        <f>VLOOKUP(ExtComp[[#This Row],[DEVELOPMENT]],Data[],8,FALSE)</f>
        <v>0</v>
      </c>
      <c r="E180" s="66">
        <f>VLOOKUP(ExtComp[[#This Row],[DEVELOPMENT]],Data[],9,FALSE)</f>
        <v>0</v>
      </c>
      <c r="F180" s="66" t="str">
        <f>IFERROR(VLOOKUP(ExtComp[[#This Row],[DEVELOPMENT]],Data[],4,FALSE),"")</f>
        <v/>
      </c>
      <c r="G180" s="66" t="str">
        <f>IF(ExtComp[[#This Row],[RAD/PACT]]="","",IF(ExtComp[[#This Row],[RAD/PACT]]&lt;=2025,"Yes",""))</f>
        <v/>
      </c>
      <c r="H180" s="67" t="str">
        <f ca="1">IF(VLOOKUP(ExtComp[[#This Row],[DEVELOPMENT]],Data[],11,FALSE)=0,"",DATEDIF(VLOOKUP(ExtComp[[#This Row],[DEVELOPMENT]],Data[],13,FALSE),TODAY(),"Y"))</f>
        <v/>
      </c>
      <c r="I180" s="67">
        <f>IF(ExtComp[[#This Row],[RAD/PACT]]="",VLOOKUP(ExtComp[[#This Row],[DEVELOPMENT]],Data[],11,FALSE),IF(ExtComp[[#This Row],[RAD/PACT by 2025]]="yes",0,VLOOKUP(ExtComp[[#This Row],[DEVELOPMENT]],Data[],11,FALSE)))</f>
        <v>0</v>
      </c>
      <c r="J180" s="63">
        <f ca="1">(ExtComp[[#This Row],['# to Replace]]*'Unit Costs'!$B$6)*(1+((ExtComp[[#This Row],[est. Year]]-YEAR(TODAY()))*$J$2))</f>
        <v>0</v>
      </c>
      <c r="K180" s="67">
        <f>SUM(INDEX(ExtComp['# to Replace],1):ExtComp[[#This Row],['# to Replace]])</f>
        <v>0</v>
      </c>
      <c r="L180" s="67">
        <f>ROUNDDOWN(ExtComp[[#This Row],[Count]]/50,0)+$L$1</f>
        <v>2020</v>
      </c>
      <c r="M180" s="81">
        <f t="shared" ca="1" si="2"/>
        <v>0</v>
      </c>
      <c r="N180" s="81" t="str">
        <f>IFERROR(VLOOKUP(ExtComp[[#This Row],[DEVELOPMENT]],Data[],22,FALSE),"")</f>
        <v/>
      </c>
      <c r="O180" s="88" t="str">
        <f>IFERROR(VLOOKUP(ExtComp[[#This Row],[DEVELOPMENT]],Data[],23,FALSE),"")</f>
        <v/>
      </c>
    </row>
    <row r="181" spans="1:15" x14ac:dyDescent="0.25">
      <c r="A181" s="13" t="s">
        <v>256</v>
      </c>
      <c r="B181" s="9" t="str">
        <f>VLOOKUP(A181,Data[],2,FALSE)</f>
        <v>BROOKLYN</v>
      </c>
      <c r="C181" s="9" t="s">
        <v>68</v>
      </c>
      <c r="D181" s="66">
        <f>VLOOKUP(ExtComp[[#This Row],[DEVELOPMENT]],Data[],8,FALSE)</f>
        <v>0</v>
      </c>
      <c r="E181" s="66">
        <f>VLOOKUP(ExtComp[[#This Row],[DEVELOPMENT]],Data[],9,FALSE)</f>
        <v>0</v>
      </c>
      <c r="F181" s="66" t="str">
        <f>IFERROR(VLOOKUP(ExtComp[[#This Row],[DEVELOPMENT]],Data[],4,FALSE),"")</f>
        <v/>
      </c>
      <c r="G181" s="66" t="str">
        <f>IF(ExtComp[[#This Row],[RAD/PACT]]="","",IF(ExtComp[[#This Row],[RAD/PACT]]&lt;=2025,"Yes",""))</f>
        <v/>
      </c>
      <c r="H181" s="67" t="str">
        <f ca="1">IF(VLOOKUP(ExtComp[[#This Row],[DEVELOPMENT]],Data[],11,FALSE)=0,"",DATEDIF(VLOOKUP(ExtComp[[#This Row],[DEVELOPMENT]],Data[],13,FALSE),TODAY(),"Y"))</f>
        <v/>
      </c>
      <c r="I181" s="67">
        <f>IF(ExtComp[[#This Row],[RAD/PACT]]="",VLOOKUP(ExtComp[[#This Row],[DEVELOPMENT]],Data[],11,FALSE),IF(ExtComp[[#This Row],[RAD/PACT by 2025]]="yes",0,VLOOKUP(ExtComp[[#This Row],[DEVELOPMENT]],Data[],11,FALSE)))</f>
        <v>0</v>
      </c>
      <c r="J181" s="63">
        <f ca="1">(ExtComp[[#This Row],['# to Replace]]*'Unit Costs'!$B$6)*(1+((ExtComp[[#This Row],[est. Year]]-YEAR(TODAY()))*$J$2))</f>
        <v>0</v>
      </c>
      <c r="K181" s="67">
        <f>SUM(INDEX(ExtComp['# to Replace],1):ExtComp[[#This Row],['# to Replace]])</f>
        <v>0</v>
      </c>
      <c r="L181" s="67">
        <f>ROUNDDOWN(ExtComp[[#This Row],[Count]]/50,0)+$L$1</f>
        <v>2020</v>
      </c>
      <c r="M181" s="81">
        <f t="shared" ca="1" si="2"/>
        <v>0</v>
      </c>
      <c r="N181" s="81" t="str">
        <f>IFERROR(VLOOKUP(ExtComp[[#This Row],[DEVELOPMENT]],Data[],22,FALSE),"")</f>
        <v/>
      </c>
      <c r="O181" s="88" t="str">
        <f>IFERROR(VLOOKUP(ExtComp[[#This Row],[DEVELOPMENT]],Data[],23,FALSE),"")</f>
        <v/>
      </c>
    </row>
    <row r="182" spans="1:15" x14ac:dyDescent="0.25">
      <c r="A182" s="13" t="s">
        <v>255</v>
      </c>
      <c r="B182" s="9" t="str">
        <f>VLOOKUP(A182,Data[],2,FALSE)</f>
        <v>BROOKLYN</v>
      </c>
      <c r="C182" s="9"/>
      <c r="D182" s="66">
        <f>VLOOKUP(ExtComp[[#This Row],[DEVELOPMENT]],Data[],8,FALSE)</f>
        <v>0</v>
      </c>
      <c r="E182" s="66">
        <f>VLOOKUP(ExtComp[[#This Row],[DEVELOPMENT]],Data[],9,FALSE)</f>
        <v>0</v>
      </c>
      <c r="F182" s="66">
        <f>IFERROR(VLOOKUP(ExtComp[[#This Row],[DEVELOPMENT]],Data[],4,FALSE),"")</f>
        <v>2019</v>
      </c>
      <c r="G182" s="66" t="str">
        <f>IF(ExtComp[[#This Row],[RAD/PACT]]="","",IF(ExtComp[[#This Row],[RAD/PACT]]&lt;=2025,"Yes",""))</f>
        <v>Yes</v>
      </c>
      <c r="H182" s="67" t="str">
        <f ca="1">IF(VLOOKUP(ExtComp[[#This Row],[DEVELOPMENT]],Data[],11,FALSE)=0,"",DATEDIF(VLOOKUP(ExtComp[[#This Row],[DEVELOPMENT]],Data[],13,FALSE),TODAY(),"Y"))</f>
        <v/>
      </c>
      <c r="I182" s="67">
        <f>IF(ExtComp[[#This Row],[RAD/PACT]]="",VLOOKUP(ExtComp[[#This Row],[DEVELOPMENT]],Data[],11,FALSE),IF(ExtComp[[#This Row],[RAD/PACT by 2025]]="yes",0,VLOOKUP(ExtComp[[#This Row],[DEVELOPMENT]],Data[],11,FALSE)))</f>
        <v>0</v>
      </c>
      <c r="J182" s="63">
        <f ca="1">(ExtComp[[#This Row],['# to Replace]]*'Unit Costs'!$B$6)*(1+((ExtComp[[#This Row],[est. Year]]-YEAR(TODAY()))*$J$2))</f>
        <v>0</v>
      </c>
      <c r="K182" s="67">
        <f>SUM(INDEX(ExtComp['# to Replace],1):ExtComp[[#This Row],['# to Replace]])</f>
        <v>0</v>
      </c>
      <c r="L182" s="67">
        <f>ROUNDDOWN(ExtComp[[#This Row],[Count]]/50,0)+$L$1</f>
        <v>2020</v>
      </c>
      <c r="M182" s="81">
        <f t="shared" ca="1" si="2"/>
        <v>0</v>
      </c>
      <c r="N182" s="81" t="str">
        <f>IFERROR(VLOOKUP(ExtComp[[#This Row],[DEVELOPMENT]],Data[],22,FALSE),"")</f>
        <v/>
      </c>
      <c r="O182" s="88" t="str">
        <f>IFERROR(VLOOKUP(ExtComp[[#This Row],[DEVELOPMENT]],Data[],23,FALSE),"")</f>
        <v/>
      </c>
    </row>
    <row r="183" spans="1:15" x14ac:dyDescent="0.25">
      <c r="A183" s="82" t="s">
        <v>139</v>
      </c>
      <c r="B183" s="1" t="str">
        <f>VLOOKUP(A183,Data[],2,FALSE)</f>
        <v>BROOKLYN</v>
      </c>
      <c r="C183" s="9" t="s">
        <v>68</v>
      </c>
      <c r="D183" s="9" t="str">
        <f>VLOOKUP(ExtComp[[#This Row],[DEVELOPMENT]],Data[],8,FALSE)</f>
        <v>Zone 1</v>
      </c>
      <c r="E183" s="9" t="str">
        <f>VLOOKUP(ExtComp[[#This Row],[DEVELOPMENT]],Data[],9,FALSE)</f>
        <v>$</v>
      </c>
      <c r="F183" s="9" t="str">
        <f>IFERROR(VLOOKUP(ExtComp[[#This Row],[DEVELOPMENT]],Data[],4,FALSE),"")</f>
        <v/>
      </c>
      <c r="G183" s="9" t="str">
        <f>IF(ExtComp[[#This Row],[RAD/PACT]]="","",IF(ExtComp[[#This Row],[RAD/PACT]]&lt;=2025,"Yes",""))</f>
        <v/>
      </c>
      <c r="H183" s="1" t="str">
        <f ca="1">IF(VLOOKUP(ExtComp[[#This Row],[DEVELOPMENT]],Data[],11,FALSE)=0,"",DATEDIF(VLOOKUP(ExtComp[[#This Row],[DEVELOPMENT]],Data[],13,FALSE),TODAY(),"Y"))</f>
        <v/>
      </c>
      <c r="I183" s="1">
        <f>IF(ExtComp[[#This Row],[RAD/PACT]]="",VLOOKUP(ExtComp[[#This Row],[DEVELOPMENT]],Data[],11,FALSE),IF(ExtComp[[#This Row],[RAD/PACT by 2025]]="yes",0,VLOOKUP(ExtComp[[#This Row],[DEVELOPMENT]],Data[],11,FALSE)))</f>
        <v>0</v>
      </c>
      <c r="J183" s="63">
        <f ca="1">(ExtComp[[#This Row],['# to Replace]]*'Unit Costs'!$B$6)*(1+((ExtComp[[#This Row],[est. Year]]-YEAR(TODAY()))*$J$2))</f>
        <v>0</v>
      </c>
      <c r="K183" s="1">
        <f>SUM(INDEX(ExtComp['# to Replace],1):ExtComp[[#This Row],['# to Replace]])</f>
        <v>0</v>
      </c>
      <c r="L183" s="1">
        <f>ROUNDDOWN(ExtComp[[#This Row],[Count]]/50,0)+$L$1</f>
        <v>2020</v>
      </c>
      <c r="M183" s="81">
        <f t="shared" ca="1" si="2"/>
        <v>0</v>
      </c>
      <c r="N183" s="81" t="str">
        <f>IFERROR(VLOOKUP(ExtComp[[#This Row],[DEVELOPMENT]],Data[],22,FALSE),"")</f>
        <v/>
      </c>
      <c r="O183" s="67" t="str">
        <f>IFERROR(VLOOKUP(ExtComp[[#This Row],[DEVELOPMENT]],Data[],23,FALSE),"")</f>
        <v/>
      </c>
    </row>
    <row r="184" spans="1:15" x14ac:dyDescent="0.25">
      <c r="A184" s="13" t="s">
        <v>254</v>
      </c>
      <c r="B184" s="9" t="str">
        <f>VLOOKUP(A184,Data[],2,FALSE)</f>
        <v>BRONX</v>
      </c>
      <c r="C184" s="9" t="s">
        <v>68</v>
      </c>
      <c r="D184" s="66">
        <f>VLOOKUP(ExtComp[[#This Row],[DEVELOPMENT]],Data[],8,FALSE)</f>
        <v>0</v>
      </c>
      <c r="E184" s="66">
        <f>VLOOKUP(ExtComp[[#This Row],[DEVELOPMENT]],Data[],9,FALSE)</f>
        <v>0</v>
      </c>
      <c r="F184" s="66" t="str">
        <f>IFERROR(VLOOKUP(ExtComp[[#This Row],[DEVELOPMENT]],Data[],4,FALSE),"")</f>
        <v/>
      </c>
      <c r="G184" s="66" t="str">
        <f>IF(ExtComp[[#This Row],[RAD/PACT]]="","",IF(ExtComp[[#This Row],[RAD/PACT]]&lt;=2025,"Yes",""))</f>
        <v/>
      </c>
      <c r="H184" s="67" t="str">
        <f ca="1">IF(VLOOKUP(ExtComp[[#This Row],[DEVELOPMENT]],Data[],11,FALSE)=0,"",DATEDIF(VLOOKUP(ExtComp[[#This Row],[DEVELOPMENT]],Data[],13,FALSE),TODAY(),"Y"))</f>
        <v/>
      </c>
      <c r="I184" s="67">
        <f>IF(ExtComp[[#This Row],[RAD/PACT]]="",VLOOKUP(ExtComp[[#This Row],[DEVELOPMENT]],Data[],11,FALSE),IF(ExtComp[[#This Row],[RAD/PACT by 2025]]="yes",0,VLOOKUP(ExtComp[[#This Row],[DEVELOPMENT]],Data[],11,FALSE)))</f>
        <v>0</v>
      </c>
      <c r="J184" s="63">
        <f ca="1">(ExtComp[[#This Row],['# to Replace]]*'Unit Costs'!$B$6)*(1+((ExtComp[[#This Row],[est. Year]]-YEAR(TODAY()))*$J$2))</f>
        <v>0</v>
      </c>
      <c r="K184" s="67">
        <f>SUM(INDEX(ExtComp['# to Replace],1):ExtComp[[#This Row],['# to Replace]])</f>
        <v>0</v>
      </c>
      <c r="L184" s="67">
        <f>ROUNDDOWN(ExtComp[[#This Row],[Count]]/50,0)+$L$1</f>
        <v>2020</v>
      </c>
      <c r="M184" s="81">
        <f t="shared" ca="1" si="2"/>
        <v>0</v>
      </c>
      <c r="N184" s="81" t="str">
        <f>IFERROR(VLOOKUP(ExtComp[[#This Row],[DEVELOPMENT]],Data[],22,FALSE),"")</f>
        <v/>
      </c>
      <c r="O184" s="88" t="str">
        <f>IFERROR(VLOOKUP(ExtComp[[#This Row],[DEVELOPMENT]],Data[],23,FALSE),"")</f>
        <v/>
      </c>
    </row>
    <row r="185" spans="1:15" x14ac:dyDescent="0.25">
      <c r="A185" s="13" t="s">
        <v>253</v>
      </c>
      <c r="B185" s="9" t="str">
        <f>VLOOKUP(A185,Data[],2,FALSE)</f>
        <v>BROOKLYN</v>
      </c>
      <c r="C185" s="9" t="s">
        <v>68</v>
      </c>
      <c r="D185" s="66">
        <f>VLOOKUP(ExtComp[[#This Row],[DEVELOPMENT]],Data[],8,FALSE)</f>
        <v>0</v>
      </c>
      <c r="E185" s="66">
        <f>VLOOKUP(ExtComp[[#This Row],[DEVELOPMENT]],Data[],9,FALSE)</f>
        <v>0</v>
      </c>
      <c r="F185" s="66" t="str">
        <f>IFERROR(VLOOKUP(ExtComp[[#This Row],[DEVELOPMENT]],Data[],4,FALSE),"")</f>
        <v/>
      </c>
      <c r="G185" s="66" t="str">
        <f>IF(ExtComp[[#This Row],[RAD/PACT]]="","",IF(ExtComp[[#This Row],[RAD/PACT]]&lt;=2025,"Yes",""))</f>
        <v/>
      </c>
      <c r="H185" s="67" t="str">
        <f ca="1">IF(VLOOKUP(ExtComp[[#This Row],[DEVELOPMENT]],Data[],11,FALSE)=0,"",DATEDIF(VLOOKUP(ExtComp[[#This Row],[DEVELOPMENT]],Data[],13,FALSE),TODAY(),"Y"))</f>
        <v/>
      </c>
      <c r="I185" s="67">
        <f>IF(ExtComp[[#This Row],[RAD/PACT]]="",VLOOKUP(ExtComp[[#This Row],[DEVELOPMENT]],Data[],11,FALSE),IF(ExtComp[[#This Row],[RAD/PACT by 2025]]="yes",0,VLOOKUP(ExtComp[[#This Row],[DEVELOPMENT]],Data[],11,FALSE)))</f>
        <v>0</v>
      </c>
      <c r="J185" s="63">
        <f ca="1">(ExtComp[[#This Row],['# to Replace]]*'Unit Costs'!$B$6)*(1+((ExtComp[[#This Row],[est. Year]]-YEAR(TODAY()))*$J$2))</f>
        <v>0</v>
      </c>
      <c r="K185" s="67">
        <f>SUM(INDEX(ExtComp['# to Replace],1):ExtComp[[#This Row],['# to Replace]])</f>
        <v>0</v>
      </c>
      <c r="L185" s="67">
        <f>ROUNDDOWN(ExtComp[[#This Row],[Count]]/50,0)+$L$1</f>
        <v>2020</v>
      </c>
      <c r="M185" s="81">
        <f t="shared" ca="1" si="2"/>
        <v>0</v>
      </c>
      <c r="N185" s="81" t="str">
        <f>IFERROR(VLOOKUP(ExtComp[[#This Row],[DEVELOPMENT]],Data[],22,FALSE),"")</f>
        <v/>
      </c>
      <c r="O185" s="88" t="str">
        <f>IFERROR(VLOOKUP(ExtComp[[#This Row],[DEVELOPMENT]],Data[],23,FALSE),"")</f>
        <v/>
      </c>
    </row>
    <row r="186" spans="1:15" x14ac:dyDescent="0.25">
      <c r="A186" s="13" t="s">
        <v>252</v>
      </c>
      <c r="B186" s="9" t="str">
        <f>VLOOKUP(A186,Data[],2,FALSE)</f>
        <v>BROOKLYN</v>
      </c>
      <c r="C186" s="9" t="s">
        <v>68</v>
      </c>
      <c r="D186" s="66" t="str">
        <f>VLOOKUP(ExtComp[[#This Row],[DEVELOPMENT]],Data[],8,FALSE)</f>
        <v>Zone 4</v>
      </c>
      <c r="E186" s="66">
        <f>VLOOKUP(ExtComp[[#This Row],[DEVELOPMENT]],Data[],9,FALSE)</f>
        <v>0</v>
      </c>
      <c r="F186" s="66">
        <f>IFERROR(VLOOKUP(ExtComp[[#This Row],[DEVELOPMENT]],Data[],4,FALSE),"")</f>
        <v>2025</v>
      </c>
      <c r="G186" s="66" t="str">
        <f>IF(ExtComp[[#This Row],[RAD/PACT]]="","",IF(ExtComp[[#This Row],[RAD/PACT]]&lt;=2025,"Yes",""))</f>
        <v>Yes</v>
      </c>
      <c r="H186" s="67" t="str">
        <f ca="1">IF(VLOOKUP(ExtComp[[#This Row],[DEVELOPMENT]],Data[],11,FALSE)=0,"",DATEDIF(VLOOKUP(ExtComp[[#This Row],[DEVELOPMENT]],Data[],13,FALSE),TODAY(),"Y"))</f>
        <v/>
      </c>
      <c r="I186" s="67">
        <f>IF(ExtComp[[#This Row],[RAD/PACT]]="",VLOOKUP(ExtComp[[#This Row],[DEVELOPMENT]],Data[],11,FALSE),IF(ExtComp[[#This Row],[RAD/PACT by 2025]]="yes",0,VLOOKUP(ExtComp[[#This Row],[DEVELOPMENT]],Data[],11,FALSE)))</f>
        <v>0</v>
      </c>
      <c r="J186" s="63">
        <f ca="1">(ExtComp[[#This Row],['# to Replace]]*'Unit Costs'!$B$6)*(1+((ExtComp[[#This Row],[est. Year]]-YEAR(TODAY()))*$J$2))</f>
        <v>0</v>
      </c>
      <c r="K186" s="67">
        <f>SUM(INDEX(ExtComp['# to Replace],1):ExtComp[[#This Row],['# to Replace]])</f>
        <v>0</v>
      </c>
      <c r="L186" s="67">
        <f>ROUNDDOWN(ExtComp[[#This Row],[Count]]/50,0)+$L$1</f>
        <v>2020</v>
      </c>
      <c r="M186" s="81">
        <f t="shared" ca="1" si="2"/>
        <v>0</v>
      </c>
      <c r="N186" s="81" t="str">
        <f>IFERROR(VLOOKUP(ExtComp[[#This Row],[DEVELOPMENT]],Data[],22,FALSE),"")</f>
        <v/>
      </c>
      <c r="O186" s="88" t="str">
        <f>IFERROR(VLOOKUP(ExtComp[[#This Row],[DEVELOPMENT]],Data[],23,FALSE),"")</f>
        <v/>
      </c>
    </row>
    <row r="187" spans="1:15" x14ac:dyDescent="0.25">
      <c r="A187" s="13" t="s">
        <v>251</v>
      </c>
      <c r="B187" s="9" t="str">
        <f>VLOOKUP(A187,Data[],2,FALSE)</f>
        <v>BROOKLYN</v>
      </c>
      <c r="C187" s="9" t="s">
        <v>68</v>
      </c>
      <c r="D187" s="66">
        <f>VLOOKUP(ExtComp[[#This Row],[DEVELOPMENT]],Data[],8,FALSE)</f>
        <v>0</v>
      </c>
      <c r="E187" s="66">
        <f>VLOOKUP(ExtComp[[#This Row],[DEVELOPMENT]],Data[],9,FALSE)</f>
        <v>0</v>
      </c>
      <c r="F187" s="66">
        <f>IFERROR(VLOOKUP(ExtComp[[#This Row],[DEVELOPMENT]],Data[],4,FALSE),"")</f>
        <v>2025</v>
      </c>
      <c r="G187" s="66" t="str">
        <f>IF(ExtComp[[#This Row],[RAD/PACT]]="","",IF(ExtComp[[#This Row],[RAD/PACT]]&lt;=2025,"Yes",""))</f>
        <v>Yes</v>
      </c>
      <c r="H187" s="67" t="str">
        <f ca="1">IF(VLOOKUP(ExtComp[[#This Row],[DEVELOPMENT]],Data[],11,FALSE)=0,"",DATEDIF(VLOOKUP(ExtComp[[#This Row],[DEVELOPMENT]],Data[],13,FALSE),TODAY(),"Y"))</f>
        <v/>
      </c>
      <c r="I187" s="67">
        <f>IF(ExtComp[[#This Row],[RAD/PACT]]="",VLOOKUP(ExtComp[[#This Row],[DEVELOPMENT]],Data[],11,FALSE),IF(ExtComp[[#This Row],[RAD/PACT by 2025]]="yes",0,VLOOKUP(ExtComp[[#This Row],[DEVELOPMENT]],Data[],11,FALSE)))</f>
        <v>0</v>
      </c>
      <c r="J187" s="63">
        <f ca="1">(ExtComp[[#This Row],['# to Replace]]*'Unit Costs'!$B$6)*(1+((ExtComp[[#This Row],[est. Year]]-YEAR(TODAY()))*$J$2))</f>
        <v>0</v>
      </c>
      <c r="K187" s="67">
        <f>SUM(INDEX(ExtComp['# to Replace],1):ExtComp[[#This Row],['# to Replace]])</f>
        <v>0</v>
      </c>
      <c r="L187" s="67">
        <f>ROUNDDOWN(ExtComp[[#This Row],[Count]]/50,0)+$L$1</f>
        <v>2020</v>
      </c>
      <c r="M187" s="81">
        <f t="shared" ca="1" si="2"/>
        <v>0</v>
      </c>
      <c r="N187" s="81" t="str">
        <f>IFERROR(VLOOKUP(ExtComp[[#This Row],[DEVELOPMENT]],Data[],22,FALSE),"")</f>
        <v/>
      </c>
      <c r="O187" s="67" t="str">
        <f>IFERROR(VLOOKUP(ExtComp[[#This Row],[DEVELOPMENT]],Data[],23,FALSE),"")</f>
        <v/>
      </c>
    </row>
    <row r="188" spans="1:15" x14ac:dyDescent="0.25">
      <c r="A188" s="13" t="s">
        <v>250</v>
      </c>
      <c r="B188" s="9" t="str">
        <f>VLOOKUP(A188,Data[],2,FALSE)</f>
        <v>BROOKLYN</v>
      </c>
      <c r="C188" s="9" t="s">
        <v>68</v>
      </c>
      <c r="D188" s="66">
        <f>VLOOKUP(ExtComp[[#This Row],[DEVELOPMENT]],Data[],8,FALSE)</f>
        <v>0</v>
      </c>
      <c r="E188" s="66">
        <f>VLOOKUP(ExtComp[[#This Row],[DEVELOPMENT]],Data[],9,FALSE)</f>
        <v>0</v>
      </c>
      <c r="F188" s="66" t="str">
        <f>IFERROR(VLOOKUP(ExtComp[[#This Row],[DEVELOPMENT]],Data[],4,FALSE),"")</f>
        <v/>
      </c>
      <c r="G188" s="66" t="str">
        <f>IF(ExtComp[[#This Row],[RAD/PACT]]="","",IF(ExtComp[[#This Row],[RAD/PACT]]&lt;=2025,"Yes",""))</f>
        <v/>
      </c>
      <c r="H188" s="67" t="str">
        <f ca="1">IF(VLOOKUP(ExtComp[[#This Row],[DEVELOPMENT]],Data[],11,FALSE)=0,"",DATEDIF(VLOOKUP(ExtComp[[#This Row],[DEVELOPMENT]],Data[],13,FALSE),TODAY(),"Y"))</f>
        <v/>
      </c>
      <c r="I188" s="67">
        <f>IF(ExtComp[[#This Row],[RAD/PACT]]="",VLOOKUP(ExtComp[[#This Row],[DEVELOPMENT]],Data[],11,FALSE),IF(ExtComp[[#This Row],[RAD/PACT by 2025]]="yes",0,VLOOKUP(ExtComp[[#This Row],[DEVELOPMENT]],Data[],11,FALSE)))</f>
        <v>0</v>
      </c>
      <c r="J188" s="63">
        <f ca="1">(ExtComp[[#This Row],['# to Replace]]*'Unit Costs'!$B$6)*(1+((ExtComp[[#This Row],[est. Year]]-YEAR(TODAY()))*$J$2))</f>
        <v>0</v>
      </c>
      <c r="K188" s="67">
        <f>SUM(INDEX(ExtComp['# to Replace],1):ExtComp[[#This Row],['# to Replace]])</f>
        <v>0</v>
      </c>
      <c r="L188" s="67">
        <f>ROUNDDOWN(ExtComp[[#This Row],[Count]]/50,0)+$L$1</f>
        <v>2020</v>
      </c>
      <c r="M188" s="81">
        <f t="shared" ca="1" si="2"/>
        <v>0</v>
      </c>
      <c r="N188" s="81" t="str">
        <f>IFERROR(VLOOKUP(ExtComp[[#This Row],[DEVELOPMENT]],Data[],22,FALSE),"")</f>
        <v/>
      </c>
      <c r="O188" s="88" t="str">
        <f>IFERROR(VLOOKUP(ExtComp[[#This Row],[DEVELOPMENT]],Data[],23,FALSE),"")</f>
        <v/>
      </c>
    </row>
    <row r="189" spans="1:15" x14ac:dyDescent="0.25">
      <c r="A189" s="13" t="s">
        <v>381</v>
      </c>
      <c r="B189" s="1" t="str">
        <f>VLOOKUP(A189,Data[],2,FALSE)</f>
        <v>BROOKLYN</v>
      </c>
      <c r="C189" s="9" t="s">
        <v>68</v>
      </c>
      <c r="D189" s="66" t="str">
        <f>VLOOKUP(ExtComp[[#This Row],[DEVELOPMENT]],Data[],8,FALSE)</f>
        <v>Zone 1</v>
      </c>
      <c r="E189" s="9">
        <f>VLOOKUP(ExtComp[[#This Row],[DEVELOPMENT]],Data[],9,FALSE)</f>
        <v>0</v>
      </c>
      <c r="F189" s="66">
        <f>IFERROR(VLOOKUP(ExtComp[[#This Row],[DEVELOPMENT]],Data[],4,FALSE),"")</f>
        <v>2019</v>
      </c>
      <c r="G189" s="66" t="str">
        <f>IF(ExtComp[[#This Row],[RAD/PACT]]="","",IF(ExtComp[[#This Row],[RAD/PACT]]&lt;=2025,"Yes",""))</f>
        <v>Yes</v>
      </c>
      <c r="H189" s="67" t="str">
        <f ca="1">IF(VLOOKUP(ExtComp[[#This Row],[DEVELOPMENT]],Data[],11,FALSE)=0,"",DATEDIF(VLOOKUP(ExtComp[[#This Row],[DEVELOPMENT]],Data[],13,FALSE),TODAY(),"Y"))</f>
        <v/>
      </c>
      <c r="I189" s="67">
        <f>IF(ExtComp[[#This Row],[RAD/PACT]]="",VLOOKUP(ExtComp[[#This Row],[DEVELOPMENT]],Data[],11,FALSE),IF(ExtComp[[#This Row],[RAD/PACT by 2025]]="yes",0,VLOOKUP(ExtComp[[#This Row],[DEVELOPMENT]],Data[],11,FALSE)))</f>
        <v>0</v>
      </c>
      <c r="J189" s="63">
        <f ca="1">(ExtComp[[#This Row],['# to Replace]]*'Unit Costs'!$B$6)*(1+((ExtComp[[#This Row],[est. Year]]-YEAR(TODAY()))*$J$2))</f>
        <v>0</v>
      </c>
      <c r="K189" s="67">
        <f>SUM(INDEX(ExtComp['# to Replace],1):ExtComp[[#This Row],['# to Replace]])</f>
        <v>0</v>
      </c>
      <c r="L189" s="67">
        <f>ROUNDDOWN(ExtComp[[#This Row],[Count]]/50,0)+$L$1</f>
        <v>2020</v>
      </c>
      <c r="M189" s="81">
        <f t="shared" ca="1" si="2"/>
        <v>0</v>
      </c>
      <c r="N189" s="81" t="str">
        <f>IFERROR(VLOOKUP(ExtComp[[#This Row],[DEVELOPMENT]],Data[],22,FALSE),"")</f>
        <v/>
      </c>
      <c r="O189" s="88" t="str">
        <f>IFERROR(VLOOKUP(ExtComp[[#This Row],[DEVELOPMENT]],Data[],23,FALSE),"")</f>
        <v/>
      </c>
    </row>
    <row r="190" spans="1:15" x14ac:dyDescent="0.25">
      <c r="A190" s="13" t="s">
        <v>249</v>
      </c>
      <c r="B190" s="9" t="str">
        <f>VLOOKUP(A190,Data[],2,FALSE)</f>
        <v>MANHATTAN</v>
      </c>
      <c r="C190" s="9" t="s">
        <v>68</v>
      </c>
      <c r="D190" s="66">
        <f>VLOOKUP(ExtComp[[#This Row],[DEVELOPMENT]],Data[],8,FALSE)</f>
        <v>0</v>
      </c>
      <c r="E190" s="66">
        <f>VLOOKUP(ExtComp[[#This Row],[DEVELOPMENT]],Data[],9,FALSE)</f>
        <v>0</v>
      </c>
      <c r="F190" s="66" t="str">
        <f>IFERROR(VLOOKUP(ExtComp[[#This Row],[DEVELOPMENT]],Data[],4,FALSE),"")</f>
        <v/>
      </c>
      <c r="G190" s="66" t="str">
        <f>IF(ExtComp[[#This Row],[RAD/PACT]]="","",IF(ExtComp[[#This Row],[RAD/PACT]]&lt;=2025,"Yes",""))</f>
        <v/>
      </c>
      <c r="H190" s="67" t="str">
        <f ca="1">IF(VLOOKUP(ExtComp[[#This Row],[DEVELOPMENT]],Data[],11,FALSE)=0,"",DATEDIF(VLOOKUP(ExtComp[[#This Row],[DEVELOPMENT]],Data[],13,FALSE),TODAY(),"Y"))</f>
        <v/>
      </c>
      <c r="I190" s="67">
        <f>IF(ExtComp[[#This Row],[RAD/PACT]]="",VLOOKUP(ExtComp[[#This Row],[DEVELOPMENT]],Data[],11,FALSE),IF(ExtComp[[#This Row],[RAD/PACT by 2025]]="yes",0,VLOOKUP(ExtComp[[#This Row],[DEVELOPMENT]],Data[],11,FALSE)))</f>
        <v>0</v>
      </c>
      <c r="J190" s="63">
        <f ca="1">(ExtComp[[#This Row],['# to Replace]]*'Unit Costs'!$B$6)*(1+((ExtComp[[#This Row],[est. Year]]-YEAR(TODAY()))*$J$2))</f>
        <v>0</v>
      </c>
      <c r="K190" s="67">
        <f>SUM(INDEX(ExtComp['# to Replace],1):ExtComp[[#This Row],['# to Replace]])</f>
        <v>0</v>
      </c>
      <c r="L190" s="67">
        <f>ROUNDDOWN(ExtComp[[#This Row],[Count]]/50,0)+$L$1</f>
        <v>2020</v>
      </c>
      <c r="M190" s="81">
        <f t="shared" ca="1" si="2"/>
        <v>0</v>
      </c>
      <c r="N190" s="81" t="str">
        <f>IFERROR(VLOOKUP(ExtComp[[#This Row],[DEVELOPMENT]],Data[],22,FALSE),"")</f>
        <v/>
      </c>
      <c r="O190" s="67" t="str">
        <f>IFERROR(VLOOKUP(ExtComp[[#This Row],[DEVELOPMENT]],Data[],23,FALSE),"")</f>
        <v/>
      </c>
    </row>
    <row r="191" spans="1:15" x14ac:dyDescent="0.25">
      <c r="A191" s="13" t="s">
        <v>248</v>
      </c>
      <c r="B191" s="9" t="str">
        <f>VLOOKUP(A191,Data[],2,FALSE)</f>
        <v>BRONX</v>
      </c>
      <c r="C191" s="9" t="s">
        <v>68</v>
      </c>
      <c r="D191" s="66">
        <f>VLOOKUP(ExtComp[[#This Row],[DEVELOPMENT]],Data[],8,FALSE)</f>
        <v>0</v>
      </c>
      <c r="E191" s="66">
        <f>VLOOKUP(ExtComp[[#This Row],[DEVELOPMENT]],Data[],9,FALSE)</f>
        <v>0</v>
      </c>
      <c r="F191" s="66" t="str">
        <f>IFERROR(VLOOKUP(ExtComp[[#This Row],[DEVELOPMENT]],Data[],4,FALSE),"")</f>
        <v/>
      </c>
      <c r="G191" s="66" t="str">
        <f>IF(ExtComp[[#This Row],[RAD/PACT]]="","",IF(ExtComp[[#This Row],[RAD/PACT]]&lt;=2025,"Yes",""))</f>
        <v/>
      </c>
      <c r="H191" s="67" t="str">
        <f ca="1">IF(VLOOKUP(ExtComp[[#This Row],[DEVELOPMENT]],Data[],11,FALSE)=0,"",DATEDIF(VLOOKUP(ExtComp[[#This Row],[DEVELOPMENT]],Data[],13,FALSE),TODAY(),"Y"))</f>
        <v/>
      </c>
      <c r="I191" s="67">
        <f>IF(ExtComp[[#This Row],[RAD/PACT]]="",VLOOKUP(ExtComp[[#This Row],[DEVELOPMENT]],Data[],11,FALSE),IF(ExtComp[[#This Row],[RAD/PACT by 2025]]="yes",0,VLOOKUP(ExtComp[[#This Row],[DEVELOPMENT]],Data[],11,FALSE)))</f>
        <v>0</v>
      </c>
      <c r="J191" s="63">
        <f ca="1">(ExtComp[[#This Row],['# to Replace]]*'Unit Costs'!$B$6)*(1+((ExtComp[[#This Row],[est. Year]]-YEAR(TODAY()))*$J$2))</f>
        <v>0</v>
      </c>
      <c r="K191" s="67">
        <f>SUM(INDEX(ExtComp['# to Replace],1):ExtComp[[#This Row],['# to Replace]])</f>
        <v>0</v>
      </c>
      <c r="L191" s="67">
        <f>ROUNDDOWN(ExtComp[[#This Row],[Count]]/50,0)+$L$1</f>
        <v>2020</v>
      </c>
      <c r="M191" s="81">
        <f t="shared" ca="1" si="2"/>
        <v>0</v>
      </c>
      <c r="N191" s="81" t="str">
        <f>IFERROR(VLOOKUP(ExtComp[[#This Row],[DEVELOPMENT]],Data[],22,FALSE),"")</f>
        <v/>
      </c>
      <c r="O191" s="67" t="str">
        <f>IFERROR(VLOOKUP(ExtComp[[#This Row],[DEVELOPMENT]],Data[],23,FALSE),"")</f>
        <v/>
      </c>
    </row>
    <row r="192" spans="1:15" x14ac:dyDescent="0.25">
      <c r="A192" s="13" t="s">
        <v>247</v>
      </c>
      <c r="B192" s="1" t="str">
        <f>VLOOKUP(A192,Data[],2,FALSE)</f>
        <v>BRONX</v>
      </c>
      <c r="C192" s="9" t="s">
        <v>68</v>
      </c>
      <c r="D192" s="66" t="str">
        <f>VLOOKUP(ExtComp[[#This Row],[DEVELOPMENT]],Data[],8,FALSE)</f>
        <v>Zone 1</v>
      </c>
      <c r="E192" s="9" t="str">
        <f>VLOOKUP(ExtComp[[#This Row],[DEVELOPMENT]],Data[],9,FALSE)</f>
        <v>$</v>
      </c>
      <c r="F192" s="66" t="str">
        <f>IFERROR(VLOOKUP(ExtComp[[#This Row],[DEVELOPMENT]],Data[],4,FALSE),"")</f>
        <v/>
      </c>
      <c r="G192" s="66" t="str">
        <f>IF(ExtComp[[#This Row],[RAD/PACT]]="","",IF(ExtComp[[#This Row],[RAD/PACT]]&lt;=2025,"Yes",""))</f>
        <v/>
      </c>
      <c r="H192" s="67" t="str">
        <f ca="1">IF(VLOOKUP(ExtComp[[#This Row],[DEVELOPMENT]],Data[],11,FALSE)=0,"",DATEDIF(VLOOKUP(ExtComp[[#This Row],[DEVELOPMENT]],Data[],13,FALSE),TODAY(),"Y"))</f>
        <v/>
      </c>
      <c r="I192" s="67">
        <f>IF(ExtComp[[#This Row],[RAD/PACT]]="",VLOOKUP(ExtComp[[#This Row],[DEVELOPMENT]],Data[],11,FALSE),IF(ExtComp[[#This Row],[RAD/PACT by 2025]]="yes",0,VLOOKUP(ExtComp[[#This Row],[DEVELOPMENT]],Data[],11,FALSE)))</f>
        <v>0</v>
      </c>
      <c r="J192" s="63">
        <f ca="1">(ExtComp[[#This Row],['# to Replace]]*'Unit Costs'!$B$6)*(1+((ExtComp[[#This Row],[est. Year]]-YEAR(TODAY()))*$J$2))</f>
        <v>0</v>
      </c>
      <c r="K192" s="67">
        <f>SUM(INDEX(ExtComp['# to Replace],1):ExtComp[[#This Row],['# to Replace]])</f>
        <v>0</v>
      </c>
      <c r="L192" s="67">
        <f>ROUNDDOWN(ExtComp[[#This Row],[Count]]/50,0)+$L$1</f>
        <v>2020</v>
      </c>
      <c r="M192" s="81">
        <f t="shared" ca="1" si="2"/>
        <v>0</v>
      </c>
      <c r="N192" s="81" t="str">
        <f>IFERROR(VLOOKUP(ExtComp[[#This Row],[DEVELOPMENT]],Data[],22,FALSE),"")</f>
        <v/>
      </c>
      <c r="O192" s="88" t="str">
        <f>IFERROR(VLOOKUP(ExtComp[[#This Row],[DEVELOPMENT]],Data[],23,FALSE),"")</f>
        <v/>
      </c>
    </row>
    <row r="193" spans="1:15" x14ac:dyDescent="0.25">
      <c r="A193" s="13" t="s">
        <v>246</v>
      </c>
      <c r="B193" s="1" t="str">
        <f>VLOOKUP(A193,Data[],2,FALSE)</f>
        <v>MANHATTAN</v>
      </c>
      <c r="C193" s="9" t="s">
        <v>68</v>
      </c>
      <c r="D193" s="66" t="str">
        <f>VLOOKUP(ExtComp[[#This Row],[DEVELOPMENT]],Data[],8,FALSE)</f>
        <v>Zone 1</v>
      </c>
      <c r="E193" s="9" t="str">
        <f>VLOOKUP(ExtComp[[#This Row],[DEVELOPMENT]],Data[],9,FALSE)</f>
        <v>$$</v>
      </c>
      <c r="F193" s="66" t="str">
        <f>IFERROR(VLOOKUP(ExtComp[[#This Row],[DEVELOPMENT]],Data[],4,FALSE),"")</f>
        <v/>
      </c>
      <c r="G193" s="66" t="str">
        <f>IF(ExtComp[[#This Row],[RAD/PACT]]="","",IF(ExtComp[[#This Row],[RAD/PACT]]&lt;=2025,"Yes",""))</f>
        <v/>
      </c>
      <c r="H193" s="67" t="str">
        <f ca="1">IF(VLOOKUP(ExtComp[[#This Row],[DEVELOPMENT]],Data[],11,FALSE)=0,"",DATEDIF(VLOOKUP(ExtComp[[#This Row],[DEVELOPMENT]],Data[],13,FALSE),TODAY(),"Y"))</f>
        <v/>
      </c>
      <c r="I193" s="67">
        <f>IF(ExtComp[[#This Row],[RAD/PACT]]="",VLOOKUP(ExtComp[[#This Row],[DEVELOPMENT]],Data[],11,FALSE),IF(ExtComp[[#This Row],[RAD/PACT by 2025]]="yes",0,VLOOKUP(ExtComp[[#This Row],[DEVELOPMENT]],Data[],11,FALSE)))</f>
        <v>0</v>
      </c>
      <c r="J193" s="63">
        <f ca="1">(ExtComp[[#This Row],['# to Replace]]*'Unit Costs'!$B$6)*(1+((ExtComp[[#This Row],[est. Year]]-YEAR(TODAY()))*$J$2))</f>
        <v>0</v>
      </c>
      <c r="K193" s="67">
        <f>SUM(INDEX(ExtComp['# to Replace],1):ExtComp[[#This Row],['# to Replace]])</f>
        <v>0</v>
      </c>
      <c r="L193" s="67">
        <f>ROUNDDOWN(ExtComp[[#This Row],[Count]]/50,0)+$L$1</f>
        <v>2020</v>
      </c>
      <c r="M193" s="81">
        <f t="shared" ca="1" si="2"/>
        <v>0</v>
      </c>
      <c r="N193" s="81" t="str">
        <f>IFERROR(VLOOKUP(ExtComp[[#This Row],[DEVELOPMENT]],Data[],22,FALSE),"")</f>
        <v/>
      </c>
      <c r="O193" s="67" t="str">
        <f>IFERROR(VLOOKUP(ExtComp[[#This Row],[DEVELOPMENT]],Data[],23,FALSE),"")</f>
        <v/>
      </c>
    </row>
    <row r="194" spans="1:15" x14ac:dyDescent="0.25">
      <c r="A194" s="13" t="s">
        <v>245</v>
      </c>
      <c r="B194" s="9" t="str">
        <f>VLOOKUP(A194,Data[],2,FALSE)</f>
        <v>BRONX</v>
      </c>
      <c r="C194" s="9" t="s">
        <v>68</v>
      </c>
      <c r="D194" s="66">
        <f>VLOOKUP(ExtComp[[#This Row],[DEVELOPMENT]],Data[],8,FALSE)</f>
        <v>0</v>
      </c>
      <c r="E194" s="66">
        <f>VLOOKUP(ExtComp[[#This Row],[DEVELOPMENT]],Data[],9,FALSE)</f>
        <v>0</v>
      </c>
      <c r="F194" s="66" t="str">
        <f>IFERROR(VLOOKUP(ExtComp[[#This Row],[DEVELOPMENT]],Data[],4,FALSE),"")</f>
        <v/>
      </c>
      <c r="G194" s="66" t="str">
        <f>IF(ExtComp[[#This Row],[RAD/PACT]]="","",IF(ExtComp[[#This Row],[RAD/PACT]]&lt;=2025,"Yes",""))</f>
        <v/>
      </c>
      <c r="H194" s="67" t="str">
        <f ca="1">IF(VLOOKUP(ExtComp[[#This Row],[DEVELOPMENT]],Data[],11,FALSE)=0,"",DATEDIF(VLOOKUP(ExtComp[[#This Row],[DEVELOPMENT]],Data[],13,FALSE),TODAY(),"Y"))</f>
        <v/>
      </c>
      <c r="I194" s="67">
        <f>IF(ExtComp[[#This Row],[RAD/PACT]]="",VLOOKUP(ExtComp[[#This Row],[DEVELOPMENT]],Data[],11,FALSE),IF(ExtComp[[#This Row],[RAD/PACT by 2025]]="yes",0,VLOOKUP(ExtComp[[#This Row],[DEVELOPMENT]],Data[],11,FALSE)))</f>
        <v>0</v>
      </c>
      <c r="J194" s="63">
        <f ca="1">(ExtComp[[#This Row],['# to Replace]]*'Unit Costs'!$B$6)*(1+((ExtComp[[#This Row],[est. Year]]-YEAR(TODAY()))*$J$2))</f>
        <v>0</v>
      </c>
      <c r="K194" s="67">
        <f>SUM(INDEX(ExtComp['# to Replace],1):ExtComp[[#This Row],['# to Replace]])</f>
        <v>0</v>
      </c>
      <c r="L194" s="67">
        <f>ROUNDDOWN(ExtComp[[#This Row],[Count]]/50,0)+$L$1</f>
        <v>2020</v>
      </c>
      <c r="M194" s="81">
        <f t="shared" ca="1" si="2"/>
        <v>0</v>
      </c>
      <c r="N194" s="81" t="str">
        <f>IFERROR(VLOOKUP(ExtComp[[#This Row],[DEVELOPMENT]],Data[],22,FALSE),"")</f>
        <v/>
      </c>
      <c r="O194" s="67" t="str">
        <f>IFERROR(VLOOKUP(ExtComp[[#This Row],[DEVELOPMENT]],Data[],23,FALSE),"")</f>
        <v/>
      </c>
    </row>
    <row r="195" spans="1:15" x14ac:dyDescent="0.25">
      <c r="A195" s="13" t="s">
        <v>244</v>
      </c>
      <c r="B195" s="9" t="str">
        <f>VLOOKUP(A195,Data[],2,FALSE)</f>
        <v>BRONX</v>
      </c>
      <c r="C195" s="9" t="s">
        <v>68</v>
      </c>
      <c r="D195" s="66">
        <f>VLOOKUP(ExtComp[[#This Row],[DEVELOPMENT]],Data[],8,FALSE)</f>
        <v>0</v>
      </c>
      <c r="E195" s="66">
        <f>VLOOKUP(ExtComp[[#This Row],[DEVELOPMENT]],Data[],9,FALSE)</f>
        <v>0</v>
      </c>
      <c r="F195" s="66" t="str">
        <f>IFERROR(VLOOKUP(ExtComp[[#This Row],[DEVELOPMENT]],Data[],4,FALSE),"")</f>
        <v/>
      </c>
      <c r="G195" s="66" t="str">
        <f>IF(ExtComp[[#This Row],[RAD/PACT]]="","",IF(ExtComp[[#This Row],[RAD/PACT]]&lt;=2025,"Yes",""))</f>
        <v/>
      </c>
      <c r="H195" s="67" t="str">
        <f ca="1">IF(VLOOKUP(ExtComp[[#This Row],[DEVELOPMENT]],Data[],11,FALSE)=0,"",DATEDIF(VLOOKUP(ExtComp[[#This Row],[DEVELOPMENT]],Data[],13,FALSE),TODAY(),"Y"))</f>
        <v/>
      </c>
      <c r="I195" s="67">
        <f>IF(ExtComp[[#This Row],[RAD/PACT]]="",VLOOKUP(ExtComp[[#This Row],[DEVELOPMENT]],Data[],11,FALSE),IF(ExtComp[[#This Row],[RAD/PACT by 2025]]="yes",0,VLOOKUP(ExtComp[[#This Row],[DEVELOPMENT]],Data[],11,FALSE)))</f>
        <v>0</v>
      </c>
      <c r="J195" s="63">
        <f ca="1">(ExtComp[[#This Row],['# to Replace]]*'Unit Costs'!$B$6)*(1+((ExtComp[[#This Row],[est. Year]]-YEAR(TODAY()))*$J$2))</f>
        <v>0</v>
      </c>
      <c r="K195" s="67">
        <f>SUM(INDEX(ExtComp['# to Replace],1):ExtComp[[#This Row],['# to Replace]])</f>
        <v>0</v>
      </c>
      <c r="L195" s="67">
        <f>ROUNDDOWN(ExtComp[[#This Row],[Count]]/50,0)+$L$1</f>
        <v>2020</v>
      </c>
      <c r="M195" s="81">
        <f t="shared" ca="1" si="2"/>
        <v>0</v>
      </c>
      <c r="N195" s="81" t="str">
        <f>IFERROR(VLOOKUP(ExtComp[[#This Row],[DEVELOPMENT]],Data[],22,FALSE),"")</f>
        <v/>
      </c>
      <c r="O195" s="67" t="str">
        <f>IFERROR(VLOOKUP(ExtComp[[#This Row],[DEVELOPMENT]],Data[],23,FALSE),"")</f>
        <v/>
      </c>
    </row>
    <row r="196" spans="1:15" x14ac:dyDescent="0.25">
      <c r="A196" s="13" t="s">
        <v>82</v>
      </c>
      <c r="B196" s="1" t="str">
        <f>VLOOKUP(A196,Data[],2,FALSE)</f>
        <v>MANHATTAN</v>
      </c>
      <c r="C196" s="9" t="s">
        <v>68</v>
      </c>
      <c r="D196" s="9" t="str">
        <f>VLOOKUP(ExtComp[[#This Row],[DEVELOPMENT]],Data[],8,FALSE)</f>
        <v>Zone 3</v>
      </c>
      <c r="E196" s="9" t="str">
        <f>VLOOKUP(ExtComp[[#This Row],[DEVELOPMENT]],Data[],9,FALSE)</f>
        <v>$$</v>
      </c>
      <c r="F196" s="9">
        <f>IFERROR(VLOOKUP(ExtComp[[#This Row],[DEVELOPMENT]],Data[],4,FALSE),"")</f>
        <v>2020</v>
      </c>
      <c r="G196" s="9" t="str">
        <f>IF(ExtComp[[#This Row],[RAD/PACT]]="","",IF(ExtComp[[#This Row],[RAD/PACT]]&lt;=2025,"Yes",""))</f>
        <v>Yes</v>
      </c>
      <c r="H196" s="1" t="str">
        <f ca="1">IF(VLOOKUP(ExtComp[[#This Row],[DEVELOPMENT]],Data[],11,FALSE)=0,"",DATEDIF(VLOOKUP(ExtComp[[#This Row],[DEVELOPMENT]],Data[],13,FALSE),TODAY(),"Y"))</f>
        <v/>
      </c>
      <c r="I196" s="1">
        <f>IF(ExtComp[[#This Row],[RAD/PACT]]="",VLOOKUP(ExtComp[[#This Row],[DEVELOPMENT]],Data[],11,FALSE),IF(ExtComp[[#This Row],[RAD/PACT by 2025]]="yes",0,VLOOKUP(ExtComp[[#This Row],[DEVELOPMENT]],Data[],11,FALSE)))</f>
        <v>0</v>
      </c>
      <c r="J196" s="63">
        <f ca="1">(ExtComp[[#This Row],['# to Replace]]*'Unit Costs'!$B$6)*(1+((ExtComp[[#This Row],[est. Year]]-YEAR(TODAY()))*$J$2))</f>
        <v>0</v>
      </c>
      <c r="K196" s="1">
        <f>SUM(INDEX(ExtComp['# to Replace],1):ExtComp[[#This Row],['# to Replace]])</f>
        <v>0</v>
      </c>
      <c r="L196" s="1">
        <f>ROUNDDOWN(ExtComp[[#This Row],[Count]]/50,0)+$L$1</f>
        <v>2020</v>
      </c>
      <c r="M196" s="81">
        <f t="shared" ref="M196:M259" ca="1" si="3">IF(L196=L195,J196+M195,J196)</f>
        <v>0</v>
      </c>
      <c r="N196" s="81" t="str">
        <f>IFERROR(VLOOKUP(ExtComp[[#This Row],[DEVELOPMENT]],Data[],22,FALSE),"")</f>
        <v/>
      </c>
      <c r="O196" s="67" t="str">
        <f>IFERROR(VLOOKUP(ExtComp[[#This Row],[DEVELOPMENT]],Data[],23,FALSE),"")</f>
        <v/>
      </c>
    </row>
    <row r="197" spans="1:15" x14ac:dyDescent="0.25">
      <c r="A197" s="13" t="s">
        <v>117</v>
      </c>
      <c r="B197" s="1" t="str">
        <f>VLOOKUP(A197,Data[],2,FALSE)</f>
        <v>MANHATTAN</v>
      </c>
      <c r="C197" s="9" t="s">
        <v>68</v>
      </c>
      <c r="D197" s="9" t="str">
        <f>VLOOKUP(ExtComp[[#This Row],[DEVELOPMENT]],Data[],8,FALSE)</f>
        <v>Zone 3</v>
      </c>
      <c r="E197" s="9" t="str">
        <f>VLOOKUP(ExtComp[[#This Row],[DEVELOPMENT]],Data[],9,FALSE)</f>
        <v>$</v>
      </c>
      <c r="F197" s="9">
        <f>IFERROR(VLOOKUP(ExtComp[[#This Row],[DEVELOPMENT]],Data[],4,FALSE),"")</f>
        <v>2020</v>
      </c>
      <c r="G197" s="9" t="str">
        <f>IF(ExtComp[[#This Row],[RAD/PACT]]="","",IF(ExtComp[[#This Row],[RAD/PACT]]&lt;=2025,"Yes",""))</f>
        <v>Yes</v>
      </c>
      <c r="H197" s="1" t="str">
        <f ca="1">IF(VLOOKUP(ExtComp[[#This Row],[DEVELOPMENT]],Data[],11,FALSE)=0,"",DATEDIF(VLOOKUP(ExtComp[[#This Row],[DEVELOPMENT]],Data[],13,FALSE),TODAY(),"Y"))</f>
        <v/>
      </c>
      <c r="I197" s="1">
        <f>IF(ExtComp[[#This Row],[RAD/PACT]]="",VLOOKUP(ExtComp[[#This Row],[DEVELOPMENT]],Data[],11,FALSE),IF(ExtComp[[#This Row],[RAD/PACT by 2025]]="yes",0,VLOOKUP(ExtComp[[#This Row],[DEVELOPMENT]],Data[],11,FALSE)))</f>
        <v>0</v>
      </c>
      <c r="J197" s="63">
        <f ca="1">(ExtComp[[#This Row],['# to Replace]]*'Unit Costs'!$B$6)*(1+((ExtComp[[#This Row],[est. Year]]-YEAR(TODAY()))*$J$2))</f>
        <v>0</v>
      </c>
      <c r="K197" s="1">
        <f>SUM(INDEX(ExtComp['# to Replace],1):ExtComp[[#This Row],['# to Replace]])</f>
        <v>0</v>
      </c>
      <c r="L197" s="1">
        <f>ROUNDDOWN(ExtComp[[#This Row],[Count]]/50,0)+$L$1</f>
        <v>2020</v>
      </c>
      <c r="M197" s="81">
        <f t="shared" ca="1" si="3"/>
        <v>0</v>
      </c>
      <c r="N197" s="81" t="str">
        <f>IFERROR(VLOOKUP(ExtComp[[#This Row],[DEVELOPMENT]],Data[],22,FALSE),"")</f>
        <v/>
      </c>
      <c r="O197" s="88" t="str">
        <f>IFERROR(VLOOKUP(ExtComp[[#This Row],[DEVELOPMENT]],Data[],23,FALSE),"")</f>
        <v/>
      </c>
    </row>
    <row r="198" spans="1:15" x14ac:dyDescent="0.25">
      <c r="A198" s="13" t="s">
        <v>243</v>
      </c>
      <c r="B198" s="9" t="str">
        <f>VLOOKUP(A198,Data[],2,FALSE)</f>
        <v>MANHATTAN</v>
      </c>
      <c r="C198" s="9" t="s">
        <v>68</v>
      </c>
      <c r="D198" s="66">
        <f>VLOOKUP(ExtComp[[#This Row],[DEVELOPMENT]],Data[],8,FALSE)</f>
        <v>0</v>
      </c>
      <c r="E198" s="66">
        <f>VLOOKUP(ExtComp[[#This Row],[DEVELOPMENT]],Data[],9,FALSE)</f>
        <v>0</v>
      </c>
      <c r="F198" s="66" t="str">
        <f>IFERROR(VLOOKUP(ExtComp[[#This Row],[DEVELOPMENT]],Data[],4,FALSE),"")</f>
        <v/>
      </c>
      <c r="G198" s="66" t="str">
        <f>IF(ExtComp[[#This Row],[RAD/PACT]]="","",IF(ExtComp[[#This Row],[RAD/PACT]]&lt;=2025,"Yes",""))</f>
        <v/>
      </c>
      <c r="H198" s="67" t="str">
        <f ca="1">IF(VLOOKUP(ExtComp[[#This Row],[DEVELOPMENT]],Data[],11,FALSE)=0,"",DATEDIF(VLOOKUP(ExtComp[[#This Row],[DEVELOPMENT]],Data[],13,FALSE),TODAY(),"Y"))</f>
        <v/>
      </c>
      <c r="I198" s="67">
        <f>IF(ExtComp[[#This Row],[RAD/PACT]]="",VLOOKUP(ExtComp[[#This Row],[DEVELOPMENT]],Data[],11,FALSE),IF(ExtComp[[#This Row],[RAD/PACT by 2025]]="yes",0,VLOOKUP(ExtComp[[#This Row],[DEVELOPMENT]],Data[],11,FALSE)))</f>
        <v>0</v>
      </c>
      <c r="J198" s="63">
        <f ca="1">(ExtComp[[#This Row],['# to Replace]]*'Unit Costs'!$B$6)*(1+((ExtComp[[#This Row],[est. Year]]-YEAR(TODAY()))*$J$2))</f>
        <v>0</v>
      </c>
      <c r="K198" s="67">
        <f>SUM(INDEX(ExtComp['# to Replace],1):ExtComp[[#This Row],['# to Replace]])</f>
        <v>0</v>
      </c>
      <c r="L198" s="67">
        <f>ROUNDDOWN(ExtComp[[#This Row],[Count]]/50,0)+$L$1</f>
        <v>2020</v>
      </c>
      <c r="M198" s="81">
        <f t="shared" ca="1" si="3"/>
        <v>0</v>
      </c>
      <c r="N198" s="81" t="str">
        <f>IFERROR(VLOOKUP(ExtComp[[#This Row],[DEVELOPMENT]],Data[],22,FALSE),"")</f>
        <v/>
      </c>
      <c r="O198" s="88" t="str">
        <f>IFERROR(VLOOKUP(ExtComp[[#This Row],[DEVELOPMENT]],Data[],23,FALSE),"")</f>
        <v/>
      </c>
    </row>
    <row r="199" spans="1:15" x14ac:dyDescent="0.25">
      <c r="A199" s="13" t="s">
        <v>242</v>
      </c>
      <c r="B199" s="9" t="str">
        <f>VLOOKUP(A199,Data[],2,FALSE)</f>
        <v>QUEENS</v>
      </c>
      <c r="C199" s="9" t="s">
        <v>68</v>
      </c>
      <c r="D199" s="66">
        <f>VLOOKUP(ExtComp[[#This Row],[DEVELOPMENT]],Data[],8,FALSE)</f>
        <v>0</v>
      </c>
      <c r="E199" s="66">
        <f>VLOOKUP(ExtComp[[#This Row],[DEVELOPMENT]],Data[],9,FALSE)</f>
        <v>0</v>
      </c>
      <c r="F199" s="66" t="str">
        <f>IFERROR(VLOOKUP(ExtComp[[#This Row],[DEVELOPMENT]],Data[],4,FALSE),"")</f>
        <v/>
      </c>
      <c r="G199" s="66" t="str">
        <f>IF(ExtComp[[#This Row],[RAD/PACT]]="","",IF(ExtComp[[#This Row],[RAD/PACT]]&lt;=2025,"Yes",""))</f>
        <v/>
      </c>
      <c r="H199" s="67" t="str">
        <f ca="1">IF(VLOOKUP(ExtComp[[#This Row],[DEVELOPMENT]],Data[],11,FALSE)=0,"",DATEDIF(VLOOKUP(ExtComp[[#This Row],[DEVELOPMENT]],Data[],13,FALSE),TODAY(),"Y"))</f>
        <v/>
      </c>
      <c r="I199" s="67">
        <f>IF(ExtComp[[#This Row],[RAD/PACT]]="",VLOOKUP(ExtComp[[#This Row],[DEVELOPMENT]],Data[],11,FALSE),IF(ExtComp[[#This Row],[RAD/PACT by 2025]]="yes",0,VLOOKUP(ExtComp[[#This Row],[DEVELOPMENT]],Data[],11,FALSE)))</f>
        <v>0</v>
      </c>
      <c r="J199" s="63">
        <f ca="1">(ExtComp[[#This Row],['# to Replace]]*'Unit Costs'!$B$6)*(1+((ExtComp[[#This Row],[est. Year]]-YEAR(TODAY()))*$J$2))</f>
        <v>0</v>
      </c>
      <c r="K199" s="67">
        <f>SUM(INDEX(ExtComp['# to Replace],1):ExtComp[[#This Row],['# to Replace]])</f>
        <v>0</v>
      </c>
      <c r="L199" s="67">
        <f>ROUNDDOWN(ExtComp[[#This Row],[Count]]/50,0)+$L$1</f>
        <v>2020</v>
      </c>
      <c r="M199" s="81">
        <f t="shared" ca="1" si="3"/>
        <v>0</v>
      </c>
      <c r="N199" s="81" t="str">
        <f>IFERROR(VLOOKUP(ExtComp[[#This Row],[DEVELOPMENT]],Data[],22,FALSE),"")</f>
        <v/>
      </c>
      <c r="O199" s="88" t="str">
        <f>IFERROR(VLOOKUP(ExtComp[[#This Row],[DEVELOPMENT]],Data[],23,FALSE),"")</f>
        <v/>
      </c>
    </row>
    <row r="200" spans="1:15" x14ac:dyDescent="0.25">
      <c r="A200" s="13" t="s">
        <v>241</v>
      </c>
      <c r="B200" s="9" t="str">
        <f>VLOOKUP(A200,Data[],2,FALSE)</f>
        <v>BROOKLYN</v>
      </c>
      <c r="C200" s="9" t="s">
        <v>68</v>
      </c>
      <c r="D200" s="66">
        <f>VLOOKUP(ExtComp[[#This Row],[DEVELOPMENT]],Data[],8,FALSE)</f>
        <v>0</v>
      </c>
      <c r="E200" s="66">
        <f>VLOOKUP(ExtComp[[#This Row],[DEVELOPMENT]],Data[],9,FALSE)</f>
        <v>0</v>
      </c>
      <c r="F200" s="66" t="str">
        <f>IFERROR(VLOOKUP(ExtComp[[#This Row],[DEVELOPMENT]],Data[],4,FALSE),"")</f>
        <v/>
      </c>
      <c r="G200" s="66" t="str">
        <f>IF(ExtComp[[#This Row],[RAD/PACT]]="","",IF(ExtComp[[#This Row],[RAD/PACT]]&lt;=2025,"Yes",""))</f>
        <v/>
      </c>
      <c r="H200" s="67" t="str">
        <f ca="1">IF(VLOOKUP(ExtComp[[#This Row],[DEVELOPMENT]],Data[],11,FALSE)=0,"",DATEDIF(VLOOKUP(ExtComp[[#This Row],[DEVELOPMENT]],Data[],13,FALSE),TODAY(),"Y"))</f>
        <v/>
      </c>
      <c r="I200" s="67">
        <f>IF(ExtComp[[#This Row],[RAD/PACT]]="",VLOOKUP(ExtComp[[#This Row],[DEVELOPMENT]],Data[],11,FALSE),IF(ExtComp[[#This Row],[RAD/PACT by 2025]]="yes",0,VLOOKUP(ExtComp[[#This Row],[DEVELOPMENT]],Data[],11,FALSE)))</f>
        <v>0</v>
      </c>
      <c r="J200" s="63">
        <f ca="1">(ExtComp[[#This Row],['# to Replace]]*'Unit Costs'!$B$6)*(1+((ExtComp[[#This Row],[est. Year]]-YEAR(TODAY()))*$J$2))</f>
        <v>0</v>
      </c>
      <c r="K200" s="67">
        <f>SUM(INDEX(ExtComp['# to Replace],1):ExtComp[[#This Row],['# to Replace]])</f>
        <v>0</v>
      </c>
      <c r="L200" s="67">
        <f>ROUNDDOWN(ExtComp[[#This Row],[Count]]/50,0)+$L$1</f>
        <v>2020</v>
      </c>
      <c r="M200" s="81">
        <f t="shared" ca="1" si="3"/>
        <v>0</v>
      </c>
      <c r="N200" s="81" t="str">
        <f>IFERROR(VLOOKUP(ExtComp[[#This Row],[DEVELOPMENT]],Data[],22,FALSE),"")</f>
        <v/>
      </c>
      <c r="O200" s="67" t="str">
        <f>IFERROR(VLOOKUP(ExtComp[[#This Row],[DEVELOPMENT]],Data[],23,FALSE),"")</f>
        <v/>
      </c>
    </row>
    <row r="201" spans="1:15" x14ac:dyDescent="0.25">
      <c r="A201" s="13" t="s">
        <v>240</v>
      </c>
      <c r="B201" s="9" t="str">
        <f>VLOOKUP(A201,Data[],2,FALSE)</f>
        <v>BRONX</v>
      </c>
      <c r="C201" s="9" t="s">
        <v>68</v>
      </c>
      <c r="D201" s="66">
        <f>VLOOKUP(ExtComp[[#This Row],[DEVELOPMENT]],Data[],8,FALSE)</f>
        <v>0</v>
      </c>
      <c r="E201" s="66">
        <f>VLOOKUP(ExtComp[[#This Row],[DEVELOPMENT]],Data[],9,FALSE)</f>
        <v>0</v>
      </c>
      <c r="F201" s="66" t="str">
        <f>IFERROR(VLOOKUP(ExtComp[[#This Row],[DEVELOPMENT]],Data[],4,FALSE),"")</f>
        <v/>
      </c>
      <c r="G201" s="66" t="str">
        <f>IF(ExtComp[[#This Row],[RAD/PACT]]="","",IF(ExtComp[[#This Row],[RAD/PACT]]&lt;=2025,"Yes",""))</f>
        <v/>
      </c>
      <c r="H201" s="67" t="str">
        <f ca="1">IF(VLOOKUP(ExtComp[[#This Row],[DEVELOPMENT]],Data[],11,FALSE)=0,"",DATEDIF(VLOOKUP(ExtComp[[#This Row],[DEVELOPMENT]],Data[],13,FALSE),TODAY(),"Y"))</f>
        <v/>
      </c>
      <c r="I201" s="67">
        <f>IF(ExtComp[[#This Row],[RAD/PACT]]="",VLOOKUP(ExtComp[[#This Row],[DEVELOPMENT]],Data[],11,FALSE),IF(ExtComp[[#This Row],[RAD/PACT by 2025]]="yes",0,VLOOKUP(ExtComp[[#This Row],[DEVELOPMENT]],Data[],11,FALSE)))</f>
        <v>0</v>
      </c>
      <c r="J201" s="63">
        <f ca="1">(ExtComp[[#This Row],['# to Replace]]*'Unit Costs'!$B$6)*(1+((ExtComp[[#This Row],[est. Year]]-YEAR(TODAY()))*$J$2))</f>
        <v>0</v>
      </c>
      <c r="K201" s="67">
        <f>SUM(INDEX(ExtComp['# to Replace],1):ExtComp[[#This Row],['# to Replace]])</f>
        <v>0</v>
      </c>
      <c r="L201" s="67">
        <f>ROUNDDOWN(ExtComp[[#This Row],[Count]]/50,0)+$L$1</f>
        <v>2020</v>
      </c>
      <c r="M201" s="81">
        <f t="shared" ca="1" si="3"/>
        <v>0</v>
      </c>
      <c r="N201" s="81" t="str">
        <f>IFERROR(VLOOKUP(ExtComp[[#This Row],[DEVELOPMENT]],Data[],22,FALSE),"")</f>
        <v/>
      </c>
      <c r="O201" s="88" t="str">
        <f>IFERROR(VLOOKUP(ExtComp[[#This Row],[DEVELOPMENT]],Data[],23,FALSE),"")</f>
        <v/>
      </c>
    </row>
    <row r="202" spans="1:15" x14ac:dyDescent="0.25">
      <c r="A202" s="13" t="s">
        <v>239</v>
      </c>
      <c r="B202" s="9" t="str">
        <f>VLOOKUP(A202,Data[],2,FALSE)</f>
        <v>BROOKLYN</v>
      </c>
      <c r="C202" s="9" t="s">
        <v>68</v>
      </c>
      <c r="D202" s="66">
        <f>VLOOKUP(ExtComp[[#This Row],[DEVELOPMENT]],Data[],8,FALSE)</f>
        <v>0</v>
      </c>
      <c r="E202" s="66">
        <f>VLOOKUP(ExtComp[[#This Row],[DEVELOPMENT]],Data[],9,FALSE)</f>
        <v>0</v>
      </c>
      <c r="F202" s="66" t="str">
        <f>IFERROR(VLOOKUP(ExtComp[[#This Row],[DEVELOPMENT]],Data[],4,FALSE),"")</f>
        <v/>
      </c>
      <c r="G202" s="66" t="str">
        <f>IF(ExtComp[[#This Row],[RAD/PACT]]="","",IF(ExtComp[[#This Row],[RAD/PACT]]&lt;=2025,"Yes",""))</f>
        <v/>
      </c>
      <c r="H202" s="67" t="str">
        <f ca="1">IF(VLOOKUP(ExtComp[[#This Row],[DEVELOPMENT]],Data[],11,FALSE)=0,"",DATEDIF(VLOOKUP(ExtComp[[#This Row],[DEVELOPMENT]],Data[],13,FALSE),TODAY(),"Y"))</f>
        <v/>
      </c>
      <c r="I202" s="67">
        <f>IF(ExtComp[[#This Row],[RAD/PACT]]="",VLOOKUP(ExtComp[[#This Row],[DEVELOPMENT]],Data[],11,FALSE),IF(ExtComp[[#This Row],[RAD/PACT by 2025]]="yes",0,VLOOKUP(ExtComp[[#This Row],[DEVELOPMENT]],Data[],11,FALSE)))</f>
        <v>0</v>
      </c>
      <c r="J202" s="63">
        <f ca="1">(ExtComp[[#This Row],['# to Replace]]*'Unit Costs'!$B$6)*(1+((ExtComp[[#This Row],[est. Year]]-YEAR(TODAY()))*$J$2))</f>
        <v>0</v>
      </c>
      <c r="K202" s="67">
        <f>SUM(INDEX(ExtComp['# to Replace],1):ExtComp[[#This Row],['# to Replace]])</f>
        <v>0</v>
      </c>
      <c r="L202" s="67">
        <f>ROUNDDOWN(ExtComp[[#This Row],[Count]]/50,0)+$L$1</f>
        <v>2020</v>
      </c>
      <c r="M202" s="81">
        <f t="shared" ca="1" si="3"/>
        <v>0</v>
      </c>
      <c r="N202" s="81" t="str">
        <f>IFERROR(VLOOKUP(ExtComp[[#This Row],[DEVELOPMENT]],Data[],22,FALSE),"")</f>
        <v/>
      </c>
      <c r="O202" s="67" t="str">
        <f>IFERROR(VLOOKUP(ExtComp[[#This Row],[DEVELOPMENT]],Data[],23,FALSE),"")</f>
        <v/>
      </c>
    </row>
    <row r="203" spans="1:15" x14ac:dyDescent="0.25">
      <c r="A203" s="13" t="s">
        <v>81</v>
      </c>
      <c r="B203" s="1" t="str">
        <f>VLOOKUP(A203,Data[],2,FALSE)</f>
        <v>MANHATTAN</v>
      </c>
      <c r="C203" s="9" t="s">
        <v>68</v>
      </c>
      <c r="D203" s="9" t="str">
        <f>VLOOKUP(ExtComp[[#This Row],[DEVELOPMENT]],Data[],8,FALSE)</f>
        <v>Zone 2</v>
      </c>
      <c r="E203" s="9" t="str">
        <f>VLOOKUP(ExtComp[[#This Row],[DEVELOPMENT]],Data[],9,FALSE)</f>
        <v>$$$$</v>
      </c>
      <c r="F203" s="9" t="str">
        <f>IFERROR(VLOOKUP(ExtComp[[#This Row],[DEVELOPMENT]],Data[],4,FALSE),"")</f>
        <v/>
      </c>
      <c r="G203" s="9" t="str">
        <f>IF(ExtComp[[#This Row],[RAD/PACT]]="","",IF(ExtComp[[#This Row],[RAD/PACT]]&lt;=2025,"Yes",""))</f>
        <v/>
      </c>
      <c r="H203" s="1" t="str">
        <f ca="1">IF(VLOOKUP(ExtComp[[#This Row],[DEVELOPMENT]],Data[],11,FALSE)=0,"",DATEDIF(VLOOKUP(ExtComp[[#This Row],[DEVELOPMENT]],Data[],13,FALSE),TODAY(),"Y"))</f>
        <v/>
      </c>
      <c r="I203" s="1">
        <f>IF(ExtComp[[#This Row],[RAD/PACT]]="",VLOOKUP(ExtComp[[#This Row],[DEVELOPMENT]],Data[],11,FALSE),IF(ExtComp[[#This Row],[RAD/PACT by 2025]]="yes",0,VLOOKUP(ExtComp[[#This Row],[DEVELOPMENT]],Data[],11,FALSE)))</f>
        <v>0</v>
      </c>
      <c r="J203" s="63">
        <f ca="1">(ExtComp[[#This Row],['# to Replace]]*'Unit Costs'!$B$6)*(1+((ExtComp[[#This Row],[est. Year]]-YEAR(TODAY()))*$J$2))</f>
        <v>0</v>
      </c>
      <c r="K203" s="1">
        <f>SUM(INDEX(ExtComp['# to Replace],1):ExtComp[[#This Row],['# to Replace]])</f>
        <v>0</v>
      </c>
      <c r="L203" s="1">
        <f>ROUNDDOWN(ExtComp[[#This Row],[Count]]/50,0)+$L$1</f>
        <v>2020</v>
      </c>
      <c r="M203" s="81">
        <f t="shared" ca="1" si="3"/>
        <v>0</v>
      </c>
      <c r="N203" s="81" t="str">
        <f>IFERROR(VLOOKUP(ExtComp[[#This Row],[DEVELOPMENT]],Data[],22,FALSE),"")</f>
        <v/>
      </c>
      <c r="O203" s="88" t="str">
        <f>IFERROR(VLOOKUP(ExtComp[[#This Row],[DEVELOPMENT]],Data[],23,FALSE),"")</f>
        <v/>
      </c>
    </row>
    <row r="204" spans="1:15" x14ac:dyDescent="0.25">
      <c r="A204" s="13" t="s">
        <v>80</v>
      </c>
      <c r="B204" s="1" t="str">
        <f>VLOOKUP(A204,Data[],2,FALSE)</f>
        <v>MANHATTAN</v>
      </c>
      <c r="C204" s="9" t="s">
        <v>68</v>
      </c>
      <c r="D204" s="9" t="str">
        <f>VLOOKUP(ExtComp[[#This Row],[DEVELOPMENT]],Data[],8,FALSE)</f>
        <v>Zone 3</v>
      </c>
      <c r="E204" s="9" t="str">
        <f>VLOOKUP(ExtComp[[#This Row],[DEVELOPMENT]],Data[],9,FALSE)</f>
        <v>$</v>
      </c>
      <c r="F204" s="9">
        <f>IFERROR(VLOOKUP(ExtComp[[#This Row],[DEVELOPMENT]],Data[],4,FALSE),"")</f>
        <v>2019</v>
      </c>
      <c r="G204" s="9" t="str">
        <f>IF(ExtComp[[#This Row],[RAD/PACT]]="","",IF(ExtComp[[#This Row],[RAD/PACT]]&lt;=2025,"Yes",""))</f>
        <v>Yes</v>
      </c>
      <c r="H204" s="1" t="str">
        <f ca="1">IF(VLOOKUP(ExtComp[[#This Row],[DEVELOPMENT]],Data[],11,FALSE)=0,"",DATEDIF(VLOOKUP(ExtComp[[#This Row],[DEVELOPMENT]],Data[],13,FALSE),TODAY(),"Y"))</f>
        <v/>
      </c>
      <c r="I204" s="1">
        <f>IF(ExtComp[[#This Row],[RAD/PACT]]="",VLOOKUP(ExtComp[[#This Row],[DEVELOPMENT]],Data[],11,FALSE),IF(ExtComp[[#This Row],[RAD/PACT by 2025]]="yes",0,VLOOKUP(ExtComp[[#This Row],[DEVELOPMENT]],Data[],11,FALSE)))</f>
        <v>0</v>
      </c>
      <c r="J204" s="63">
        <f ca="1">(ExtComp[[#This Row],['# to Replace]]*'Unit Costs'!$B$6)*(1+((ExtComp[[#This Row],[est. Year]]-YEAR(TODAY()))*$J$2))</f>
        <v>0</v>
      </c>
      <c r="K204" s="1">
        <f>SUM(INDEX(ExtComp['# to Replace],1):ExtComp[[#This Row],['# to Replace]])</f>
        <v>0</v>
      </c>
      <c r="L204" s="1">
        <f>ROUNDDOWN(ExtComp[[#This Row],[Count]]/50,0)+$L$1</f>
        <v>2020</v>
      </c>
      <c r="M204" s="81">
        <f t="shared" ca="1" si="3"/>
        <v>0</v>
      </c>
      <c r="N204" s="81" t="str">
        <f>IFERROR(VLOOKUP(ExtComp[[#This Row],[DEVELOPMENT]],Data[],22,FALSE),"")</f>
        <v/>
      </c>
      <c r="O204" s="67" t="str">
        <f>IFERROR(VLOOKUP(ExtComp[[#This Row],[DEVELOPMENT]],Data[],23,FALSE),"")</f>
        <v/>
      </c>
    </row>
    <row r="205" spans="1:15" x14ac:dyDescent="0.25">
      <c r="A205" s="13" t="s">
        <v>238</v>
      </c>
      <c r="B205" s="9" t="str">
        <f>VLOOKUP(A205,Data[],2,FALSE)</f>
        <v>BROOKLYN</v>
      </c>
      <c r="C205" s="9" t="s">
        <v>68</v>
      </c>
      <c r="D205" s="66">
        <f>VLOOKUP(ExtComp[[#This Row],[DEVELOPMENT]],Data[],8,FALSE)</f>
        <v>0</v>
      </c>
      <c r="E205" s="66">
        <f>VLOOKUP(ExtComp[[#This Row],[DEVELOPMENT]],Data[],9,FALSE)</f>
        <v>0</v>
      </c>
      <c r="F205" s="66" t="str">
        <f>IFERROR(VLOOKUP(ExtComp[[#This Row],[DEVELOPMENT]],Data[],4,FALSE),"")</f>
        <v/>
      </c>
      <c r="G205" s="66" t="str">
        <f>IF(ExtComp[[#This Row],[RAD/PACT]]="","",IF(ExtComp[[#This Row],[RAD/PACT]]&lt;=2025,"Yes",""))</f>
        <v/>
      </c>
      <c r="H205" s="67" t="str">
        <f ca="1">IF(VLOOKUP(ExtComp[[#This Row],[DEVELOPMENT]],Data[],11,FALSE)=0,"",DATEDIF(VLOOKUP(ExtComp[[#This Row],[DEVELOPMENT]],Data[],13,FALSE),TODAY(),"Y"))</f>
        <v/>
      </c>
      <c r="I205" s="67">
        <f>IF(ExtComp[[#This Row],[RAD/PACT]]="",VLOOKUP(ExtComp[[#This Row],[DEVELOPMENT]],Data[],11,FALSE),IF(ExtComp[[#This Row],[RAD/PACT by 2025]]="yes",0,VLOOKUP(ExtComp[[#This Row],[DEVELOPMENT]],Data[],11,FALSE)))</f>
        <v>0</v>
      </c>
      <c r="J205" s="63">
        <f ca="1">(ExtComp[[#This Row],['# to Replace]]*'Unit Costs'!$B$6)*(1+((ExtComp[[#This Row],[est. Year]]-YEAR(TODAY()))*$J$2))</f>
        <v>0</v>
      </c>
      <c r="K205" s="67">
        <f>SUM(INDEX(ExtComp['# to Replace],1):ExtComp[[#This Row],['# to Replace]])</f>
        <v>0</v>
      </c>
      <c r="L205" s="67">
        <f>ROUNDDOWN(ExtComp[[#This Row],[Count]]/50,0)+$L$1</f>
        <v>2020</v>
      </c>
      <c r="M205" s="81">
        <f t="shared" ca="1" si="3"/>
        <v>0</v>
      </c>
      <c r="N205" s="81" t="str">
        <f>IFERROR(VLOOKUP(ExtComp[[#This Row],[DEVELOPMENT]],Data[],22,FALSE),"")</f>
        <v/>
      </c>
      <c r="O205" s="88" t="str">
        <f>IFERROR(VLOOKUP(ExtComp[[#This Row],[DEVELOPMENT]],Data[],23,FALSE),"")</f>
        <v/>
      </c>
    </row>
    <row r="206" spans="1:15" x14ac:dyDescent="0.25">
      <c r="A206" s="82" t="s">
        <v>61</v>
      </c>
      <c r="B206" s="1" t="str">
        <f>VLOOKUP(A206,Data[],2,FALSE)</f>
        <v>MANHATTAN</v>
      </c>
      <c r="C206" s="9" t="s">
        <v>68</v>
      </c>
      <c r="D206" s="9" t="str">
        <f>VLOOKUP(ExtComp[[#This Row],[DEVELOPMENT]],Data[],8,FALSE)</f>
        <v>Zone 1</v>
      </c>
      <c r="E206" s="9" t="str">
        <f>VLOOKUP(ExtComp[[#This Row],[DEVELOPMENT]],Data[],9,FALSE)</f>
        <v>$</v>
      </c>
      <c r="F206" s="9" t="str">
        <f>IFERROR(VLOOKUP(ExtComp[[#This Row],[DEVELOPMENT]],Data[],4,FALSE),"")</f>
        <v/>
      </c>
      <c r="G206" s="9" t="str">
        <f>IF(ExtComp[[#This Row],[RAD/PACT]]="","",IF(ExtComp[[#This Row],[RAD/PACT]]&lt;=2025,"Yes",""))</f>
        <v/>
      </c>
      <c r="H206" s="1" t="str">
        <f ca="1">IF(VLOOKUP(ExtComp[[#This Row],[DEVELOPMENT]],Data[],11,FALSE)=0,"",DATEDIF(VLOOKUP(ExtComp[[#This Row],[DEVELOPMENT]],Data[],13,FALSE),TODAY(),"Y"))</f>
        <v/>
      </c>
      <c r="I206" s="1">
        <f>IF(ExtComp[[#This Row],[RAD/PACT]]="",VLOOKUP(ExtComp[[#This Row],[DEVELOPMENT]],Data[],11,FALSE),IF(ExtComp[[#This Row],[RAD/PACT by 2025]]="yes",0,VLOOKUP(ExtComp[[#This Row],[DEVELOPMENT]],Data[],11,FALSE)))</f>
        <v>0</v>
      </c>
      <c r="J206" s="63">
        <f ca="1">(ExtComp[[#This Row],['# to Replace]]*'Unit Costs'!$B$6)*(1+((ExtComp[[#This Row],[est. Year]]-YEAR(TODAY()))*$J$2))</f>
        <v>0</v>
      </c>
      <c r="K206" s="1">
        <f>SUM(INDEX(ExtComp['# to Replace],1):ExtComp[[#This Row],['# to Replace]])</f>
        <v>0</v>
      </c>
      <c r="L206" s="1">
        <f>ROUNDDOWN(ExtComp[[#This Row],[Count]]/50,0)+$L$1</f>
        <v>2020</v>
      </c>
      <c r="M206" s="81">
        <f t="shared" ca="1" si="3"/>
        <v>0</v>
      </c>
      <c r="N206" s="81" t="str">
        <f>IFERROR(VLOOKUP(ExtComp[[#This Row],[DEVELOPMENT]],Data[],22,FALSE),"")</f>
        <v/>
      </c>
      <c r="O206" s="88" t="str">
        <f>IFERROR(VLOOKUP(ExtComp[[#This Row],[DEVELOPMENT]],Data[],23,FALSE),"")</f>
        <v/>
      </c>
    </row>
    <row r="207" spans="1:15" x14ac:dyDescent="0.25">
      <c r="A207" s="13" t="s">
        <v>237</v>
      </c>
      <c r="B207" s="9" t="str">
        <f>VLOOKUP(A207,Data[],2,FALSE)</f>
        <v>BROOKLYN</v>
      </c>
      <c r="C207" s="9" t="s">
        <v>68</v>
      </c>
      <c r="D207" s="66">
        <f>VLOOKUP(ExtComp[[#This Row],[DEVELOPMENT]],Data[],8,FALSE)</f>
        <v>0</v>
      </c>
      <c r="E207" s="66">
        <f>VLOOKUP(ExtComp[[#This Row],[DEVELOPMENT]],Data[],9,FALSE)</f>
        <v>0</v>
      </c>
      <c r="F207" s="66">
        <f>IFERROR(VLOOKUP(ExtComp[[#This Row],[DEVELOPMENT]],Data[],4,FALSE),"")</f>
        <v>2028</v>
      </c>
      <c r="G207" s="66" t="str">
        <f>IF(ExtComp[[#This Row],[RAD/PACT]]="","",IF(ExtComp[[#This Row],[RAD/PACT]]&lt;=2025,"Yes",""))</f>
        <v/>
      </c>
      <c r="H207" s="67" t="str">
        <f ca="1">IF(VLOOKUP(ExtComp[[#This Row],[DEVELOPMENT]],Data[],11,FALSE)=0,"",DATEDIF(VLOOKUP(ExtComp[[#This Row],[DEVELOPMENT]],Data[],13,FALSE),TODAY(),"Y"))</f>
        <v/>
      </c>
      <c r="I207" s="67">
        <f>IF(ExtComp[[#This Row],[RAD/PACT]]="",VLOOKUP(ExtComp[[#This Row],[DEVELOPMENT]],Data[],11,FALSE),IF(ExtComp[[#This Row],[RAD/PACT by 2025]]="yes",0,VLOOKUP(ExtComp[[#This Row],[DEVELOPMENT]],Data[],11,FALSE)))</f>
        <v>0</v>
      </c>
      <c r="J207" s="63">
        <f ca="1">(ExtComp[[#This Row],['# to Replace]]*'Unit Costs'!$B$6)*(1+((ExtComp[[#This Row],[est. Year]]-YEAR(TODAY()))*$J$2))</f>
        <v>0</v>
      </c>
      <c r="K207" s="67">
        <f>SUM(INDEX(ExtComp['# to Replace],1):ExtComp[[#This Row],['# to Replace]])</f>
        <v>0</v>
      </c>
      <c r="L207" s="67">
        <f>ROUNDDOWN(ExtComp[[#This Row],[Count]]/50,0)+$L$1</f>
        <v>2020</v>
      </c>
      <c r="M207" s="81">
        <f t="shared" ca="1" si="3"/>
        <v>0</v>
      </c>
      <c r="N207" s="81" t="str">
        <f>IFERROR(VLOOKUP(ExtComp[[#This Row],[DEVELOPMENT]],Data[],22,FALSE),"")</f>
        <v/>
      </c>
      <c r="O207" s="88" t="str">
        <f>IFERROR(VLOOKUP(ExtComp[[#This Row],[DEVELOPMENT]],Data[],23,FALSE),"")</f>
        <v/>
      </c>
    </row>
    <row r="208" spans="1:15" x14ac:dyDescent="0.25">
      <c r="A208" s="13" t="s">
        <v>236</v>
      </c>
      <c r="B208" s="9" t="str">
        <f>VLOOKUP(A208,Data[],2,FALSE)</f>
        <v>BROOKLYN</v>
      </c>
      <c r="C208" s="9" t="s">
        <v>68</v>
      </c>
      <c r="D208" s="66">
        <f>VLOOKUP(ExtComp[[#This Row],[DEVELOPMENT]],Data[],8,FALSE)</f>
        <v>0</v>
      </c>
      <c r="E208" s="66">
        <f>VLOOKUP(ExtComp[[#This Row],[DEVELOPMENT]],Data[],9,FALSE)</f>
        <v>0</v>
      </c>
      <c r="F208" s="66" t="str">
        <f>IFERROR(VLOOKUP(ExtComp[[#This Row],[DEVELOPMENT]],Data[],4,FALSE),"")</f>
        <v/>
      </c>
      <c r="G208" s="66" t="str">
        <f>IF(ExtComp[[#This Row],[RAD/PACT]]="","",IF(ExtComp[[#This Row],[RAD/PACT]]&lt;=2025,"Yes",""))</f>
        <v/>
      </c>
      <c r="H208" s="67" t="str">
        <f ca="1">IF(VLOOKUP(ExtComp[[#This Row],[DEVELOPMENT]],Data[],11,FALSE)=0,"",DATEDIF(VLOOKUP(ExtComp[[#This Row],[DEVELOPMENT]],Data[],13,FALSE),TODAY(),"Y"))</f>
        <v/>
      </c>
      <c r="I208" s="67">
        <f>IF(ExtComp[[#This Row],[RAD/PACT]]="",VLOOKUP(ExtComp[[#This Row],[DEVELOPMENT]],Data[],11,FALSE),IF(ExtComp[[#This Row],[RAD/PACT by 2025]]="yes",0,VLOOKUP(ExtComp[[#This Row],[DEVELOPMENT]],Data[],11,FALSE)))</f>
        <v>0</v>
      </c>
      <c r="J208" s="63">
        <f ca="1">(ExtComp[[#This Row],['# to Replace]]*'Unit Costs'!$B$6)*(1+((ExtComp[[#This Row],[est. Year]]-YEAR(TODAY()))*$J$2))</f>
        <v>0</v>
      </c>
      <c r="K208" s="67">
        <f>SUM(INDEX(ExtComp['# to Replace],1):ExtComp[[#This Row],['# to Replace]])</f>
        <v>0</v>
      </c>
      <c r="L208" s="67">
        <f>ROUNDDOWN(ExtComp[[#This Row],[Count]]/50,0)+$L$1</f>
        <v>2020</v>
      </c>
      <c r="M208" s="81">
        <f t="shared" ca="1" si="3"/>
        <v>0</v>
      </c>
      <c r="N208" s="81" t="str">
        <f>IFERROR(VLOOKUP(ExtComp[[#This Row],[DEVELOPMENT]],Data[],22,FALSE),"")</f>
        <v/>
      </c>
      <c r="O208" s="67" t="str">
        <f>IFERROR(VLOOKUP(ExtComp[[#This Row],[DEVELOPMENT]],Data[],23,FALSE),"")</f>
        <v/>
      </c>
    </row>
    <row r="209" spans="1:15" x14ac:dyDescent="0.25">
      <c r="A209" s="13" t="s">
        <v>235</v>
      </c>
      <c r="B209" s="9" t="str">
        <f>VLOOKUP(A209,Data[],2,FALSE)</f>
        <v>BRONX</v>
      </c>
      <c r="C209" s="9"/>
      <c r="D209" s="66">
        <f>VLOOKUP(ExtComp[[#This Row],[DEVELOPMENT]],Data[],8,FALSE)</f>
        <v>0</v>
      </c>
      <c r="E209" s="66">
        <f>VLOOKUP(ExtComp[[#This Row],[DEVELOPMENT]],Data[],9,FALSE)</f>
        <v>0</v>
      </c>
      <c r="F209" s="66">
        <f>IFERROR(VLOOKUP(ExtComp[[#This Row],[DEVELOPMENT]],Data[],4,FALSE),"")</f>
        <v>2021</v>
      </c>
      <c r="G209" s="66" t="str">
        <f>IF(ExtComp[[#This Row],[RAD/PACT]]="","",IF(ExtComp[[#This Row],[RAD/PACT]]&lt;=2025,"Yes",""))</f>
        <v>Yes</v>
      </c>
      <c r="H209" s="67" t="str">
        <f ca="1">IF(VLOOKUP(ExtComp[[#This Row],[DEVELOPMENT]],Data[],11,FALSE)=0,"",DATEDIF(VLOOKUP(ExtComp[[#This Row],[DEVELOPMENT]],Data[],13,FALSE),TODAY(),"Y"))</f>
        <v/>
      </c>
      <c r="I209" s="67">
        <f>IF(ExtComp[[#This Row],[RAD/PACT]]="",VLOOKUP(ExtComp[[#This Row],[DEVELOPMENT]],Data[],11,FALSE),IF(ExtComp[[#This Row],[RAD/PACT by 2025]]="yes",0,VLOOKUP(ExtComp[[#This Row],[DEVELOPMENT]],Data[],11,FALSE)))</f>
        <v>0</v>
      </c>
      <c r="J209" s="63">
        <f ca="1">(ExtComp[[#This Row],['# to Replace]]*'Unit Costs'!$B$6)*(1+((ExtComp[[#This Row],[est. Year]]-YEAR(TODAY()))*$J$2))</f>
        <v>0</v>
      </c>
      <c r="K209" s="67">
        <f>SUM(INDEX(ExtComp['# to Replace],1):ExtComp[[#This Row],['# to Replace]])</f>
        <v>0</v>
      </c>
      <c r="L209" s="67">
        <f>ROUNDDOWN(ExtComp[[#This Row],[Count]]/50,0)+$L$1</f>
        <v>2020</v>
      </c>
      <c r="M209" s="81">
        <f t="shared" ca="1" si="3"/>
        <v>0</v>
      </c>
      <c r="N209" s="81" t="str">
        <f>IFERROR(VLOOKUP(ExtComp[[#This Row],[DEVELOPMENT]],Data[],22,FALSE),"")</f>
        <v/>
      </c>
      <c r="O209" s="67" t="str">
        <f>IFERROR(VLOOKUP(ExtComp[[#This Row],[DEVELOPMENT]],Data[],23,FALSE),"")</f>
        <v/>
      </c>
    </row>
    <row r="210" spans="1:15" x14ac:dyDescent="0.25">
      <c r="A210" s="13" t="s">
        <v>234</v>
      </c>
      <c r="B210" s="9" t="str">
        <f>VLOOKUP(A210,Data[],2,FALSE)</f>
        <v>BROOKLYN</v>
      </c>
      <c r="C210" s="9" t="s">
        <v>68</v>
      </c>
      <c r="D210" s="66">
        <f>VLOOKUP(ExtComp[[#This Row],[DEVELOPMENT]],Data[],8,FALSE)</f>
        <v>0</v>
      </c>
      <c r="E210" s="66">
        <f>VLOOKUP(ExtComp[[#This Row],[DEVELOPMENT]],Data[],9,FALSE)</f>
        <v>0</v>
      </c>
      <c r="F210" s="66" t="str">
        <f>IFERROR(VLOOKUP(ExtComp[[#This Row],[DEVELOPMENT]],Data[],4,FALSE),"")</f>
        <v/>
      </c>
      <c r="G210" s="66" t="str">
        <f>IF(ExtComp[[#This Row],[RAD/PACT]]="","",IF(ExtComp[[#This Row],[RAD/PACT]]&lt;=2025,"Yes",""))</f>
        <v/>
      </c>
      <c r="H210" s="67" t="str">
        <f ca="1">IF(VLOOKUP(ExtComp[[#This Row],[DEVELOPMENT]],Data[],11,FALSE)=0,"",DATEDIF(VLOOKUP(ExtComp[[#This Row],[DEVELOPMENT]],Data[],13,FALSE),TODAY(),"Y"))</f>
        <v/>
      </c>
      <c r="I210" s="67">
        <f>IF(ExtComp[[#This Row],[RAD/PACT]]="",VLOOKUP(ExtComp[[#This Row],[DEVELOPMENT]],Data[],11,FALSE),IF(ExtComp[[#This Row],[RAD/PACT by 2025]]="yes",0,VLOOKUP(ExtComp[[#This Row],[DEVELOPMENT]],Data[],11,FALSE)))</f>
        <v>0</v>
      </c>
      <c r="J210" s="63">
        <f ca="1">(ExtComp[[#This Row],['# to Replace]]*'Unit Costs'!$B$6)*(1+((ExtComp[[#This Row],[est. Year]]-YEAR(TODAY()))*$J$2))</f>
        <v>0</v>
      </c>
      <c r="K210" s="67">
        <f>SUM(INDEX(ExtComp['# to Replace],1):ExtComp[[#This Row],['# to Replace]])</f>
        <v>0</v>
      </c>
      <c r="L210" s="67">
        <f>ROUNDDOWN(ExtComp[[#This Row],[Count]]/50,0)+$L$1</f>
        <v>2020</v>
      </c>
      <c r="M210" s="81">
        <f t="shared" ca="1" si="3"/>
        <v>0</v>
      </c>
      <c r="N210" s="81" t="str">
        <f>IFERROR(VLOOKUP(ExtComp[[#This Row],[DEVELOPMENT]],Data[],22,FALSE),"")</f>
        <v/>
      </c>
      <c r="O210" s="67" t="str">
        <f>IFERROR(VLOOKUP(ExtComp[[#This Row],[DEVELOPMENT]],Data[],23,FALSE),"")</f>
        <v/>
      </c>
    </row>
    <row r="211" spans="1:15" x14ac:dyDescent="0.25">
      <c r="A211" s="13" t="s">
        <v>111</v>
      </c>
      <c r="B211" s="1" t="str">
        <f>VLOOKUP(A211,Data[],2,FALSE)</f>
        <v>MANHATTAN</v>
      </c>
      <c r="C211" s="9" t="s">
        <v>68</v>
      </c>
      <c r="D211" s="9" t="str">
        <f>VLOOKUP(ExtComp[[#This Row],[DEVELOPMENT]],Data[],8,FALSE)</f>
        <v>Zone 3</v>
      </c>
      <c r="E211" s="9" t="str">
        <f>VLOOKUP(ExtComp[[#This Row],[DEVELOPMENT]],Data[],9,FALSE)</f>
        <v>$</v>
      </c>
      <c r="F211" s="9" t="str">
        <f>IFERROR(VLOOKUP(ExtComp[[#This Row],[DEVELOPMENT]],Data[],4,FALSE),"")</f>
        <v/>
      </c>
      <c r="G211" s="9" t="str">
        <f>IF(ExtComp[[#This Row],[RAD/PACT]]="","",IF(ExtComp[[#This Row],[RAD/PACT]]&lt;=2025,"Yes",""))</f>
        <v/>
      </c>
      <c r="H211" s="1" t="str">
        <f ca="1">IF(VLOOKUP(ExtComp[[#This Row],[DEVELOPMENT]],Data[],11,FALSE)=0,"",DATEDIF(VLOOKUP(ExtComp[[#This Row],[DEVELOPMENT]],Data[],13,FALSE),TODAY(),"Y"))</f>
        <v/>
      </c>
      <c r="I211" s="1">
        <f>IF(ExtComp[[#This Row],[RAD/PACT]]="",VLOOKUP(ExtComp[[#This Row],[DEVELOPMENT]],Data[],11,FALSE),IF(ExtComp[[#This Row],[RAD/PACT by 2025]]="yes",0,VLOOKUP(ExtComp[[#This Row],[DEVELOPMENT]],Data[],11,FALSE)))</f>
        <v>0</v>
      </c>
      <c r="J211" s="63">
        <f ca="1">(ExtComp[[#This Row],['# to Replace]]*'Unit Costs'!$B$6)*(1+((ExtComp[[#This Row],[est. Year]]-YEAR(TODAY()))*$J$2))</f>
        <v>0</v>
      </c>
      <c r="K211" s="1">
        <f>SUM(INDEX(ExtComp['# to Replace],1):ExtComp[[#This Row],['# to Replace]])</f>
        <v>0</v>
      </c>
      <c r="L211" s="1">
        <f>ROUNDDOWN(ExtComp[[#This Row],[Count]]/50,0)+$L$1</f>
        <v>2020</v>
      </c>
      <c r="M211" s="81">
        <f t="shared" ca="1" si="3"/>
        <v>0</v>
      </c>
      <c r="N211" s="81" t="str">
        <f>IFERROR(VLOOKUP(ExtComp[[#This Row],[DEVELOPMENT]],Data[],22,FALSE),"")</f>
        <v/>
      </c>
      <c r="O211" s="88" t="str">
        <f>IFERROR(VLOOKUP(ExtComp[[#This Row],[DEVELOPMENT]],Data[],23,FALSE),"")</f>
        <v/>
      </c>
    </row>
    <row r="212" spans="1:15" x14ac:dyDescent="0.25">
      <c r="A212" s="13" t="s">
        <v>79</v>
      </c>
      <c r="B212" s="1" t="str">
        <f>VLOOKUP(A212,Data[],2,FALSE)</f>
        <v>MANHATTAN</v>
      </c>
      <c r="C212" s="9" t="s">
        <v>68</v>
      </c>
      <c r="D212" s="9" t="str">
        <f>VLOOKUP(ExtComp[[#This Row],[DEVELOPMENT]],Data[],8,FALSE)</f>
        <v>Zone 3</v>
      </c>
      <c r="E212" s="9" t="str">
        <f>VLOOKUP(ExtComp[[#This Row],[DEVELOPMENT]],Data[],9,FALSE)</f>
        <v>$</v>
      </c>
      <c r="F212" s="9">
        <f>IFERROR(VLOOKUP(ExtComp[[#This Row],[DEVELOPMENT]],Data[],4,FALSE),"")</f>
        <v>2019</v>
      </c>
      <c r="G212" s="9" t="str">
        <f>IF(ExtComp[[#This Row],[RAD/PACT]]="","",IF(ExtComp[[#This Row],[RAD/PACT]]&lt;=2025,"Yes",""))</f>
        <v>Yes</v>
      </c>
      <c r="H212" s="1" t="str">
        <f ca="1">IF(VLOOKUP(ExtComp[[#This Row],[DEVELOPMENT]],Data[],11,FALSE)=0,"",DATEDIF(VLOOKUP(ExtComp[[#This Row],[DEVELOPMENT]],Data[],13,FALSE),TODAY(),"Y"))</f>
        <v/>
      </c>
      <c r="I212" s="1">
        <f>IF(ExtComp[[#This Row],[RAD/PACT]]="",VLOOKUP(ExtComp[[#This Row],[DEVELOPMENT]],Data[],11,FALSE),IF(ExtComp[[#This Row],[RAD/PACT by 2025]]="yes",0,VLOOKUP(ExtComp[[#This Row],[DEVELOPMENT]],Data[],11,FALSE)))</f>
        <v>0</v>
      </c>
      <c r="J212" s="63">
        <f ca="1">(ExtComp[[#This Row],['# to Replace]]*'Unit Costs'!$B$6)*(1+((ExtComp[[#This Row],[est. Year]]-YEAR(TODAY()))*$J$2))</f>
        <v>0</v>
      </c>
      <c r="K212" s="1">
        <f>SUM(INDEX(ExtComp['# to Replace],1):ExtComp[[#This Row],['# to Replace]])</f>
        <v>0</v>
      </c>
      <c r="L212" s="1">
        <f>ROUNDDOWN(ExtComp[[#This Row],[Count]]/50,0)+$L$1</f>
        <v>2020</v>
      </c>
      <c r="M212" s="81">
        <f t="shared" ca="1" si="3"/>
        <v>0</v>
      </c>
      <c r="N212" s="81" t="str">
        <f>IFERROR(VLOOKUP(ExtComp[[#This Row],[DEVELOPMENT]],Data[],22,FALSE),"")</f>
        <v/>
      </c>
      <c r="O212" s="67" t="str">
        <f>IFERROR(VLOOKUP(ExtComp[[#This Row],[DEVELOPMENT]],Data[],23,FALSE),"")</f>
        <v/>
      </c>
    </row>
    <row r="213" spans="1:15" x14ac:dyDescent="0.25">
      <c r="A213" s="13" t="s">
        <v>233</v>
      </c>
      <c r="B213" s="9" t="str">
        <f>VLOOKUP(A213,Data[],2,FALSE)</f>
        <v>BRONX</v>
      </c>
      <c r="C213" s="9" t="s">
        <v>68</v>
      </c>
      <c r="D213" s="66">
        <f>VLOOKUP(ExtComp[[#This Row],[DEVELOPMENT]],Data[],8,FALSE)</f>
        <v>0</v>
      </c>
      <c r="E213" s="66">
        <f>VLOOKUP(ExtComp[[#This Row],[DEVELOPMENT]],Data[],9,FALSE)</f>
        <v>0</v>
      </c>
      <c r="F213" s="66" t="str">
        <f>IFERROR(VLOOKUP(ExtComp[[#This Row],[DEVELOPMENT]],Data[],4,FALSE),"")</f>
        <v/>
      </c>
      <c r="G213" s="66" t="str">
        <f>IF(ExtComp[[#This Row],[RAD/PACT]]="","",IF(ExtComp[[#This Row],[RAD/PACT]]&lt;=2025,"Yes",""))</f>
        <v/>
      </c>
      <c r="H213" s="67" t="str">
        <f ca="1">IF(VLOOKUP(ExtComp[[#This Row],[DEVELOPMENT]],Data[],11,FALSE)=0,"",DATEDIF(VLOOKUP(ExtComp[[#This Row],[DEVELOPMENT]],Data[],13,FALSE),TODAY(),"Y"))</f>
        <v/>
      </c>
      <c r="I213" s="67">
        <f>IF(ExtComp[[#This Row],[RAD/PACT]]="",VLOOKUP(ExtComp[[#This Row],[DEVELOPMENT]],Data[],11,FALSE),IF(ExtComp[[#This Row],[RAD/PACT by 2025]]="yes",0,VLOOKUP(ExtComp[[#This Row],[DEVELOPMENT]],Data[],11,FALSE)))</f>
        <v>0</v>
      </c>
      <c r="J213" s="63">
        <f ca="1">(ExtComp[[#This Row],['# to Replace]]*'Unit Costs'!$B$6)*(1+((ExtComp[[#This Row],[est. Year]]-YEAR(TODAY()))*$J$2))</f>
        <v>0</v>
      </c>
      <c r="K213" s="67">
        <f>SUM(INDEX(ExtComp['# to Replace],1):ExtComp[[#This Row],['# to Replace]])</f>
        <v>0</v>
      </c>
      <c r="L213" s="67">
        <f>ROUNDDOWN(ExtComp[[#This Row],[Count]]/50,0)+$L$1</f>
        <v>2020</v>
      </c>
      <c r="M213" s="81">
        <f t="shared" ca="1" si="3"/>
        <v>0</v>
      </c>
      <c r="N213" s="81" t="str">
        <f>IFERROR(VLOOKUP(ExtComp[[#This Row],[DEVELOPMENT]],Data[],22,FALSE),"")</f>
        <v/>
      </c>
      <c r="O213" s="88" t="str">
        <f>IFERROR(VLOOKUP(ExtComp[[#This Row],[DEVELOPMENT]],Data[],23,FALSE),"")</f>
        <v/>
      </c>
    </row>
    <row r="214" spans="1:15" x14ac:dyDescent="0.25">
      <c r="A214" s="13" t="s">
        <v>232</v>
      </c>
      <c r="B214" s="9" t="str">
        <f>VLOOKUP(A214,Data[],2,FALSE)</f>
        <v>BRONX</v>
      </c>
      <c r="C214" s="9" t="s">
        <v>68</v>
      </c>
      <c r="D214" s="66" t="str">
        <f>VLOOKUP(ExtComp[[#This Row],[DEVELOPMENT]],Data[],8,FALSE)</f>
        <v>Zone 4</v>
      </c>
      <c r="E214" s="66">
        <f>VLOOKUP(ExtComp[[#This Row],[DEVELOPMENT]],Data[],9,FALSE)</f>
        <v>0</v>
      </c>
      <c r="F214" s="66" t="str">
        <f>IFERROR(VLOOKUP(ExtComp[[#This Row],[DEVELOPMENT]],Data[],4,FALSE),"")</f>
        <v/>
      </c>
      <c r="G214" s="66" t="str">
        <f>IF(ExtComp[[#This Row],[RAD/PACT]]="","",IF(ExtComp[[#This Row],[RAD/PACT]]&lt;=2025,"Yes",""))</f>
        <v/>
      </c>
      <c r="H214" s="67" t="str">
        <f ca="1">IF(VLOOKUP(ExtComp[[#This Row],[DEVELOPMENT]],Data[],11,FALSE)=0,"",DATEDIF(VLOOKUP(ExtComp[[#This Row],[DEVELOPMENT]],Data[],13,FALSE),TODAY(),"Y"))</f>
        <v/>
      </c>
      <c r="I214" s="67">
        <f>IF(ExtComp[[#This Row],[RAD/PACT]]="",VLOOKUP(ExtComp[[#This Row],[DEVELOPMENT]],Data[],11,FALSE),IF(ExtComp[[#This Row],[RAD/PACT by 2025]]="yes",0,VLOOKUP(ExtComp[[#This Row],[DEVELOPMENT]],Data[],11,FALSE)))</f>
        <v>0</v>
      </c>
      <c r="J214" s="63">
        <f ca="1">(ExtComp[[#This Row],['# to Replace]]*'Unit Costs'!$B$6)*(1+((ExtComp[[#This Row],[est. Year]]-YEAR(TODAY()))*$J$2))</f>
        <v>0</v>
      </c>
      <c r="K214" s="67">
        <f>SUM(INDEX(ExtComp['# to Replace],1):ExtComp[[#This Row],['# to Replace]])</f>
        <v>0</v>
      </c>
      <c r="L214" s="67">
        <f>ROUNDDOWN(ExtComp[[#This Row],[Count]]/50,0)+$L$1</f>
        <v>2020</v>
      </c>
      <c r="M214" s="81">
        <f t="shared" ca="1" si="3"/>
        <v>0</v>
      </c>
      <c r="N214" s="81" t="str">
        <f>IFERROR(VLOOKUP(ExtComp[[#This Row],[DEVELOPMENT]],Data[],22,FALSE),"")</f>
        <v/>
      </c>
      <c r="O214" s="88" t="str">
        <f>IFERROR(VLOOKUP(ExtComp[[#This Row],[DEVELOPMENT]],Data[],23,FALSE),"")</f>
        <v/>
      </c>
    </row>
    <row r="215" spans="1:15" x14ac:dyDescent="0.25">
      <c r="A215" s="84" t="s">
        <v>231</v>
      </c>
      <c r="B215" s="1" t="str">
        <f>VLOOKUP(A215,Data[],2,FALSE)</f>
        <v>MANHATTAN</v>
      </c>
      <c r="C215" s="9" t="s">
        <v>68</v>
      </c>
      <c r="D215" s="9" t="str">
        <f>VLOOKUP(ExtComp[[#This Row],[DEVELOPMENT]],Data[],8,FALSE)</f>
        <v>Zone 1</v>
      </c>
      <c r="E215" s="9" t="str">
        <f>VLOOKUP(ExtComp[[#This Row],[DEVELOPMENT]],Data[],9,FALSE)</f>
        <v>$</v>
      </c>
      <c r="F215" s="9">
        <f>IFERROR(VLOOKUP(ExtComp[[#This Row],[DEVELOPMENT]],Data[],4,FALSE),"")</f>
        <v>2026</v>
      </c>
      <c r="G215" s="9" t="str">
        <f>IF(ExtComp[[#This Row],[RAD/PACT]]="","",IF(ExtComp[[#This Row],[RAD/PACT]]&lt;=2025,"Yes",""))</f>
        <v/>
      </c>
      <c r="H215" s="1" t="str">
        <f ca="1">IF(VLOOKUP(ExtComp[[#This Row],[DEVELOPMENT]],Data[],11,FALSE)=0,"",DATEDIF(VLOOKUP(ExtComp[[#This Row],[DEVELOPMENT]],Data[],13,FALSE),TODAY(),"Y"))</f>
        <v/>
      </c>
      <c r="I215" s="1">
        <f>IF(ExtComp[[#This Row],[RAD/PACT]]="",VLOOKUP(ExtComp[[#This Row],[DEVELOPMENT]],Data[],11,FALSE),IF(ExtComp[[#This Row],[RAD/PACT by 2025]]="yes",0,VLOOKUP(ExtComp[[#This Row],[DEVELOPMENT]],Data[],11,FALSE)))</f>
        <v>0</v>
      </c>
      <c r="J215" s="63">
        <f ca="1">(ExtComp[[#This Row],['# to Replace]]*'Unit Costs'!$B$6)*(1+((ExtComp[[#This Row],[est. Year]]-YEAR(TODAY()))*$J$2))</f>
        <v>0</v>
      </c>
      <c r="K215" s="1">
        <f>SUM(INDEX(ExtComp['# to Replace],1):ExtComp[[#This Row],['# to Replace]])</f>
        <v>0</v>
      </c>
      <c r="L215" s="1">
        <f>ROUNDDOWN(ExtComp[[#This Row],[Count]]/50,0)+$L$1</f>
        <v>2020</v>
      </c>
      <c r="M215" s="81">
        <f t="shared" ca="1" si="3"/>
        <v>0</v>
      </c>
      <c r="N215" s="81" t="str">
        <f>IFERROR(VLOOKUP(ExtComp[[#This Row],[DEVELOPMENT]],Data[],22,FALSE),"")</f>
        <v/>
      </c>
      <c r="O215" s="67" t="str">
        <f>IFERROR(VLOOKUP(ExtComp[[#This Row],[DEVELOPMENT]],Data[],23,FALSE),"")</f>
        <v/>
      </c>
    </row>
    <row r="216" spans="1:15" x14ac:dyDescent="0.25">
      <c r="A216" s="13" t="s">
        <v>230</v>
      </c>
      <c r="B216" s="9" t="str">
        <f>VLOOKUP(A216,Data[],2,FALSE)</f>
        <v>BROOKLYN</v>
      </c>
      <c r="C216" s="9" t="s">
        <v>68</v>
      </c>
      <c r="D216" s="66">
        <f>VLOOKUP(ExtComp[[#This Row],[DEVELOPMENT]],Data[],8,FALSE)</f>
        <v>0</v>
      </c>
      <c r="E216" s="66">
        <f>VLOOKUP(ExtComp[[#This Row],[DEVELOPMENT]],Data[],9,FALSE)</f>
        <v>0</v>
      </c>
      <c r="F216" s="66">
        <f>IFERROR(VLOOKUP(ExtComp[[#This Row],[DEVELOPMENT]],Data[],4,FALSE),"")</f>
        <v>2026</v>
      </c>
      <c r="G216" s="66" t="str">
        <f>IF(ExtComp[[#This Row],[RAD/PACT]]="","",IF(ExtComp[[#This Row],[RAD/PACT]]&lt;=2025,"Yes",""))</f>
        <v/>
      </c>
      <c r="H216" s="67" t="str">
        <f ca="1">IF(VLOOKUP(ExtComp[[#This Row],[DEVELOPMENT]],Data[],11,FALSE)=0,"",DATEDIF(VLOOKUP(ExtComp[[#This Row],[DEVELOPMENT]],Data[],13,FALSE),TODAY(),"Y"))</f>
        <v/>
      </c>
      <c r="I216" s="67">
        <f>IF(ExtComp[[#This Row],[RAD/PACT]]="",VLOOKUP(ExtComp[[#This Row],[DEVELOPMENT]],Data[],11,FALSE),IF(ExtComp[[#This Row],[RAD/PACT by 2025]]="yes",0,VLOOKUP(ExtComp[[#This Row],[DEVELOPMENT]],Data[],11,FALSE)))</f>
        <v>0</v>
      </c>
      <c r="J216" s="63">
        <f ca="1">(ExtComp[[#This Row],['# to Replace]]*'Unit Costs'!$B$6)*(1+((ExtComp[[#This Row],[est. Year]]-YEAR(TODAY()))*$J$2))</f>
        <v>0</v>
      </c>
      <c r="K216" s="67">
        <f>SUM(INDEX(ExtComp['# to Replace],1):ExtComp[[#This Row],['# to Replace]])</f>
        <v>0</v>
      </c>
      <c r="L216" s="67">
        <f>ROUNDDOWN(ExtComp[[#This Row],[Count]]/50,0)+$L$1</f>
        <v>2020</v>
      </c>
      <c r="M216" s="81">
        <f t="shared" ca="1" si="3"/>
        <v>0</v>
      </c>
      <c r="N216" s="81" t="str">
        <f>IFERROR(VLOOKUP(ExtComp[[#This Row],[DEVELOPMENT]],Data[],22,FALSE),"")</f>
        <v/>
      </c>
      <c r="O216" s="67" t="str">
        <f>IFERROR(VLOOKUP(ExtComp[[#This Row],[DEVELOPMENT]],Data[],23,FALSE),"")</f>
        <v/>
      </c>
    </row>
    <row r="217" spans="1:15" x14ac:dyDescent="0.25">
      <c r="A217" s="13" t="s">
        <v>229</v>
      </c>
      <c r="B217" s="9">
        <f>VLOOKUP(A217,Data[],2,FALSE)</f>
        <v>0</v>
      </c>
      <c r="C217" s="9" t="s">
        <v>68</v>
      </c>
      <c r="D217" s="66">
        <f>VLOOKUP(ExtComp[[#This Row],[DEVELOPMENT]],Data[],8,FALSE)</f>
        <v>0</v>
      </c>
      <c r="E217" s="66">
        <f>VLOOKUP(ExtComp[[#This Row],[DEVELOPMENT]],Data[],9,FALSE)</f>
        <v>0</v>
      </c>
      <c r="F217" s="66" t="str">
        <f>IFERROR(VLOOKUP(ExtComp[[#This Row],[DEVELOPMENT]],Data[],4,FALSE),"")</f>
        <v/>
      </c>
      <c r="G217" s="66" t="str">
        <f>IF(ExtComp[[#This Row],[RAD/PACT]]="","",IF(ExtComp[[#This Row],[RAD/PACT]]&lt;=2025,"Yes",""))</f>
        <v/>
      </c>
      <c r="H217" s="67" t="str">
        <f ca="1">IF(VLOOKUP(ExtComp[[#This Row],[DEVELOPMENT]],Data[],11,FALSE)=0,"",DATEDIF(VLOOKUP(ExtComp[[#This Row],[DEVELOPMENT]],Data[],13,FALSE),TODAY(),"Y"))</f>
        <v/>
      </c>
      <c r="I217" s="67">
        <f>IF(ExtComp[[#This Row],[RAD/PACT]]="",VLOOKUP(ExtComp[[#This Row],[DEVELOPMENT]],Data[],11,FALSE),IF(ExtComp[[#This Row],[RAD/PACT by 2025]]="yes",0,VLOOKUP(ExtComp[[#This Row],[DEVELOPMENT]],Data[],11,FALSE)))</f>
        <v>0</v>
      </c>
      <c r="J217" s="63">
        <f ca="1">(ExtComp[[#This Row],['# to Replace]]*'Unit Costs'!$B$6)*(1+((ExtComp[[#This Row],[est. Year]]-YEAR(TODAY()))*$J$2))</f>
        <v>0</v>
      </c>
      <c r="K217" s="67">
        <f>SUM(INDEX(ExtComp['# to Replace],1):ExtComp[[#This Row],['# to Replace]])</f>
        <v>0</v>
      </c>
      <c r="L217" s="67">
        <f>ROUNDDOWN(ExtComp[[#This Row],[Count]]/50,0)+$L$1</f>
        <v>2020</v>
      </c>
      <c r="M217" s="81">
        <f t="shared" ca="1" si="3"/>
        <v>0</v>
      </c>
      <c r="N217" s="81" t="str">
        <f>IFERROR(VLOOKUP(ExtComp[[#This Row],[DEVELOPMENT]],Data[],22,FALSE),"")</f>
        <v/>
      </c>
      <c r="O217" s="67" t="str">
        <f>IFERROR(VLOOKUP(ExtComp[[#This Row],[DEVELOPMENT]],Data[],23,FALSE),"")</f>
        <v/>
      </c>
    </row>
    <row r="218" spans="1:15" x14ac:dyDescent="0.25">
      <c r="A218" s="13" t="s">
        <v>228</v>
      </c>
      <c r="B218" s="9">
        <f>VLOOKUP(A218,Data[],2,FALSE)</f>
        <v>0</v>
      </c>
      <c r="C218" s="9" t="s">
        <v>68</v>
      </c>
      <c r="D218" s="66">
        <f>VLOOKUP(ExtComp[[#This Row],[DEVELOPMENT]],Data[],8,FALSE)</f>
        <v>0</v>
      </c>
      <c r="E218" s="66">
        <f>VLOOKUP(ExtComp[[#This Row],[DEVELOPMENT]],Data[],9,FALSE)</f>
        <v>0</v>
      </c>
      <c r="F218" s="66" t="str">
        <f>IFERROR(VLOOKUP(ExtComp[[#This Row],[DEVELOPMENT]],Data[],4,FALSE),"")</f>
        <v/>
      </c>
      <c r="G218" s="66" t="str">
        <f>IF(ExtComp[[#This Row],[RAD/PACT]]="","",IF(ExtComp[[#This Row],[RAD/PACT]]&lt;=2025,"Yes",""))</f>
        <v/>
      </c>
      <c r="H218" s="67" t="str">
        <f ca="1">IF(VLOOKUP(ExtComp[[#This Row],[DEVELOPMENT]],Data[],11,FALSE)=0,"",DATEDIF(VLOOKUP(ExtComp[[#This Row],[DEVELOPMENT]],Data[],13,FALSE),TODAY(),"Y"))</f>
        <v/>
      </c>
      <c r="I218" s="67">
        <f>IF(ExtComp[[#This Row],[RAD/PACT]]="",VLOOKUP(ExtComp[[#This Row],[DEVELOPMENT]],Data[],11,FALSE),IF(ExtComp[[#This Row],[RAD/PACT by 2025]]="yes",0,VLOOKUP(ExtComp[[#This Row],[DEVELOPMENT]],Data[],11,FALSE)))</f>
        <v>0</v>
      </c>
      <c r="J218" s="63">
        <f ca="1">(ExtComp[[#This Row],['# to Replace]]*'Unit Costs'!$B$6)*(1+((ExtComp[[#This Row],[est. Year]]-YEAR(TODAY()))*$J$2))</f>
        <v>0</v>
      </c>
      <c r="K218" s="67">
        <f>SUM(INDEX(ExtComp['# to Replace],1):ExtComp[[#This Row],['# to Replace]])</f>
        <v>0</v>
      </c>
      <c r="L218" s="67">
        <f>ROUNDDOWN(ExtComp[[#This Row],[Count]]/50,0)+$L$1</f>
        <v>2020</v>
      </c>
      <c r="M218" s="81">
        <f t="shared" ca="1" si="3"/>
        <v>0</v>
      </c>
      <c r="N218" s="81" t="str">
        <f>IFERROR(VLOOKUP(ExtComp[[#This Row],[DEVELOPMENT]],Data[],22,FALSE),"")</f>
        <v/>
      </c>
      <c r="O218" s="67" t="str">
        <f>IFERROR(VLOOKUP(ExtComp[[#This Row],[DEVELOPMENT]],Data[],23,FALSE),"")</f>
        <v/>
      </c>
    </row>
    <row r="219" spans="1:15" x14ac:dyDescent="0.25">
      <c r="A219" s="13" t="s">
        <v>227</v>
      </c>
      <c r="B219" s="9">
        <f>VLOOKUP(A219,Data[],2,FALSE)</f>
        <v>0</v>
      </c>
      <c r="C219" s="9" t="s">
        <v>68</v>
      </c>
      <c r="D219" s="66">
        <f>VLOOKUP(ExtComp[[#This Row],[DEVELOPMENT]],Data[],8,FALSE)</f>
        <v>0</v>
      </c>
      <c r="E219" s="66">
        <f>VLOOKUP(ExtComp[[#This Row],[DEVELOPMENT]],Data[],9,FALSE)</f>
        <v>0</v>
      </c>
      <c r="F219" s="66" t="str">
        <f>IFERROR(VLOOKUP(ExtComp[[#This Row],[DEVELOPMENT]],Data[],4,FALSE),"")</f>
        <v/>
      </c>
      <c r="G219" s="66" t="str">
        <f>IF(ExtComp[[#This Row],[RAD/PACT]]="","",IF(ExtComp[[#This Row],[RAD/PACT]]&lt;=2025,"Yes",""))</f>
        <v/>
      </c>
      <c r="H219" s="67" t="str">
        <f ca="1">IF(VLOOKUP(ExtComp[[#This Row],[DEVELOPMENT]],Data[],11,FALSE)=0,"",DATEDIF(VLOOKUP(ExtComp[[#This Row],[DEVELOPMENT]],Data[],13,FALSE),TODAY(),"Y"))</f>
        <v/>
      </c>
      <c r="I219" s="67">
        <f>IF(ExtComp[[#This Row],[RAD/PACT]]="",VLOOKUP(ExtComp[[#This Row],[DEVELOPMENT]],Data[],11,FALSE),IF(ExtComp[[#This Row],[RAD/PACT by 2025]]="yes",0,VLOOKUP(ExtComp[[#This Row],[DEVELOPMENT]],Data[],11,FALSE)))</f>
        <v>0</v>
      </c>
      <c r="J219" s="63">
        <f ca="1">(ExtComp[[#This Row],['# to Replace]]*'Unit Costs'!$B$6)*(1+((ExtComp[[#This Row],[est. Year]]-YEAR(TODAY()))*$J$2))</f>
        <v>0</v>
      </c>
      <c r="K219" s="67">
        <f>SUM(INDEX(ExtComp['# to Replace],1):ExtComp[[#This Row],['# to Replace]])</f>
        <v>0</v>
      </c>
      <c r="L219" s="67">
        <f>ROUNDDOWN(ExtComp[[#This Row],[Count]]/50,0)+$L$1</f>
        <v>2020</v>
      </c>
      <c r="M219" s="81">
        <f t="shared" ca="1" si="3"/>
        <v>0</v>
      </c>
      <c r="N219" s="81" t="str">
        <f>IFERROR(VLOOKUP(ExtComp[[#This Row],[DEVELOPMENT]],Data[],22,FALSE),"")</f>
        <v/>
      </c>
      <c r="O219" s="67" t="str">
        <f>IFERROR(VLOOKUP(ExtComp[[#This Row],[DEVELOPMENT]],Data[],23,FALSE),"")</f>
        <v/>
      </c>
    </row>
    <row r="220" spans="1:15" x14ac:dyDescent="0.25">
      <c r="A220" s="13" t="s">
        <v>226</v>
      </c>
      <c r="B220" s="9">
        <f>VLOOKUP(A220,Data[],2,FALSE)</f>
        <v>0</v>
      </c>
      <c r="C220" s="9" t="s">
        <v>68</v>
      </c>
      <c r="D220" s="66">
        <f>VLOOKUP(ExtComp[[#This Row],[DEVELOPMENT]],Data[],8,FALSE)</f>
        <v>0</v>
      </c>
      <c r="E220" s="66">
        <f>VLOOKUP(ExtComp[[#This Row],[DEVELOPMENT]],Data[],9,FALSE)</f>
        <v>0</v>
      </c>
      <c r="F220" s="66" t="str">
        <f>IFERROR(VLOOKUP(ExtComp[[#This Row],[DEVELOPMENT]],Data[],4,FALSE),"")</f>
        <v/>
      </c>
      <c r="G220" s="66" t="str">
        <f>IF(ExtComp[[#This Row],[RAD/PACT]]="","",IF(ExtComp[[#This Row],[RAD/PACT]]&lt;=2025,"Yes",""))</f>
        <v/>
      </c>
      <c r="H220" s="67" t="str">
        <f ca="1">IF(VLOOKUP(ExtComp[[#This Row],[DEVELOPMENT]],Data[],11,FALSE)=0,"",DATEDIF(VLOOKUP(ExtComp[[#This Row],[DEVELOPMENT]],Data[],13,FALSE),TODAY(),"Y"))</f>
        <v/>
      </c>
      <c r="I220" s="67">
        <f>IF(ExtComp[[#This Row],[RAD/PACT]]="",VLOOKUP(ExtComp[[#This Row],[DEVELOPMENT]],Data[],11,FALSE),IF(ExtComp[[#This Row],[RAD/PACT by 2025]]="yes",0,VLOOKUP(ExtComp[[#This Row],[DEVELOPMENT]],Data[],11,FALSE)))</f>
        <v>0</v>
      </c>
      <c r="J220" s="63">
        <f ca="1">(ExtComp[[#This Row],['# to Replace]]*'Unit Costs'!$B$6)*(1+((ExtComp[[#This Row],[est. Year]]-YEAR(TODAY()))*$J$2))</f>
        <v>0</v>
      </c>
      <c r="K220" s="67">
        <f>SUM(INDEX(ExtComp['# to Replace],1):ExtComp[[#This Row],['# to Replace]])</f>
        <v>0</v>
      </c>
      <c r="L220" s="67">
        <f>ROUNDDOWN(ExtComp[[#This Row],[Count]]/50,0)+$L$1</f>
        <v>2020</v>
      </c>
      <c r="M220" s="81">
        <f t="shared" ca="1" si="3"/>
        <v>0</v>
      </c>
      <c r="N220" s="81" t="str">
        <f>IFERROR(VLOOKUP(ExtComp[[#This Row],[DEVELOPMENT]],Data[],22,FALSE),"")</f>
        <v/>
      </c>
      <c r="O220" s="67" t="str">
        <f>IFERROR(VLOOKUP(ExtComp[[#This Row],[DEVELOPMENT]],Data[],23,FALSE),"")</f>
        <v/>
      </c>
    </row>
    <row r="221" spans="1:15" x14ac:dyDescent="0.25">
      <c r="A221" s="13" t="s">
        <v>225</v>
      </c>
      <c r="B221" s="9">
        <f>VLOOKUP(A221,Data[],2,FALSE)</f>
        <v>0</v>
      </c>
      <c r="C221" s="9" t="s">
        <v>68</v>
      </c>
      <c r="D221" s="66">
        <f>VLOOKUP(ExtComp[[#This Row],[DEVELOPMENT]],Data[],8,FALSE)</f>
        <v>0</v>
      </c>
      <c r="E221" s="66">
        <f>VLOOKUP(ExtComp[[#This Row],[DEVELOPMENT]],Data[],9,FALSE)</f>
        <v>0</v>
      </c>
      <c r="F221" s="66" t="str">
        <f>IFERROR(VLOOKUP(ExtComp[[#This Row],[DEVELOPMENT]],Data[],4,FALSE),"")</f>
        <v/>
      </c>
      <c r="G221" s="66" t="str">
        <f>IF(ExtComp[[#This Row],[RAD/PACT]]="","",IF(ExtComp[[#This Row],[RAD/PACT]]&lt;=2025,"Yes",""))</f>
        <v/>
      </c>
      <c r="H221" s="67" t="str">
        <f ca="1">IF(VLOOKUP(ExtComp[[#This Row],[DEVELOPMENT]],Data[],11,FALSE)=0,"",DATEDIF(VLOOKUP(ExtComp[[#This Row],[DEVELOPMENT]],Data[],13,FALSE),TODAY(),"Y"))</f>
        <v/>
      </c>
      <c r="I221" s="67">
        <f>IF(ExtComp[[#This Row],[RAD/PACT]]="",VLOOKUP(ExtComp[[#This Row],[DEVELOPMENT]],Data[],11,FALSE),IF(ExtComp[[#This Row],[RAD/PACT by 2025]]="yes",0,VLOOKUP(ExtComp[[#This Row],[DEVELOPMENT]],Data[],11,FALSE)))</f>
        <v>0</v>
      </c>
      <c r="J221" s="63">
        <f ca="1">(ExtComp[[#This Row],['# to Replace]]*'Unit Costs'!$B$6)*(1+((ExtComp[[#This Row],[est. Year]]-YEAR(TODAY()))*$J$2))</f>
        <v>0</v>
      </c>
      <c r="K221" s="67">
        <f>SUM(INDEX(ExtComp['# to Replace],1):ExtComp[[#This Row],['# to Replace]])</f>
        <v>0</v>
      </c>
      <c r="L221" s="67">
        <f>ROUNDDOWN(ExtComp[[#This Row],[Count]]/50,0)+$L$1</f>
        <v>2020</v>
      </c>
      <c r="M221" s="81">
        <f t="shared" ca="1" si="3"/>
        <v>0</v>
      </c>
      <c r="N221" s="81" t="str">
        <f>IFERROR(VLOOKUP(ExtComp[[#This Row],[DEVELOPMENT]],Data[],22,FALSE),"")</f>
        <v/>
      </c>
      <c r="O221" s="67" t="str">
        <f>IFERROR(VLOOKUP(ExtComp[[#This Row],[DEVELOPMENT]],Data[],23,FALSE),"")</f>
        <v/>
      </c>
    </row>
    <row r="222" spans="1:15" x14ac:dyDescent="0.25">
      <c r="A222" s="13" t="s">
        <v>224</v>
      </c>
      <c r="B222" s="9">
        <f>VLOOKUP(A222,Data[],2,FALSE)</f>
        <v>0</v>
      </c>
      <c r="C222" s="9" t="s">
        <v>68</v>
      </c>
      <c r="D222" s="66" t="str">
        <f>VLOOKUP(ExtComp[[#This Row],[DEVELOPMENT]],Data[],8,FALSE)</f>
        <v>Zone 4</v>
      </c>
      <c r="E222" s="66">
        <f>VLOOKUP(ExtComp[[#This Row],[DEVELOPMENT]],Data[],9,FALSE)</f>
        <v>0</v>
      </c>
      <c r="F222" s="66" t="str">
        <f>IFERROR(VLOOKUP(ExtComp[[#This Row],[DEVELOPMENT]],Data[],4,FALSE),"")</f>
        <v/>
      </c>
      <c r="G222" s="66" t="str">
        <f>IF(ExtComp[[#This Row],[RAD/PACT]]="","",IF(ExtComp[[#This Row],[RAD/PACT]]&lt;=2025,"Yes",""))</f>
        <v/>
      </c>
      <c r="H222" s="67" t="str">
        <f ca="1">IF(VLOOKUP(ExtComp[[#This Row],[DEVELOPMENT]],Data[],11,FALSE)=0,"",DATEDIF(VLOOKUP(ExtComp[[#This Row],[DEVELOPMENT]],Data[],13,FALSE),TODAY(),"Y"))</f>
        <v/>
      </c>
      <c r="I222" s="67">
        <f>IF(ExtComp[[#This Row],[RAD/PACT]]="",VLOOKUP(ExtComp[[#This Row],[DEVELOPMENT]],Data[],11,FALSE),IF(ExtComp[[#This Row],[RAD/PACT by 2025]]="yes",0,VLOOKUP(ExtComp[[#This Row],[DEVELOPMENT]],Data[],11,FALSE)))</f>
        <v>0</v>
      </c>
      <c r="J222" s="63">
        <f ca="1">(ExtComp[[#This Row],['# to Replace]]*'Unit Costs'!$B$6)*(1+((ExtComp[[#This Row],[est. Year]]-YEAR(TODAY()))*$J$2))</f>
        <v>0</v>
      </c>
      <c r="K222" s="67">
        <f>SUM(INDEX(ExtComp['# to Replace],1):ExtComp[[#This Row],['# to Replace]])</f>
        <v>0</v>
      </c>
      <c r="L222" s="67">
        <f>ROUNDDOWN(ExtComp[[#This Row],[Count]]/50,0)+$L$1</f>
        <v>2020</v>
      </c>
      <c r="M222" s="81">
        <f t="shared" ca="1" si="3"/>
        <v>0</v>
      </c>
      <c r="N222" s="81" t="str">
        <f>IFERROR(VLOOKUP(ExtComp[[#This Row],[DEVELOPMENT]],Data[],22,FALSE),"")</f>
        <v/>
      </c>
      <c r="O222" s="67" t="str">
        <f>IFERROR(VLOOKUP(ExtComp[[#This Row],[DEVELOPMENT]],Data[],23,FALSE),"")</f>
        <v/>
      </c>
    </row>
    <row r="223" spans="1:15" x14ac:dyDescent="0.25">
      <c r="A223" s="13" t="s">
        <v>223</v>
      </c>
      <c r="B223" s="9">
        <f>VLOOKUP(A223,Data[],2,FALSE)</f>
        <v>0</v>
      </c>
      <c r="C223" s="9" t="s">
        <v>68</v>
      </c>
      <c r="D223" s="66">
        <f>VLOOKUP(ExtComp[[#This Row],[DEVELOPMENT]],Data[],8,FALSE)</f>
        <v>0</v>
      </c>
      <c r="E223" s="66">
        <f>VLOOKUP(ExtComp[[#This Row],[DEVELOPMENT]],Data[],9,FALSE)</f>
        <v>0</v>
      </c>
      <c r="F223" s="66" t="str">
        <f>IFERROR(VLOOKUP(ExtComp[[#This Row],[DEVELOPMENT]],Data[],4,FALSE),"")</f>
        <v/>
      </c>
      <c r="G223" s="66" t="str">
        <f>IF(ExtComp[[#This Row],[RAD/PACT]]="","",IF(ExtComp[[#This Row],[RAD/PACT]]&lt;=2025,"Yes",""))</f>
        <v/>
      </c>
      <c r="H223" s="67" t="str">
        <f ca="1">IF(VLOOKUP(ExtComp[[#This Row],[DEVELOPMENT]],Data[],11,FALSE)=0,"",DATEDIF(VLOOKUP(ExtComp[[#This Row],[DEVELOPMENT]],Data[],13,FALSE),TODAY(),"Y"))</f>
        <v/>
      </c>
      <c r="I223" s="67">
        <f>IF(ExtComp[[#This Row],[RAD/PACT]]="",VLOOKUP(ExtComp[[#This Row],[DEVELOPMENT]],Data[],11,FALSE),IF(ExtComp[[#This Row],[RAD/PACT by 2025]]="yes",0,VLOOKUP(ExtComp[[#This Row],[DEVELOPMENT]],Data[],11,FALSE)))</f>
        <v>0</v>
      </c>
      <c r="J223" s="63">
        <f ca="1">(ExtComp[[#This Row],['# to Replace]]*'Unit Costs'!$B$6)*(1+((ExtComp[[#This Row],[est. Year]]-YEAR(TODAY()))*$J$2))</f>
        <v>0</v>
      </c>
      <c r="K223" s="67">
        <f>SUM(INDEX(ExtComp['# to Replace],1):ExtComp[[#This Row],['# to Replace]])</f>
        <v>0</v>
      </c>
      <c r="L223" s="67">
        <f>ROUNDDOWN(ExtComp[[#This Row],[Count]]/50,0)+$L$1</f>
        <v>2020</v>
      </c>
      <c r="M223" s="81">
        <f t="shared" ca="1" si="3"/>
        <v>0</v>
      </c>
      <c r="N223" s="81" t="str">
        <f>IFERROR(VLOOKUP(ExtComp[[#This Row],[DEVELOPMENT]],Data[],22,FALSE),"")</f>
        <v/>
      </c>
      <c r="O223" s="67" t="str">
        <f>IFERROR(VLOOKUP(ExtComp[[#This Row],[DEVELOPMENT]],Data[],23,FALSE),"")</f>
        <v/>
      </c>
    </row>
    <row r="224" spans="1:15" x14ac:dyDescent="0.25">
      <c r="A224" s="13" t="s">
        <v>222</v>
      </c>
      <c r="B224" s="9">
        <f>VLOOKUP(A224,Data[],2,FALSE)</f>
        <v>0</v>
      </c>
      <c r="C224" s="9" t="s">
        <v>68</v>
      </c>
      <c r="D224" s="66">
        <f>VLOOKUP(ExtComp[[#This Row],[DEVELOPMENT]],Data[],8,FALSE)</f>
        <v>0</v>
      </c>
      <c r="E224" s="66">
        <f>VLOOKUP(ExtComp[[#This Row],[DEVELOPMENT]],Data[],9,FALSE)</f>
        <v>0</v>
      </c>
      <c r="F224" s="66" t="str">
        <f>IFERROR(VLOOKUP(ExtComp[[#This Row],[DEVELOPMENT]],Data[],4,FALSE),"")</f>
        <v/>
      </c>
      <c r="G224" s="66" t="str">
        <f>IF(ExtComp[[#This Row],[RAD/PACT]]="","",IF(ExtComp[[#This Row],[RAD/PACT]]&lt;=2025,"Yes",""))</f>
        <v/>
      </c>
      <c r="H224" s="67" t="str">
        <f ca="1">IF(VLOOKUP(ExtComp[[#This Row],[DEVELOPMENT]],Data[],11,FALSE)=0,"",DATEDIF(VLOOKUP(ExtComp[[#This Row],[DEVELOPMENT]],Data[],13,FALSE),TODAY(),"Y"))</f>
        <v/>
      </c>
      <c r="I224" s="67">
        <f>IF(ExtComp[[#This Row],[RAD/PACT]]="",VLOOKUP(ExtComp[[#This Row],[DEVELOPMENT]],Data[],11,FALSE),IF(ExtComp[[#This Row],[RAD/PACT by 2025]]="yes",0,VLOOKUP(ExtComp[[#This Row],[DEVELOPMENT]],Data[],11,FALSE)))</f>
        <v>0</v>
      </c>
      <c r="J224" s="63">
        <f ca="1">(ExtComp[[#This Row],['# to Replace]]*'Unit Costs'!$B$6)*(1+((ExtComp[[#This Row],[est. Year]]-YEAR(TODAY()))*$J$2))</f>
        <v>0</v>
      </c>
      <c r="K224" s="67">
        <f>SUM(INDEX(ExtComp['# to Replace],1):ExtComp[[#This Row],['# to Replace]])</f>
        <v>0</v>
      </c>
      <c r="L224" s="67">
        <f>ROUNDDOWN(ExtComp[[#This Row],[Count]]/50,0)+$L$1</f>
        <v>2020</v>
      </c>
      <c r="M224" s="81">
        <f t="shared" ca="1" si="3"/>
        <v>0</v>
      </c>
      <c r="N224" s="81" t="str">
        <f>IFERROR(VLOOKUP(ExtComp[[#This Row],[DEVELOPMENT]],Data[],22,FALSE),"")</f>
        <v/>
      </c>
      <c r="O224" s="67" t="str">
        <f>IFERROR(VLOOKUP(ExtComp[[#This Row],[DEVELOPMENT]],Data[],23,FALSE),"")</f>
        <v/>
      </c>
    </row>
    <row r="225" spans="1:15" x14ac:dyDescent="0.25">
      <c r="A225" s="13" t="s">
        <v>221</v>
      </c>
      <c r="B225" s="9">
        <f>VLOOKUP(A225,Data[],2,FALSE)</f>
        <v>0</v>
      </c>
      <c r="C225" s="9" t="s">
        <v>68</v>
      </c>
      <c r="D225" s="66">
        <f>VLOOKUP(ExtComp[[#This Row],[DEVELOPMENT]],Data[],8,FALSE)</f>
        <v>0</v>
      </c>
      <c r="E225" s="66">
        <f>VLOOKUP(ExtComp[[#This Row],[DEVELOPMENT]],Data[],9,FALSE)</f>
        <v>0</v>
      </c>
      <c r="F225" s="66" t="str">
        <f>IFERROR(VLOOKUP(ExtComp[[#This Row],[DEVELOPMENT]],Data[],4,FALSE),"")</f>
        <v/>
      </c>
      <c r="G225" s="66" t="str">
        <f>IF(ExtComp[[#This Row],[RAD/PACT]]="","",IF(ExtComp[[#This Row],[RAD/PACT]]&lt;=2025,"Yes",""))</f>
        <v/>
      </c>
      <c r="H225" s="67" t="str">
        <f ca="1">IF(VLOOKUP(ExtComp[[#This Row],[DEVELOPMENT]],Data[],11,FALSE)=0,"",DATEDIF(VLOOKUP(ExtComp[[#This Row],[DEVELOPMENT]],Data[],13,FALSE),TODAY(),"Y"))</f>
        <v/>
      </c>
      <c r="I225" s="67">
        <f>IF(ExtComp[[#This Row],[RAD/PACT]]="",VLOOKUP(ExtComp[[#This Row],[DEVELOPMENT]],Data[],11,FALSE),IF(ExtComp[[#This Row],[RAD/PACT by 2025]]="yes",0,VLOOKUP(ExtComp[[#This Row],[DEVELOPMENT]],Data[],11,FALSE)))</f>
        <v>0</v>
      </c>
      <c r="J225" s="63">
        <f ca="1">(ExtComp[[#This Row],['# to Replace]]*'Unit Costs'!$B$6)*(1+((ExtComp[[#This Row],[est. Year]]-YEAR(TODAY()))*$J$2))</f>
        <v>0</v>
      </c>
      <c r="K225" s="67">
        <f>SUM(INDEX(ExtComp['# to Replace],1):ExtComp[[#This Row],['# to Replace]])</f>
        <v>0</v>
      </c>
      <c r="L225" s="67">
        <f>ROUNDDOWN(ExtComp[[#This Row],[Count]]/50,0)+$L$1</f>
        <v>2020</v>
      </c>
      <c r="M225" s="81">
        <f t="shared" ca="1" si="3"/>
        <v>0</v>
      </c>
      <c r="N225" s="81" t="str">
        <f>IFERROR(VLOOKUP(ExtComp[[#This Row],[DEVELOPMENT]],Data[],22,FALSE),"")</f>
        <v/>
      </c>
      <c r="O225" s="67" t="str">
        <f>IFERROR(VLOOKUP(ExtComp[[#This Row],[DEVELOPMENT]],Data[],23,FALSE),"")</f>
        <v/>
      </c>
    </row>
    <row r="226" spans="1:15" x14ac:dyDescent="0.25">
      <c r="A226" s="13" t="s">
        <v>220</v>
      </c>
      <c r="B226" s="9">
        <f>VLOOKUP(A226,Data[],2,FALSE)</f>
        <v>0</v>
      </c>
      <c r="C226" s="9" t="s">
        <v>68</v>
      </c>
      <c r="D226" s="66">
        <f>VLOOKUP(ExtComp[[#This Row],[DEVELOPMENT]],Data[],8,FALSE)</f>
        <v>0</v>
      </c>
      <c r="E226" s="66">
        <f>VLOOKUP(ExtComp[[#This Row],[DEVELOPMENT]],Data[],9,FALSE)</f>
        <v>0</v>
      </c>
      <c r="F226" s="66" t="str">
        <f>IFERROR(VLOOKUP(ExtComp[[#This Row],[DEVELOPMENT]],Data[],4,FALSE),"")</f>
        <v/>
      </c>
      <c r="G226" s="66" t="str">
        <f>IF(ExtComp[[#This Row],[RAD/PACT]]="","",IF(ExtComp[[#This Row],[RAD/PACT]]&lt;=2025,"Yes",""))</f>
        <v/>
      </c>
      <c r="H226" s="67" t="str">
        <f ca="1">IF(VLOOKUP(ExtComp[[#This Row],[DEVELOPMENT]],Data[],11,FALSE)=0,"",DATEDIF(VLOOKUP(ExtComp[[#This Row],[DEVELOPMENT]],Data[],13,FALSE),TODAY(),"Y"))</f>
        <v/>
      </c>
      <c r="I226" s="67">
        <f>IF(ExtComp[[#This Row],[RAD/PACT]]="",VLOOKUP(ExtComp[[#This Row],[DEVELOPMENT]],Data[],11,FALSE),IF(ExtComp[[#This Row],[RAD/PACT by 2025]]="yes",0,VLOOKUP(ExtComp[[#This Row],[DEVELOPMENT]],Data[],11,FALSE)))</f>
        <v>0</v>
      </c>
      <c r="J226" s="63">
        <f ca="1">(ExtComp[[#This Row],['# to Replace]]*'Unit Costs'!$B$6)*(1+((ExtComp[[#This Row],[est. Year]]-YEAR(TODAY()))*$J$2))</f>
        <v>0</v>
      </c>
      <c r="K226" s="67">
        <f>SUM(INDEX(ExtComp['# to Replace],1):ExtComp[[#This Row],['# to Replace]])</f>
        <v>0</v>
      </c>
      <c r="L226" s="67">
        <f>ROUNDDOWN(ExtComp[[#This Row],[Count]]/50,0)+$L$1</f>
        <v>2020</v>
      </c>
      <c r="M226" s="81">
        <f t="shared" ca="1" si="3"/>
        <v>0</v>
      </c>
      <c r="N226" s="81" t="str">
        <f>IFERROR(VLOOKUP(ExtComp[[#This Row],[DEVELOPMENT]],Data[],22,FALSE),"")</f>
        <v/>
      </c>
      <c r="O226" s="67" t="str">
        <f>IFERROR(VLOOKUP(ExtComp[[#This Row],[DEVELOPMENT]],Data[],23,FALSE),"")</f>
        <v/>
      </c>
    </row>
    <row r="227" spans="1:15" x14ac:dyDescent="0.25">
      <c r="A227" s="13" t="s">
        <v>219</v>
      </c>
      <c r="B227" s="9" t="str">
        <f>VLOOKUP(A227,Data[],2,FALSE)</f>
        <v>BROOKLYN</v>
      </c>
      <c r="C227" s="9"/>
      <c r="D227" s="66">
        <f>VLOOKUP(ExtComp[[#This Row],[DEVELOPMENT]],Data[],8,FALSE)</f>
        <v>0</v>
      </c>
      <c r="E227" s="66">
        <f>VLOOKUP(ExtComp[[#This Row],[DEVELOPMENT]],Data[],9,FALSE)</f>
        <v>0</v>
      </c>
      <c r="F227" s="66">
        <f>IFERROR(VLOOKUP(ExtComp[[#This Row],[DEVELOPMENT]],Data[],4,FALSE),"")</f>
        <v>2021</v>
      </c>
      <c r="G227" s="66" t="str">
        <f>IF(ExtComp[[#This Row],[RAD/PACT]]="","",IF(ExtComp[[#This Row],[RAD/PACT]]&lt;=2025,"Yes",""))</f>
        <v>Yes</v>
      </c>
      <c r="H227" s="67" t="str">
        <f ca="1">IF(VLOOKUP(ExtComp[[#This Row],[DEVELOPMENT]],Data[],11,FALSE)=0,"",DATEDIF(VLOOKUP(ExtComp[[#This Row],[DEVELOPMENT]],Data[],13,FALSE),TODAY(),"Y"))</f>
        <v/>
      </c>
      <c r="I227" s="67">
        <f>IF(ExtComp[[#This Row],[RAD/PACT]]="",VLOOKUP(ExtComp[[#This Row],[DEVELOPMENT]],Data[],11,FALSE),IF(ExtComp[[#This Row],[RAD/PACT by 2025]]="yes",0,VLOOKUP(ExtComp[[#This Row],[DEVELOPMENT]],Data[],11,FALSE)))</f>
        <v>0</v>
      </c>
      <c r="J227" s="63">
        <f ca="1">(ExtComp[[#This Row],['# to Replace]]*'Unit Costs'!$B$6)*(1+((ExtComp[[#This Row],[est. Year]]-YEAR(TODAY()))*$J$2))</f>
        <v>0</v>
      </c>
      <c r="K227" s="67">
        <f>SUM(INDEX(ExtComp['# to Replace],1):ExtComp[[#This Row],['# to Replace]])</f>
        <v>0</v>
      </c>
      <c r="L227" s="67">
        <f>ROUNDDOWN(ExtComp[[#This Row],[Count]]/50,0)+$L$1</f>
        <v>2020</v>
      </c>
      <c r="M227" s="81">
        <f t="shared" ca="1" si="3"/>
        <v>0</v>
      </c>
      <c r="N227" s="81" t="str">
        <f>IFERROR(VLOOKUP(ExtComp[[#This Row],[DEVELOPMENT]],Data[],22,FALSE),"")</f>
        <v/>
      </c>
      <c r="O227" s="67" t="str">
        <f>IFERROR(VLOOKUP(ExtComp[[#This Row],[DEVELOPMENT]],Data[],23,FALSE),"")</f>
        <v/>
      </c>
    </row>
    <row r="228" spans="1:15" x14ac:dyDescent="0.25">
      <c r="A228" s="13" t="s">
        <v>218</v>
      </c>
      <c r="B228" s="9" t="str">
        <f>VLOOKUP(A228,Data[],2,FALSE)</f>
        <v>BROOKLYN</v>
      </c>
      <c r="C228" s="9" t="s">
        <v>68</v>
      </c>
      <c r="D228" s="66">
        <f>VLOOKUP(ExtComp[[#This Row],[DEVELOPMENT]],Data[],8,FALSE)</f>
        <v>0</v>
      </c>
      <c r="E228" s="66">
        <f>VLOOKUP(ExtComp[[#This Row],[DEVELOPMENT]],Data[],9,FALSE)</f>
        <v>0</v>
      </c>
      <c r="F228" s="66">
        <f>IFERROR(VLOOKUP(ExtComp[[#This Row],[DEVELOPMENT]],Data[],4,FALSE),"")</f>
        <v>2027</v>
      </c>
      <c r="G228" s="66" t="str">
        <f>IF(ExtComp[[#This Row],[RAD/PACT]]="","",IF(ExtComp[[#This Row],[RAD/PACT]]&lt;=2025,"Yes",""))</f>
        <v/>
      </c>
      <c r="H228" s="67" t="str">
        <f ca="1">IF(VLOOKUP(ExtComp[[#This Row],[DEVELOPMENT]],Data[],11,FALSE)=0,"",DATEDIF(VLOOKUP(ExtComp[[#This Row],[DEVELOPMENT]],Data[],13,FALSE),TODAY(),"Y"))</f>
        <v/>
      </c>
      <c r="I228" s="67">
        <f>IF(ExtComp[[#This Row],[RAD/PACT]]="",VLOOKUP(ExtComp[[#This Row],[DEVELOPMENT]],Data[],11,FALSE),IF(ExtComp[[#This Row],[RAD/PACT by 2025]]="yes",0,VLOOKUP(ExtComp[[#This Row],[DEVELOPMENT]],Data[],11,FALSE)))</f>
        <v>0</v>
      </c>
      <c r="J228" s="63">
        <f ca="1">(ExtComp[[#This Row],['# to Replace]]*'Unit Costs'!$B$6)*(1+((ExtComp[[#This Row],[est. Year]]-YEAR(TODAY()))*$J$2))</f>
        <v>0</v>
      </c>
      <c r="K228" s="67">
        <f>SUM(INDEX(ExtComp['# to Replace],1):ExtComp[[#This Row],['# to Replace]])</f>
        <v>0</v>
      </c>
      <c r="L228" s="67">
        <f>ROUNDDOWN(ExtComp[[#This Row],[Count]]/50,0)+$L$1</f>
        <v>2020</v>
      </c>
      <c r="M228" s="81">
        <f t="shared" ca="1" si="3"/>
        <v>0</v>
      </c>
      <c r="N228" s="81" t="str">
        <f>IFERROR(VLOOKUP(ExtComp[[#This Row],[DEVELOPMENT]],Data[],22,FALSE),"")</f>
        <v/>
      </c>
      <c r="O228" s="88" t="str">
        <f>IFERROR(VLOOKUP(ExtComp[[#This Row],[DEVELOPMENT]],Data[],23,FALSE),"")</f>
        <v/>
      </c>
    </row>
    <row r="229" spans="1:15" x14ac:dyDescent="0.25">
      <c r="A229" s="13" t="s">
        <v>217</v>
      </c>
      <c r="B229" s="9" t="str">
        <f>VLOOKUP(A229,Data[],2,FALSE)</f>
        <v>MANHATTAN</v>
      </c>
      <c r="C229" s="9" t="s">
        <v>68</v>
      </c>
      <c r="D229" s="66">
        <f>VLOOKUP(ExtComp[[#This Row],[DEVELOPMENT]],Data[],8,FALSE)</f>
        <v>0</v>
      </c>
      <c r="E229" s="66">
        <f>VLOOKUP(ExtComp[[#This Row],[DEVELOPMENT]],Data[],9,FALSE)</f>
        <v>0</v>
      </c>
      <c r="F229" s="66" t="str">
        <f>IFERROR(VLOOKUP(ExtComp[[#This Row],[DEVELOPMENT]],Data[],4,FALSE),"")</f>
        <v/>
      </c>
      <c r="G229" s="66" t="str">
        <f>IF(ExtComp[[#This Row],[RAD/PACT]]="","",IF(ExtComp[[#This Row],[RAD/PACT]]&lt;=2025,"Yes",""))</f>
        <v/>
      </c>
      <c r="H229" s="67" t="str">
        <f ca="1">IF(VLOOKUP(ExtComp[[#This Row],[DEVELOPMENT]],Data[],11,FALSE)=0,"",DATEDIF(VLOOKUP(ExtComp[[#This Row],[DEVELOPMENT]],Data[],13,FALSE),TODAY(),"Y"))</f>
        <v/>
      </c>
      <c r="I229" s="67">
        <f>IF(ExtComp[[#This Row],[RAD/PACT]]="",VLOOKUP(ExtComp[[#This Row],[DEVELOPMENT]],Data[],11,FALSE),IF(ExtComp[[#This Row],[RAD/PACT by 2025]]="yes",0,VLOOKUP(ExtComp[[#This Row],[DEVELOPMENT]],Data[],11,FALSE)))</f>
        <v>0</v>
      </c>
      <c r="J229" s="63">
        <f ca="1">(ExtComp[[#This Row],['# to Replace]]*'Unit Costs'!$B$6)*(1+((ExtComp[[#This Row],[est. Year]]-YEAR(TODAY()))*$J$2))</f>
        <v>0</v>
      </c>
      <c r="K229" s="67">
        <f>SUM(INDEX(ExtComp['# to Replace],1):ExtComp[[#This Row],['# to Replace]])</f>
        <v>0</v>
      </c>
      <c r="L229" s="67">
        <f>ROUNDDOWN(ExtComp[[#This Row],[Count]]/50,0)+$L$1</f>
        <v>2020</v>
      </c>
      <c r="M229" s="81">
        <f t="shared" ca="1" si="3"/>
        <v>0</v>
      </c>
      <c r="N229" s="81" t="str">
        <f>IFERROR(VLOOKUP(ExtComp[[#This Row],[DEVELOPMENT]],Data[],22,FALSE),"")</f>
        <v/>
      </c>
      <c r="O229" s="67" t="str">
        <f>IFERROR(VLOOKUP(ExtComp[[#This Row],[DEVELOPMENT]],Data[],23,FALSE),"")</f>
        <v/>
      </c>
    </row>
    <row r="230" spans="1:15" x14ac:dyDescent="0.25">
      <c r="A230" s="13" t="s">
        <v>216</v>
      </c>
      <c r="B230" s="9" t="str">
        <f>VLOOKUP(A230,Data[],2,FALSE)</f>
        <v>BRONX</v>
      </c>
      <c r="C230" s="9"/>
      <c r="D230" s="66">
        <f>VLOOKUP(ExtComp[[#This Row],[DEVELOPMENT]],Data[],8,FALSE)</f>
        <v>0</v>
      </c>
      <c r="E230" s="66">
        <f>VLOOKUP(ExtComp[[#This Row],[DEVELOPMENT]],Data[],9,FALSE)</f>
        <v>0</v>
      </c>
      <c r="F230" s="66">
        <f>IFERROR(VLOOKUP(ExtComp[[#This Row],[DEVELOPMENT]],Data[],4,FALSE),"")</f>
        <v>2022</v>
      </c>
      <c r="G230" s="66" t="str">
        <f>IF(ExtComp[[#This Row],[RAD/PACT]]="","",IF(ExtComp[[#This Row],[RAD/PACT]]&lt;=2025,"Yes",""))</f>
        <v>Yes</v>
      </c>
      <c r="H230" s="67" t="str">
        <f ca="1">IF(VLOOKUP(ExtComp[[#This Row],[DEVELOPMENT]],Data[],11,FALSE)=0,"",DATEDIF(VLOOKUP(ExtComp[[#This Row],[DEVELOPMENT]],Data[],13,FALSE),TODAY(),"Y"))</f>
        <v/>
      </c>
      <c r="I230" s="67">
        <f>IF(ExtComp[[#This Row],[RAD/PACT]]="",VLOOKUP(ExtComp[[#This Row],[DEVELOPMENT]],Data[],11,FALSE),IF(ExtComp[[#This Row],[RAD/PACT by 2025]]="yes",0,VLOOKUP(ExtComp[[#This Row],[DEVELOPMENT]],Data[],11,FALSE)))</f>
        <v>0</v>
      </c>
      <c r="J230" s="63">
        <f ca="1">(ExtComp[[#This Row],['# to Replace]]*'Unit Costs'!$B$6)*(1+((ExtComp[[#This Row],[est. Year]]-YEAR(TODAY()))*$J$2))</f>
        <v>0</v>
      </c>
      <c r="K230" s="67">
        <f>SUM(INDEX(ExtComp['# to Replace],1):ExtComp[[#This Row],['# to Replace]])</f>
        <v>0</v>
      </c>
      <c r="L230" s="67">
        <f>ROUNDDOWN(ExtComp[[#This Row],[Count]]/50,0)+$L$1</f>
        <v>2020</v>
      </c>
      <c r="M230" s="81">
        <f t="shared" ca="1" si="3"/>
        <v>0</v>
      </c>
      <c r="N230" s="81" t="str">
        <f>IFERROR(VLOOKUP(ExtComp[[#This Row],[DEVELOPMENT]],Data[],22,FALSE),"")</f>
        <v/>
      </c>
      <c r="O230" s="88" t="str">
        <f>IFERROR(VLOOKUP(ExtComp[[#This Row],[DEVELOPMENT]],Data[],23,FALSE),"")</f>
        <v/>
      </c>
    </row>
    <row r="231" spans="1:15" x14ac:dyDescent="0.25">
      <c r="A231" s="13" t="s">
        <v>215</v>
      </c>
      <c r="B231" s="9" t="str">
        <f>VLOOKUP(A231,Data[],2,FALSE)</f>
        <v>BRONX</v>
      </c>
      <c r="C231" s="9" t="s">
        <v>68</v>
      </c>
      <c r="D231" s="66">
        <f>VLOOKUP(ExtComp[[#This Row],[DEVELOPMENT]],Data[],8,FALSE)</f>
        <v>0</v>
      </c>
      <c r="E231" s="66">
        <f>VLOOKUP(ExtComp[[#This Row],[DEVELOPMENT]],Data[],9,FALSE)</f>
        <v>0</v>
      </c>
      <c r="F231" s="66">
        <f>IFERROR(VLOOKUP(ExtComp[[#This Row],[DEVELOPMENT]],Data[],4,FALSE),"")</f>
        <v>2026</v>
      </c>
      <c r="G231" s="66" t="str">
        <f>IF(ExtComp[[#This Row],[RAD/PACT]]="","",IF(ExtComp[[#This Row],[RAD/PACT]]&lt;=2025,"Yes",""))</f>
        <v/>
      </c>
      <c r="H231" s="67" t="str">
        <f ca="1">IF(VLOOKUP(ExtComp[[#This Row],[DEVELOPMENT]],Data[],11,FALSE)=0,"",DATEDIF(VLOOKUP(ExtComp[[#This Row],[DEVELOPMENT]],Data[],13,FALSE),TODAY(),"Y"))</f>
        <v/>
      </c>
      <c r="I231" s="67">
        <f>IF(ExtComp[[#This Row],[RAD/PACT]]="",VLOOKUP(ExtComp[[#This Row],[DEVELOPMENT]],Data[],11,FALSE),IF(ExtComp[[#This Row],[RAD/PACT by 2025]]="yes",0,VLOOKUP(ExtComp[[#This Row],[DEVELOPMENT]],Data[],11,FALSE)))</f>
        <v>0</v>
      </c>
      <c r="J231" s="63">
        <f ca="1">(ExtComp[[#This Row],['# to Replace]]*'Unit Costs'!$B$6)*(1+((ExtComp[[#This Row],[est. Year]]-YEAR(TODAY()))*$J$2))</f>
        <v>0</v>
      </c>
      <c r="K231" s="67">
        <f>SUM(INDEX(ExtComp['# to Replace],1):ExtComp[[#This Row],['# to Replace]])</f>
        <v>0</v>
      </c>
      <c r="L231" s="67">
        <f>ROUNDDOWN(ExtComp[[#This Row],[Count]]/50,0)+$L$1</f>
        <v>2020</v>
      </c>
      <c r="M231" s="81">
        <f t="shared" ca="1" si="3"/>
        <v>0</v>
      </c>
      <c r="N231" s="81" t="str">
        <f>IFERROR(VLOOKUP(ExtComp[[#This Row],[DEVELOPMENT]],Data[],22,FALSE),"")</f>
        <v/>
      </c>
      <c r="O231" s="88" t="str">
        <f>IFERROR(VLOOKUP(ExtComp[[#This Row],[DEVELOPMENT]],Data[],23,FALSE),"")</f>
        <v/>
      </c>
    </row>
    <row r="232" spans="1:15" x14ac:dyDescent="0.25">
      <c r="A232" s="13" t="s">
        <v>78</v>
      </c>
      <c r="B232" s="1" t="str">
        <f>VLOOKUP(A232,Data[],2,FALSE)</f>
        <v>MANHATTAN</v>
      </c>
      <c r="C232" s="9" t="s">
        <v>68</v>
      </c>
      <c r="D232" s="9" t="str">
        <f>VLOOKUP(ExtComp[[#This Row],[DEVELOPMENT]],Data[],8,FALSE)</f>
        <v>Zone 2</v>
      </c>
      <c r="E232" s="9" t="str">
        <f>VLOOKUP(ExtComp[[#This Row],[DEVELOPMENT]],Data[],9,FALSE)</f>
        <v>$</v>
      </c>
      <c r="F232" s="9">
        <f>IFERROR(VLOOKUP(ExtComp[[#This Row],[DEVELOPMENT]],Data[],4,FALSE),"")</f>
        <v>2024</v>
      </c>
      <c r="G232" s="9" t="str">
        <f>IF(ExtComp[[#This Row],[RAD/PACT]]="","",IF(ExtComp[[#This Row],[RAD/PACT]]&lt;=2025,"Yes",""))</f>
        <v>Yes</v>
      </c>
      <c r="H232" s="1" t="str">
        <f ca="1">IF(VLOOKUP(ExtComp[[#This Row],[DEVELOPMENT]],Data[],11,FALSE)=0,"",DATEDIF(VLOOKUP(ExtComp[[#This Row],[DEVELOPMENT]],Data[],13,FALSE),TODAY(),"Y"))</f>
        <v/>
      </c>
      <c r="I232" s="1">
        <f>IF(ExtComp[[#This Row],[RAD/PACT]]="",VLOOKUP(ExtComp[[#This Row],[DEVELOPMENT]],Data[],11,FALSE),IF(ExtComp[[#This Row],[RAD/PACT by 2025]]="yes",0,VLOOKUP(ExtComp[[#This Row],[DEVELOPMENT]],Data[],11,FALSE)))</f>
        <v>0</v>
      </c>
      <c r="J232" s="63">
        <f ca="1">(ExtComp[[#This Row],['# to Replace]]*'Unit Costs'!$B$6)*(1+((ExtComp[[#This Row],[est. Year]]-YEAR(TODAY()))*$J$2))</f>
        <v>0</v>
      </c>
      <c r="K232" s="1">
        <f>SUM(INDEX(ExtComp['# to Replace],1):ExtComp[[#This Row],['# to Replace]])</f>
        <v>0</v>
      </c>
      <c r="L232" s="1">
        <f>ROUNDDOWN(ExtComp[[#This Row],[Count]]/50,0)+$L$1</f>
        <v>2020</v>
      </c>
      <c r="M232" s="81">
        <f t="shared" ca="1" si="3"/>
        <v>0</v>
      </c>
      <c r="N232" s="81" t="str">
        <f>IFERROR(VLOOKUP(ExtComp[[#This Row],[DEVELOPMENT]],Data[],22,FALSE),"")</f>
        <v/>
      </c>
      <c r="O232" s="88" t="str">
        <f>IFERROR(VLOOKUP(ExtComp[[#This Row],[DEVELOPMENT]],Data[],23,FALSE),"")</f>
        <v/>
      </c>
    </row>
    <row r="233" spans="1:15" x14ac:dyDescent="0.25">
      <c r="A233" s="13" t="s">
        <v>214</v>
      </c>
      <c r="B233" s="9" t="str">
        <f>VLOOKUP(A233,Data[],2,FALSE)</f>
        <v>BROOKLYN</v>
      </c>
      <c r="C233" s="9"/>
      <c r="D233" s="66">
        <f>VLOOKUP(ExtComp[[#This Row],[DEVELOPMENT]],Data[],8,FALSE)</f>
        <v>0</v>
      </c>
      <c r="E233" s="66">
        <f>VLOOKUP(ExtComp[[#This Row],[DEVELOPMENT]],Data[],9,FALSE)</f>
        <v>0</v>
      </c>
      <c r="F233" s="66">
        <f>IFERROR(VLOOKUP(ExtComp[[#This Row],[DEVELOPMENT]],Data[],4,FALSE),"")</f>
        <v>2023</v>
      </c>
      <c r="G233" s="66" t="str">
        <f>IF(ExtComp[[#This Row],[RAD/PACT]]="","",IF(ExtComp[[#This Row],[RAD/PACT]]&lt;=2025,"Yes",""))</f>
        <v>Yes</v>
      </c>
      <c r="H233" s="67" t="str">
        <f ca="1">IF(VLOOKUP(ExtComp[[#This Row],[DEVELOPMENT]],Data[],11,FALSE)=0,"",DATEDIF(VLOOKUP(ExtComp[[#This Row],[DEVELOPMENT]],Data[],13,FALSE),TODAY(),"Y"))</f>
        <v/>
      </c>
      <c r="I233" s="67">
        <f>IF(ExtComp[[#This Row],[RAD/PACT]]="",VLOOKUP(ExtComp[[#This Row],[DEVELOPMENT]],Data[],11,FALSE),IF(ExtComp[[#This Row],[RAD/PACT by 2025]]="yes",0,VLOOKUP(ExtComp[[#This Row],[DEVELOPMENT]],Data[],11,FALSE)))</f>
        <v>0</v>
      </c>
      <c r="J233" s="63">
        <f ca="1">(ExtComp[[#This Row],['# to Replace]]*'Unit Costs'!$B$6)*(1+((ExtComp[[#This Row],[est. Year]]-YEAR(TODAY()))*$J$2))</f>
        <v>0</v>
      </c>
      <c r="K233" s="67">
        <f>SUM(INDEX(ExtComp['# to Replace],1):ExtComp[[#This Row],['# to Replace]])</f>
        <v>0</v>
      </c>
      <c r="L233" s="67">
        <f>ROUNDDOWN(ExtComp[[#This Row],[Count]]/50,0)+$L$1</f>
        <v>2020</v>
      </c>
      <c r="M233" s="81">
        <f t="shared" ca="1" si="3"/>
        <v>0</v>
      </c>
      <c r="N233" s="81" t="str">
        <f>IFERROR(VLOOKUP(ExtComp[[#This Row],[DEVELOPMENT]],Data[],22,FALSE),"")</f>
        <v/>
      </c>
      <c r="O233" s="67" t="str">
        <f>IFERROR(VLOOKUP(ExtComp[[#This Row],[DEVELOPMENT]],Data[],23,FALSE),"")</f>
        <v/>
      </c>
    </row>
    <row r="234" spans="1:15" x14ac:dyDescent="0.25">
      <c r="A234" s="82" t="s">
        <v>121</v>
      </c>
      <c r="B234" s="1" t="str">
        <f>VLOOKUP(A234,Data[],2,FALSE)</f>
        <v>BRONX</v>
      </c>
      <c r="C234" s="9" t="s">
        <v>68</v>
      </c>
      <c r="D234" s="9" t="str">
        <f>VLOOKUP(ExtComp[[#This Row],[DEVELOPMENT]],Data[],8,FALSE)</f>
        <v>Zone 1</v>
      </c>
      <c r="E234" s="9" t="str">
        <f>VLOOKUP(ExtComp[[#This Row],[DEVELOPMENT]],Data[],9,FALSE)</f>
        <v>$$</v>
      </c>
      <c r="F234" s="9" t="str">
        <f>IFERROR(VLOOKUP(ExtComp[[#This Row],[DEVELOPMENT]],Data[],4,FALSE),"")</f>
        <v/>
      </c>
      <c r="G234" s="9" t="str">
        <f>IF(ExtComp[[#This Row],[RAD/PACT]]="","",IF(ExtComp[[#This Row],[RAD/PACT]]&lt;=2025,"Yes",""))</f>
        <v/>
      </c>
      <c r="H234" s="1" t="str">
        <f ca="1">IF(VLOOKUP(ExtComp[[#This Row],[DEVELOPMENT]],Data[],11,FALSE)=0,"",DATEDIF(VLOOKUP(ExtComp[[#This Row],[DEVELOPMENT]],Data[],13,FALSE),TODAY(),"Y"))</f>
        <v/>
      </c>
      <c r="I234" s="1">
        <f>IF(ExtComp[[#This Row],[RAD/PACT]]="",VLOOKUP(ExtComp[[#This Row],[DEVELOPMENT]],Data[],11,FALSE),IF(ExtComp[[#This Row],[RAD/PACT by 2025]]="yes",0,VLOOKUP(ExtComp[[#This Row],[DEVELOPMENT]],Data[],11,FALSE)))</f>
        <v>0</v>
      </c>
      <c r="J234" s="63">
        <f ca="1">(ExtComp[[#This Row],['# to Replace]]*'Unit Costs'!$B$6)*(1+((ExtComp[[#This Row],[est. Year]]-YEAR(TODAY()))*$J$2))</f>
        <v>0</v>
      </c>
      <c r="K234" s="1">
        <f>SUM(INDEX(ExtComp['# to Replace],1):ExtComp[[#This Row],['# to Replace]])</f>
        <v>0</v>
      </c>
      <c r="L234" s="1">
        <f>ROUNDDOWN(ExtComp[[#This Row],[Count]]/50,0)+$L$1</f>
        <v>2020</v>
      </c>
      <c r="M234" s="81">
        <f t="shared" ca="1" si="3"/>
        <v>0</v>
      </c>
      <c r="N234" s="81" t="str">
        <f>IFERROR(VLOOKUP(ExtComp[[#This Row],[DEVELOPMENT]],Data[],22,FALSE),"")</f>
        <v/>
      </c>
      <c r="O234" s="88" t="str">
        <f>IFERROR(VLOOKUP(ExtComp[[#This Row],[DEVELOPMENT]],Data[],23,FALSE),"")</f>
        <v/>
      </c>
    </row>
    <row r="235" spans="1:15" x14ac:dyDescent="0.25">
      <c r="A235" s="13" t="s">
        <v>213</v>
      </c>
      <c r="B235" s="9" t="str">
        <f>VLOOKUP(A235,Data[],2,FALSE)</f>
        <v>BRONX</v>
      </c>
      <c r="C235" s="9" t="s">
        <v>68</v>
      </c>
      <c r="D235" s="66" t="str">
        <f>VLOOKUP(ExtComp[[#This Row],[DEVELOPMENT]],Data[],8,FALSE)</f>
        <v>Zone 4</v>
      </c>
      <c r="E235" s="66">
        <f>VLOOKUP(ExtComp[[#This Row],[DEVELOPMENT]],Data[],9,FALSE)</f>
        <v>0</v>
      </c>
      <c r="F235" s="66" t="str">
        <f>IFERROR(VLOOKUP(ExtComp[[#This Row],[DEVELOPMENT]],Data[],4,FALSE),"")</f>
        <v/>
      </c>
      <c r="G235" s="66" t="str">
        <f>IF(ExtComp[[#This Row],[RAD/PACT]]="","",IF(ExtComp[[#This Row],[RAD/PACT]]&lt;=2025,"Yes",""))</f>
        <v/>
      </c>
      <c r="H235" s="67" t="str">
        <f ca="1">IF(VLOOKUP(ExtComp[[#This Row],[DEVELOPMENT]],Data[],11,FALSE)=0,"",DATEDIF(VLOOKUP(ExtComp[[#This Row],[DEVELOPMENT]],Data[],13,FALSE),TODAY(),"Y"))</f>
        <v/>
      </c>
      <c r="I235" s="67">
        <f>IF(ExtComp[[#This Row],[RAD/PACT]]="",VLOOKUP(ExtComp[[#This Row],[DEVELOPMENT]],Data[],11,FALSE),IF(ExtComp[[#This Row],[RAD/PACT by 2025]]="yes",0,VLOOKUP(ExtComp[[#This Row],[DEVELOPMENT]],Data[],11,FALSE)))</f>
        <v>0</v>
      </c>
      <c r="J235" s="63">
        <f ca="1">(ExtComp[[#This Row],['# to Replace]]*'Unit Costs'!$B$6)*(1+((ExtComp[[#This Row],[est. Year]]-YEAR(TODAY()))*$J$2))</f>
        <v>0</v>
      </c>
      <c r="K235" s="67">
        <f>SUM(INDEX(ExtComp['# to Replace],1):ExtComp[[#This Row],['# to Replace]])</f>
        <v>0</v>
      </c>
      <c r="L235" s="67">
        <f>ROUNDDOWN(ExtComp[[#This Row],[Count]]/50,0)+$L$1</f>
        <v>2020</v>
      </c>
      <c r="M235" s="81">
        <f t="shared" ca="1" si="3"/>
        <v>0</v>
      </c>
      <c r="N235" s="81" t="str">
        <f>IFERROR(VLOOKUP(ExtComp[[#This Row],[DEVELOPMENT]],Data[],22,FALSE),"")</f>
        <v/>
      </c>
      <c r="O235" s="67" t="str">
        <f>IFERROR(VLOOKUP(ExtComp[[#This Row],[DEVELOPMENT]],Data[],23,FALSE),"")</f>
        <v/>
      </c>
    </row>
    <row r="236" spans="1:15" x14ac:dyDescent="0.25">
      <c r="A236" s="13" t="s">
        <v>212</v>
      </c>
      <c r="B236" s="9" t="str">
        <f>VLOOKUP(A236,Data[],2,FALSE)</f>
        <v>BRONX</v>
      </c>
      <c r="C236" s="9" t="s">
        <v>68</v>
      </c>
      <c r="D236" s="66" t="str">
        <f>VLOOKUP(ExtComp[[#This Row],[DEVELOPMENT]],Data[],8,FALSE)</f>
        <v>Zone 4</v>
      </c>
      <c r="E236" s="66">
        <f>VLOOKUP(ExtComp[[#This Row],[DEVELOPMENT]],Data[],9,FALSE)</f>
        <v>0</v>
      </c>
      <c r="F236" s="66" t="str">
        <f>IFERROR(VLOOKUP(ExtComp[[#This Row],[DEVELOPMENT]],Data[],4,FALSE),"")</f>
        <v/>
      </c>
      <c r="G236" s="66" t="str">
        <f>IF(ExtComp[[#This Row],[RAD/PACT]]="","",IF(ExtComp[[#This Row],[RAD/PACT]]&lt;=2025,"Yes",""))</f>
        <v/>
      </c>
      <c r="H236" s="67" t="str">
        <f ca="1">IF(VLOOKUP(ExtComp[[#This Row],[DEVELOPMENT]],Data[],11,FALSE)=0,"",DATEDIF(VLOOKUP(ExtComp[[#This Row],[DEVELOPMENT]],Data[],13,FALSE),TODAY(),"Y"))</f>
        <v/>
      </c>
      <c r="I236" s="67">
        <f>IF(ExtComp[[#This Row],[RAD/PACT]]="",VLOOKUP(ExtComp[[#This Row],[DEVELOPMENT]],Data[],11,FALSE),IF(ExtComp[[#This Row],[RAD/PACT by 2025]]="yes",0,VLOOKUP(ExtComp[[#This Row],[DEVELOPMENT]],Data[],11,FALSE)))</f>
        <v>0</v>
      </c>
      <c r="J236" s="63">
        <f ca="1">(ExtComp[[#This Row],['# to Replace]]*'Unit Costs'!$B$6)*(1+((ExtComp[[#This Row],[est. Year]]-YEAR(TODAY()))*$J$2))</f>
        <v>0</v>
      </c>
      <c r="K236" s="67">
        <f>SUM(INDEX(ExtComp['# to Replace],1):ExtComp[[#This Row],['# to Replace]])</f>
        <v>0</v>
      </c>
      <c r="L236" s="67">
        <f>ROUNDDOWN(ExtComp[[#This Row],[Count]]/50,0)+$L$1</f>
        <v>2020</v>
      </c>
      <c r="M236" s="81">
        <f t="shared" ca="1" si="3"/>
        <v>0</v>
      </c>
      <c r="N236" s="81" t="str">
        <f>IFERROR(VLOOKUP(ExtComp[[#This Row],[DEVELOPMENT]],Data[],22,FALSE),"")</f>
        <v/>
      </c>
      <c r="O236" s="67" t="str">
        <f>IFERROR(VLOOKUP(ExtComp[[#This Row],[DEVELOPMENT]],Data[],23,FALSE),"")</f>
        <v/>
      </c>
    </row>
    <row r="237" spans="1:15" x14ac:dyDescent="0.25">
      <c r="A237" s="13" t="s">
        <v>211</v>
      </c>
      <c r="B237" s="9" t="str">
        <f>VLOOKUP(A237,Data[],2,FALSE)</f>
        <v>BRONX</v>
      </c>
      <c r="C237" s="9"/>
      <c r="D237" s="66">
        <f>VLOOKUP(ExtComp[[#This Row],[DEVELOPMENT]],Data[],8,FALSE)</f>
        <v>0</v>
      </c>
      <c r="E237" s="66">
        <f>VLOOKUP(ExtComp[[#This Row],[DEVELOPMENT]],Data[],9,FALSE)</f>
        <v>0</v>
      </c>
      <c r="F237" s="66">
        <f>IFERROR(VLOOKUP(ExtComp[[#This Row],[DEVELOPMENT]],Data[],4,FALSE),"")</f>
        <v>2023</v>
      </c>
      <c r="G237" s="66" t="str">
        <f>IF(ExtComp[[#This Row],[RAD/PACT]]="","",IF(ExtComp[[#This Row],[RAD/PACT]]&lt;=2025,"Yes",""))</f>
        <v>Yes</v>
      </c>
      <c r="H237" s="67" t="str">
        <f ca="1">IF(VLOOKUP(ExtComp[[#This Row],[DEVELOPMENT]],Data[],11,FALSE)=0,"",DATEDIF(VLOOKUP(ExtComp[[#This Row],[DEVELOPMENT]],Data[],13,FALSE),TODAY(),"Y"))</f>
        <v/>
      </c>
      <c r="I237" s="67">
        <f>IF(ExtComp[[#This Row],[RAD/PACT]]="",VLOOKUP(ExtComp[[#This Row],[DEVELOPMENT]],Data[],11,FALSE),IF(ExtComp[[#This Row],[RAD/PACT by 2025]]="yes",0,VLOOKUP(ExtComp[[#This Row],[DEVELOPMENT]],Data[],11,FALSE)))</f>
        <v>0</v>
      </c>
      <c r="J237" s="63">
        <f ca="1">(ExtComp[[#This Row],['# to Replace]]*'Unit Costs'!$B$6)*(1+((ExtComp[[#This Row],[est. Year]]-YEAR(TODAY()))*$J$2))</f>
        <v>0</v>
      </c>
      <c r="K237" s="67">
        <f>SUM(INDEX(ExtComp['# to Replace],1):ExtComp[[#This Row],['# to Replace]])</f>
        <v>0</v>
      </c>
      <c r="L237" s="67">
        <f>ROUNDDOWN(ExtComp[[#This Row],[Count]]/50,0)+$L$1</f>
        <v>2020</v>
      </c>
      <c r="M237" s="81">
        <f t="shared" ca="1" si="3"/>
        <v>0</v>
      </c>
      <c r="N237" s="81" t="str">
        <f>IFERROR(VLOOKUP(ExtComp[[#This Row],[DEVELOPMENT]],Data[],22,FALSE),"")</f>
        <v/>
      </c>
      <c r="O237" s="88" t="str">
        <f>IFERROR(VLOOKUP(ExtComp[[#This Row],[DEVELOPMENT]],Data[],23,FALSE),"")</f>
        <v/>
      </c>
    </row>
    <row r="238" spans="1:15" x14ac:dyDescent="0.25">
      <c r="A238" s="13" t="s">
        <v>210</v>
      </c>
      <c r="B238" s="9" t="str">
        <f>VLOOKUP(A238,Data[],2,FALSE)</f>
        <v>BRONX</v>
      </c>
      <c r="C238" s="9" t="s">
        <v>68</v>
      </c>
      <c r="D238" s="66">
        <f>VLOOKUP(ExtComp[[#This Row],[DEVELOPMENT]],Data[],8,FALSE)</f>
        <v>0</v>
      </c>
      <c r="E238" s="66">
        <f>VLOOKUP(ExtComp[[#This Row],[DEVELOPMENT]],Data[],9,FALSE)</f>
        <v>0</v>
      </c>
      <c r="F238" s="66" t="str">
        <f>IFERROR(VLOOKUP(ExtComp[[#This Row],[DEVELOPMENT]],Data[],4,FALSE),"")</f>
        <v/>
      </c>
      <c r="G238" s="66" t="str">
        <f>IF(ExtComp[[#This Row],[RAD/PACT]]="","",IF(ExtComp[[#This Row],[RAD/PACT]]&lt;=2025,"Yes",""))</f>
        <v/>
      </c>
      <c r="H238" s="67" t="str">
        <f ca="1">IF(VLOOKUP(ExtComp[[#This Row],[DEVELOPMENT]],Data[],11,FALSE)=0,"",DATEDIF(VLOOKUP(ExtComp[[#This Row],[DEVELOPMENT]],Data[],13,FALSE),TODAY(),"Y"))</f>
        <v/>
      </c>
      <c r="I238" s="67">
        <f>IF(ExtComp[[#This Row],[RAD/PACT]]="",VLOOKUP(ExtComp[[#This Row],[DEVELOPMENT]],Data[],11,FALSE),IF(ExtComp[[#This Row],[RAD/PACT by 2025]]="yes",0,VLOOKUP(ExtComp[[#This Row],[DEVELOPMENT]],Data[],11,FALSE)))</f>
        <v>0</v>
      </c>
      <c r="J238" s="63">
        <f ca="1">(ExtComp[[#This Row],['# to Replace]]*'Unit Costs'!$B$6)*(1+((ExtComp[[#This Row],[est. Year]]-YEAR(TODAY()))*$J$2))</f>
        <v>0</v>
      </c>
      <c r="K238" s="67">
        <f>SUM(INDEX(ExtComp['# to Replace],1):ExtComp[[#This Row],['# to Replace]])</f>
        <v>0</v>
      </c>
      <c r="L238" s="67">
        <f>ROUNDDOWN(ExtComp[[#This Row],[Count]]/50,0)+$L$1</f>
        <v>2020</v>
      </c>
      <c r="M238" s="81">
        <f t="shared" ca="1" si="3"/>
        <v>0</v>
      </c>
      <c r="N238" s="81" t="str">
        <f>IFERROR(VLOOKUP(ExtComp[[#This Row],[DEVELOPMENT]],Data[],22,FALSE),"")</f>
        <v/>
      </c>
      <c r="O238" s="67" t="str">
        <f>IFERROR(VLOOKUP(ExtComp[[#This Row],[DEVELOPMENT]],Data[],23,FALSE),"")</f>
        <v/>
      </c>
    </row>
    <row r="239" spans="1:15" x14ac:dyDescent="0.25">
      <c r="A239" s="13" t="s">
        <v>209</v>
      </c>
      <c r="B239" s="9" t="str">
        <f>VLOOKUP(A239,Data[],2,FALSE)</f>
        <v>MANHATTAN</v>
      </c>
      <c r="C239" s="9" t="s">
        <v>68</v>
      </c>
      <c r="D239" s="66">
        <f>VLOOKUP(ExtComp[[#This Row],[DEVELOPMENT]],Data[],8,FALSE)</f>
        <v>0</v>
      </c>
      <c r="E239" s="66">
        <f>VLOOKUP(ExtComp[[#This Row],[DEVELOPMENT]],Data[],9,FALSE)</f>
        <v>0</v>
      </c>
      <c r="F239" s="66" t="str">
        <f>IFERROR(VLOOKUP(ExtComp[[#This Row],[DEVELOPMENT]],Data[],4,FALSE),"")</f>
        <v/>
      </c>
      <c r="G239" s="66" t="str">
        <f>IF(ExtComp[[#This Row],[RAD/PACT]]="","",IF(ExtComp[[#This Row],[RAD/PACT]]&lt;=2025,"Yes",""))</f>
        <v/>
      </c>
      <c r="H239" s="67" t="str">
        <f ca="1">IF(VLOOKUP(ExtComp[[#This Row],[DEVELOPMENT]],Data[],11,FALSE)=0,"",DATEDIF(VLOOKUP(ExtComp[[#This Row],[DEVELOPMENT]],Data[],13,FALSE),TODAY(),"Y"))</f>
        <v/>
      </c>
      <c r="I239" s="67">
        <f>IF(ExtComp[[#This Row],[RAD/PACT]]="",VLOOKUP(ExtComp[[#This Row],[DEVELOPMENT]],Data[],11,FALSE),IF(ExtComp[[#This Row],[RAD/PACT by 2025]]="yes",0,VLOOKUP(ExtComp[[#This Row],[DEVELOPMENT]],Data[],11,FALSE)))</f>
        <v>0</v>
      </c>
      <c r="J239" s="63">
        <f ca="1">(ExtComp[[#This Row],['# to Replace]]*'Unit Costs'!$B$6)*(1+((ExtComp[[#This Row],[est. Year]]-YEAR(TODAY()))*$J$2))</f>
        <v>0</v>
      </c>
      <c r="K239" s="67">
        <f>SUM(INDEX(ExtComp['# to Replace],1):ExtComp[[#This Row],['# to Replace]])</f>
        <v>0</v>
      </c>
      <c r="L239" s="67">
        <f>ROUNDDOWN(ExtComp[[#This Row],[Count]]/50,0)+$L$1</f>
        <v>2020</v>
      </c>
      <c r="M239" s="81">
        <f t="shared" ca="1" si="3"/>
        <v>0</v>
      </c>
      <c r="N239" s="81" t="str">
        <f>IFERROR(VLOOKUP(ExtComp[[#This Row],[DEVELOPMENT]],Data[],22,FALSE),"")</f>
        <v/>
      </c>
      <c r="O239" s="88" t="str">
        <f>IFERROR(VLOOKUP(ExtComp[[#This Row],[DEVELOPMENT]],Data[],23,FALSE),"")</f>
        <v/>
      </c>
    </row>
    <row r="240" spans="1:15" x14ac:dyDescent="0.25">
      <c r="A240" s="13" t="s">
        <v>77</v>
      </c>
      <c r="B240" s="1" t="str">
        <f>VLOOKUP(A240,Data[],2,FALSE)</f>
        <v>MANHATTAN</v>
      </c>
      <c r="C240" s="9" t="s">
        <v>68</v>
      </c>
      <c r="D240" s="9" t="str">
        <f>VLOOKUP(ExtComp[[#This Row],[DEVELOPMENT]],Data[],8,FALSE)</f>
        <v>Zone 2</v>
      </c>
      <c r="E240" s="9" t="str">
        <f>VLOOKUP(ExtComp[[#This Row],[DEVELOPMENT]],Data[],9,FALSE)</f>
        <v>$</v>
      </c>
      <c r="F240" s="9" t="str">
        <f>IFERROR(VLOOKUP(ExtComp[[#This Row],[DEVELOPMENT]],Data[],4,FALSE),"")</f>
        <v/>
      </c>
      <c r="G240" s="9" t="str">
        <f>IF(ExtComp[[#This Row],[RAD/PACT]]="","",IF(ExtComp[[#This Row],[RAD/PACT]]&lt;=2025,"Yes",""))</f>
        <v/>
      </c>
      <c r="H240" s="1" t="str">
        <f ca="1">IF(VLOOKUP(ExtComp[[#This Row],[DEVELOPMENT]],Data[],11,FALSE)=0,"",DATEDIF(VLOOKUP(ExtComp[[#This Row],[DEVELOPMENT]],Data[],13,FALSE),TODAY(),"Y"))</f>
        <v/>
      </c>
      <c r="I240" s="1">
        <f>IF(ExtComp[[#This Row],[RAD/PACT]]="",VLOOKUP(ExtComp[[#This Row],[DEVELOPMENT]],Data[],11,FALSE),IF(ExtComp[[#This Row],[RAD/PACT by 2025]]="yes",0,VLOOKUP(ExtComp[[#This Row],[DEVELOPMENT]],Data[],11,FALSE)))</f>
        <v>0</v>
      </c>
      <c r="J240" s="63">
        <f ca="1">(ExtComp[[#This Row],['# to Replace]]*'Unit Costs'!$B$6)*(1+((ExtComp[[#This Row],[est. Year]]-YEAR(TODAY()))*$J$2))</f>
        <v>0</v>
      </c>
      <c r="K240" s="1">
        <f>SUM(INDEX(ExtComp['# to Replace],1):ExtComp[[#This Row],['# to Replace]])</f>
        <v>0</v>
      </c>
      <c r="L240" s="1">
        <f>ROUNDDOWN(ExtComp[[#This Row],[Count]]/50,0)+$L$1</f>
        <v>2020</v>
      </c>
      <c r="M240" s="81">
        <f t="shared" ca="1" si="3"/>
        <v>0</v>
      </c>
      <c r="N240" s="81" t="str">
        <f>IFERROR(VLOOKUP(ExtComp[[#This Row],[DEVELOPMENT]],Data[],22,FALSE),"")</f>
        <v/>
      </c>
      <c r="O240" s="88" t="str">
        <f>IFERROR(VLOOKUP(ExtComp[[#This Row],[DEVELOPMENT]],Data[],23,FALSE),"")</f>
        <v/>
      </c>
    </row>
    <row r="241" spans="1:15" x14ac:dyDescent="0.25">
      <c r="A241" s="13" t="s">
        <v>76</v>
      </c>
      <c r="B241" s="1" t="str">
        <f>VLOOKUP(A241,Data[],2,FALSE)</f>
        <v>MANHATTAN</v>
      </c>
      <c r="C241" s="9" t="s">
        <v>68</v>
      </c>
      <c r="D241" s="9" t="str">
        <f>VLOOKUP(ExtComp[[#This Row],[DEVELOPMENT]],Data[],8,FALSE)</f>
        <v>Zone 3</v>
      </c>
      <c r="E241" s="9" t="str">
        <f>VLOOKUP(ExtComp[[#This Row],[DEVELOPMENT]],Data[],9,FALSE)</f>
        <v>$$$</v>
      </c>
      <c r="F241" s="9" t="str">
        <f>IFERROR(VLOOKUP(ExtComp[[#This Row],[DEVELOPMENT]],Data[],4,FALSE),"")</f>
        <v/>
      </c>
      <c r="G241" s="9" t="str">
        <f>IF(ExtComp[[#This Row],[RAD/PACT]]="","",IF(ExtComp[[#This Row],[RAD/PACT]]&lt;=2025,"Yes",""))</f>
        <v/>
      </c>
      <c r="H241" s="1" t="str">
        <f ca="1">IF(VLOOKUP(ExtComp[[#This Row],[DEVELOPMENT]],Data[],11,FALSE)=0,"",DATEDIF(VLOOKUP(ExtComp[[#This Row],[DEVELOPMENT]],Data[],13,FALSE),TODAY(),"Y"))</f>
        <v/>
      </c>
      <c r="I241" s="1">
        <f>IF(ExtComp[[#This Row],[RAD/PACT]]="",VLOOKUP(ExtComp[[#This Row],[DEVELOPMENT]],Data[],11,FALSE),IF(ExtComp[[#This Row],[RAD/PACT by 2025]]="yes",0,VLOOKUP(ExtComp[[#This Row],[DEVELOPMENT]],Data[],11,FALSE)))</f>
        <v>0</v>
      </c>
      <c r="J241" s="63">
        <f ca="1">(ExtComp[[#This Row],['# to Replace]]*'Unit Costs'!$B$6)*(1+((ExtComp[[#This Row],[est. Year]]-YEAR(TODAY()))*$J$2))</f>
        <v>0</v>
      </c>
      <c r="K241" s="1">
        <f>SUM(INDEX(ExtComp['# to Replace],1):ExtComp[[#This Row],['# to Replace]])</f>
        <v>0</v>
      </c>
      <c r="L241" s="1">
        <f>ROUNDDOWN(ExtComp[[#This Row],[Count]]/50,0)+$L$1</f>
        <v>2020</v>
      </c>
      <c r="M241" s="81">
        <f t="shared" ca="1" si="3"/>
        <v>0</v>
      </c>
      <c r="N241" s="81" t="str">
        <f>IFERROR(VLOOKUP(ExtComp[[#This Row],[DEVELOPMENT]],Data[],22,FALSE),"")</f>
        <v/>
      </c>
      <c r="O241" s="67" t="str">
        <f>IFERROR(VLOOKUP(ExtComp[[#This Row],[DEVELOPMENT]],Data[],23,FALSE),"")</f>
        <v/>
      </c>
    </row>
    <row r="242" spans="1:15" x14ac:dyDescent="0.25">
      <c r="A242" s="13" t="s">
        <v>130</v>
      </c>
      <c r="B242" s="1" t="str">
        <f>VLOOKUP(A242,Data[],2,FALSE)</f>
        <v>MANHATTAN</v>
      </c>
      <c r="C242" s="9" t="s">
        <v>68</v>
      </c>
      <c r="D242" s="9" t="str">
        <f>VLOOKUP(ExtComp[[#This Row],[DEVELOPMENT]],Data[],8,FALSE)</f>
        <v>Zone 3</v>
      </c>
      <c r="E242" s="9" t="str">
        <f>VLOOKUP(ExtComp[[#This Row],[DEVELOPMENT]],Data[],9,FALSE)</f>
        <v>$$$</v>
      </c>
      <c r="F242" s="9" t="str">
        <f>IFERROR(VLOOKUP(ExtComp[[#This Row],[DEVELOPMENT]],Data[],4,FALSE),"")</f>
        <v/>
      </c>
      <c r="G242" s="9" t="str">
        <f>IF(ExtComp[[#This Row],[RAD/PACT]]="","",IF(ExtComp[[#This Row],[RAD/PACT]]&lt;=2025,"Yes",""))</f>
        <v/>
      </c>
      <c r="H242" s="1" t="str">
        <f ca="1">IF(VLOOKUP(ExtComp[[#This Row],[DEVELOPMENT]],Data[],11,FALSE)=0,"",DATEDIF(VLOOKUP(ExtComp[[#This Row],[DEVELOPMENT]],Data[],13,FALSE),TODAY(),"Y"))</f>
        <v/>
      </c>
      <c r="I242" s="1">
        <f>IF(ExtComp[[#This Row],[RAD/PACT]]="",VLOOKUP(ExtComp[[#This Row],[DEVELOPMENT]],Data[],11,FALSE),IF(ExtComp[[#This Row],[RAD/PACT by 2025]]="yes",0,VLOOKUP(ExtComp[[#This Row],[DEVELOPMENT]],Data[],11,FALSE)))</f>
        <v>0</v>
      </c>
      <c r="J242" s="63">
        <f ca="1">(ExtComp[[#This Row],['# to Replace]]*'Unit Costs'!$B$6)*(1+((ExtComp[[#This Row],[est. Year]]-YEAR(TODAY()))*$J$2))</f>
        <v>0</v>
      </c>
      <c r="K242" s="1">
        <f>SUM(INDEX(ExtComp['# to Replace],1):ExtComp[[#This Row],['# to Replace]])</f>
        <v>0</v>
      </c>
      <c r="L242" s="1">
        <f>ROUNDDOWN(ExtComp[[#This Row],[Count]]/50,0)+$L$1</f>
        <v>2020</v>
      </c>
      <c r="M242" s="81">
        <f t="shared" ca="1" si="3"/>
        <v>0</v>
      </c>
      <c r="N242" s="81" t="str">
        <f>IFERROR(VLOOKUP(ExtComp[[#This Row],[DEVELOPMENT]],Data[],22,FALSE),"")</f>
        <v/>
      </c>
      <c r="O242" s="88" t="str">
        <f>IFERROR(VLOOKUP(ExtComp[[#This Row],[DEVELOPMENT]],Data[],23,FALSE),"")</f>
        <v/>
      </c>
    </row>
    <row r="243" spans="1:15" x14ac:dyDescent="0.25">
      <c r="A243" s="13" t="s">
        <v>75</v>
      </c>
      <c r="B243" s="1" t="str">
        <f>VLOOKUP(A243,Data[],2,FALSE)</f>
        <v>MANHATTAN</v>
      </c>
      <c r="C243" s="9" t="s">
        <v>68</v>
      </c>
      <c r="D243" s="9" t="str">
        <f>VLOOKUP(ExtComp[[#This Row],[DEVELOPMENT]],Data[],8,FALSE)</f>
        <v>Zone 3</v>
      </c>
      <c r="E243" s="9" t="str">
        <f>VLOOKUP(ExtComp[[#This Row],[DEVELOPMENT]],Data[],9,FALSE)</f>
        <v>$</v>
      </c>
      <c r="F243" s="9" t="str">
        <f>IFERROR(VLOOKUP(ExtComp[[#This Row],[DEVELOPMENT]],Data[],4,FALSE),"")</f>
        <v/>
      </c>
      <c r="G243" s="9" t="str">
        <f>IF(ExtComp[[#This Row],[RAD/PACT]]="","",IF(ExtComp[[#This Row],[RAD/PACT]]&lt;=2025,"Yes",""))</f>
        <v/>
      </c>
      <c r="H243" s="1" t="str">
        <f ca="1">IF(VLOOKUP(ExtComp[[#This Row],[DEVELOPMENT]],Data[],11,FALSE)=0,"",DATEDIF(VLOOKUP(ExtComp[[#This Row],[DEVELOPMENT]],Data[],13,FALSE),TODAY(),"Y"))</f>
        <v/>
      </c>
      <c r="I243" s="1">
        <f>IF(ExtComp[[#This Row],[RAD/PACT]]="",VLOOKUP(ExtComp[[#This Row],[DEVELOPMENT]],Data[],11,FALSE),IF(ExtComp[[#This Row],[RAD/PACT by 2025]]="yes",0,VLOOKUP(ExtComp[[#This Row],[DEVELOPMENT]],Data[],11,FALSE)))</f>
        <v>0</v>
      </c>
      <c r="J243" s="63">
        <f ca="1">(ExtComp[[#This Row],['# to Replace]]*'Unit Costs'!$B$6)*(1+((ExtComp[[#This Row],[est. Year]]-YEAR(TODAY()))*$J$2))</f>
        <v>0</v>
      </c>
      <c r="K243" s="1">
        <f>SUM(INDEX(ExtComp['# to Replace],1):ExtComp[[#This Row],['# to Replace]])</f>
        <v>0</v>
      </c>
      <c r="L243" s="1">
        <f>ROUNDDOWN(ExtComp[[#This Row],[Count]]/50,0)+$L$1</f>
        <v>2020</v>
      </c>
      <c r="M243" s="81">
        <f t="shared" ca="1" si="3"/>
        <v>0</v>
      </c>
      <c r="N243" s="81" t="str">
        <f>IFERROR(VLOOKUP(ExtComp[[#This Row],[DEVELOPMENT]],Data[],22,FALSE),"")</f>
        <v/>
      </c>
      <c r="O243" s="67" t="str">
        <f>IFERROR(VLOOKUP(ExtComp[[#This Row],[DEVELOPMENT]],Data[],23,FALSE),"")</f>
        <v/>
      </c>
    </row>
    <row r="244" spans="1:15" x14ac:dyDescent="0.25">
      <c r="A244" s="13" t="s">
        <v>385</v>
      </c>
      <c r="B244" s="9" t="str">
        <f>VLOOKUP(A244,Data[],2,FALSE)</f>
        <v>MANHATTAN</v>
      </c>
      <c r="C244" s="9" t="s">
        <v>68</v>
      </c>
      <c r="D244" s="66">
        <f>VLOOKUP(ExtComp[[#This Row],[DEVELOPMENT]],Data[],8,FALSE)</f>
        <v>0</v>
      </c>
      <c r="E244" s="66">
        <f>VLOOKUP(ExtComp[[#This Row],[DEVELOPMENT]],Data[],9,FALSE)</f>
        <v>0</v>
      </c>
      <c r="F244" s="66" t="str">
        <f>IFERROR(VLOOKUP(ExtComp[[#This Row],[DEVELOPMENT]],Data[],4,FALSE),"")</f>
        <v/>
      </c>
      <c r="G244" s="66" t="str">
        <f>IF(ExtComp[[#This Row],[RAD/PACT]]="","",IF(ExtComp[[#This Row],[RAD/PACT]]&lt;=2025,"Yes",""))</f>
        <v/>
      </c>
      <c r="H244" s="67" t="str">
        <f ca="1">IF(VLOOKUP(ExtComp[[#This Row],[DEVELOPMENT]],Data[],11,FALSE)=0,"",DATEDIF(VLOOKUP(ExtComp[[#This Row],[DEVELOPMENT]],Data[],13,FALSE),TODAY(),"Y"))</f>
        <v/>
      </c>
      <c r="I244" s="67">
        <f>IF(ExtComp[[#This Row],[RAD/PACT]]="",VLOOKUP(ExtComp[[#This Row],[DEVELOPMENT]],Data[],11,FALSE),IF(ExtComp[[#This Row],[RAD/PACT by 2025]]="yes",0,VLOOKUP(ExtComp[[#This Row],[DEVELOPMENT]],Data[],11,FALSE)))</f>
        <v>0</v>
      </c>
      <c r="J244" s="63">
        <f ca="1">(ExtComp[[#This Row],['# to Replace]]*'Unit Costs'!$B$6)*(1+((ExtComp[[#This Row],[est. Year]]-YEAR(TODAY()))*$J$2))</f>
        <v>0</v>
      </c>
      <c r="K244" s="67">
        <f>SUM(INDEX(ExtComp['# to Replace],1):ExtComp[[#This Row],['# to Replace]])</f>
        <v>0</v>
      </c>
      <c r="L244" s="67">
        <f>ROUNDDOWN(ExtComp[[#This Row],[Count]]/50,0)+$L$1</f>
        <v>2020</v>
      </c>
      <c r="M244" s="81">
        <f t="shared" ca="1" si="3"/>
        <v>0</v>
      </c>
      <c r="N244" s="81" t="str">
        <f>IFERROR(VLOOKUP(ExtComp[[#This Row],[DEVELOPMENT]],Data[],22,FALSE),"")</f>
        <v/>
      </c>
      <c r="O244" s="67" t="str">
        <f>IFERROR(VLOOKUP(ExtComp[[#This Row],[DEVELOPMENT]],Data[],23,FALSE),"")</f>
        <v/>
      </c>
    </row>
    <row r="245" spans="1:15" x14ac:dyDescent="0.25">
      <c r="A245" s="13" t="s">
        <v>208</v>
      </c>
      <c r="B245" s="9" t="str">
        <f>VLOOKUP(A245,Data[],2,FALSE)</f>
        <v>MANHATTAN</v>
      </c>
      <c r="C245" s="9" t="s">
        <v>68</v>
      </c>
      <c r="D245" s="66">
        <f>VLOOKUP(ExtComp[[#This Row],[DEVELOPMENT]],Data[],8,FALSE)</f>
        <v>0</v>
      </c>
      <c r="E245" s="66">
        <f>VLOOKUP(ExtComp[[#This Row],[DEVELOPMENT]],Data[],9,FALSE)</f>
        <v>0</v>
      </c>
      <c r="F245" s="66" t="str">
        <f>IFERROR(VLOOKUP(ExtComp[[#This Row],[DEVELOPMENT]],Data[],4,FALSE),"")</f>
        <v/>
      </c>
      <c r="G245" s="66" t="str">
        <f>IF(ExtComp[[#This Row],[RAD/PACT]]="","",IF(ExtComp[[#This Row],[RAD/PACT]]&lt;=2025,"Yes",""))</f>
        <v/>
      </c>
      <c r="H245" s="67" t="str">
        <f ca="1">IF(VLOOKUP(ExtComp[[#This Row],[DEVELOPMENT]],Data[],11,FALSE)=0,"",DATEDIF(VLOOKUP(ExtComp[[#This Row],[DEVELOPMENT]],Data[],13,FALSE),TODAY(),"Y"))</f>
        <v/>
      </c>
      <c r="I245" s="67">
        <f>IF(ExtComp[[#This Row],[RAD/PACT]]="",VLOOKUP(ExtComp[[#This Row],[DEVELOPMENT]],Data[],11,FALSE),IF(ExtComp[[#This Row],[RAD/PACT by 2025]]="yes",0,VLOOKUP(ExtComp[[#This Row],[DEVELOPMENT]],Data[],11,FALSE)))</f>
        <v>0</v>
      </c>
      <c r="J245" s="63">
        <f ca="1">(ExtComp[[#This Row],['# to Replace]]*'Unit Costs'!$B$6)*(1+((ExtComp[[#This Row],[est. Year]]-YEAR(TODAY()))*$J$2))</f>
        <v>0</v>
      </c>
      <c r="K245" s="67">
        <f>SUM(INDEX(ExtComp['# to Replace],1):ExtComp[[#This Row],['# to Replace]])</f>
        <v>0</v>
      </c>
      <c r="L245" s="67">
        <f>ROUNDDOWN(ExtComp[[#This Row],[Count]]/50,0)+$L$1</f>
        <v>2020</v>
      </c>
      <c r="M245" s="81">
        <f t="shared" ca="1" si="3"/>
        <v>0</v>
      </c>
      <c r="N245" s="81" t="str">
        <f>IFERROR(VLOOKUP(ExtComp[[#This Row],[DEVELOPMENT]],Data[],22,FALSE),"")</f>
        <v/>
      </c>
      <c r="O245" s="67" t="str">
        <f>IFERROR(VLOOKUP(ExtComp[[#This Row],[DEVELOPMENT]],Data[],23,FALSE),"")</f>
        <v/>
      </c>
    </row>
    <row r="246" spans="1:15" x14ac:dyDescent="0.25">
      <c r="A246" s="13" t="s">
        <v>105</v>
      </c>
      <c r="B246" s="1" t="str">
        <f>VLOOKUP(A246,Data[],2,FALSE)</f>
        <v>BRONX</v>
      </c>
      <c r="C246" s="9" t="s">
        <v>68</v>
      </c>
      <c r="D246" s="9" t="str">
        <f>VLOOKUP(ExtComp[[#This Row],[DEVELOPMENT]],Data[],8,FALSE)</f>
        <v>Zone 3</v>
      </c>
      <c r="E246" s="9" t="str">
        <f>VLOOKUP(ExtComp[[#This Row],[DEVELOPMENT]],Data[],9,FALSE)</f>
        <v>$</v>
      </c>
      <c r="F246" s="9">
        <f>IFERROR(VLOOKUP(ExtComp[[#This Row],[DEVELOPMENT]],Data[],4,FALSE),"")</f>
        <v>2026</v>
      </c>
      <c r="G246" s="9" t="str">
        <f>IF(ExtComp[[#This Row],[RAD/PACT]]="","",IF(ExtComp[[#This Row],[RAD/PACT]]&lt;=2025,"Yes",""))</f>
        <v/>
      </c>
      <c r="H246" s="1" t="str">
        <f ca="1">IF(VLOOKUP(ExtComp[[#This Row],[DEVELOPMENT]],Data[],11,FALSE)=0,"",DATEDIF(VLOOKUP(ExtComp[[#This Row],[DEVELOPMENT]],Data[],13,FALSE),TODAY(),"Y"))</f>
        <v/>
      </c>
      <c r="I246" s="1">
        <f>IF(ExtComp[[#This Row],[RAD/PACT]]="",VLOOKUP(ExtComp[[#This Row],[DEVELOPMENT]],Data[],11,FALSE),IF(ExtComp[[#This Row],[RAD/PACT by 2025]]="yes",0,VLOOKUP(ExtComp[[#This Row],[DEVELOPMENT]],Data[],11,FALSE)))</f>
        <v>0</v>
      </c>
      <c r="J246" s="63">
        <f ca="1">(ExtComp[[#This Row],['# to Replace]]*'Unit Costs'!$B$6)*(1+((ExtComp[[#This Row],[est. Year]]-YEAR(TODAY()))*$J$2))</f>
        <v>0</v>
      </c>
      <c r="K246" s="1">
        <f>SUM(INDEX(ExtComp['# to Replace],1):ExtComp[[#This Row],['# to Replace]])</f>
        <v>0</v>
      </c>
      <c r="L246" s="1">
        <f>ROUNDDOWN(ExtComp[[#This Row],[Count]]/50,0)+$L$1</f>
        <v>2020</v>
      </c>
      <c r="M246" s="81">
        <f t="shared" ca="1" si="3"/>
        <v>0</v>
      </c>
      <c r="N246" s="81" t="str">
        <f>IFERROR(VLOOKUP(ExtComp[[#This Row],[DEVELOPMENT]],Data[],22,FALSE),"")</f>
        <v/>
      </c>
      <c r="O246" s="88" t="str">
        <f>IFERROR(VLOOKUP(ExtComp[[#This Row],[DEVELOPMENT]],Data[],23,FALSE),"")</f>
        <v/>
      </c>
    </row>
    <row r="247" spans="1:15" x14ac:dyDescent="0.25">
      <c r="A247" s="13" t="s">
        <v>207</v>
      </c>
      <c r="B247" s="9" t="str">
        <f>VLOOKUP(A247,Data[],2,FALSE)</f>
        <v>BROOKLYN</v>
      </c>
      <c r="C247" s="9"/>
      <c r="D247" s="66">
        <f>VLOOKUP(ExtComp[[#This Row],[DEVELOPMENT]],Data[],8,FALSE)</f>
        <v>0</v>
      </c>
      <c r="E247" s="66">
        <f>VLOOKUP(ExtComp[[#This Row],[DEVELOPMENT]],Data[],9,FALSE)</f>
        <v>0</v>
      </c>
      <c r="F247" s="66">
        <f>IFERROR(VLOOKUP(ExtComp[[#This Row],[DEVELOPMENT]],Data[],4,FALSE),"")</f>
        <v>2023</v>
      </c>
      <c r="G247" s="66" t="str">
        <f>IF(ExtComp[[#This Row],[RAD/PACT]]="","",IF(ExtComp[[#This Row],[RAD/PACT]]&lt;=2025,"Yes",""))</f>
        <v>Yes</v>
      </c>
      <c r="H247" s="67" t="str">
        <f ca="1">IF(VLOOKUP(ExtComp[[#This Row],[DEVELOPMENT]],Data[],11,FALSE)=0,"",DATEDIF(VLOOKUP(ExtComp[[#This Row],[DEVELOPMENT]],Data[],13,FALSE),TODAY(),"Y"))</f>
        <v/>
      </c>
      <c r="I247" s="67">
        <f>IF(ExtComp[[#This Row],[RAD/PACT]]="",VLOOKUP(ExtComp[[#This Row],[DEVELOPMENT]],Data[],11,FALSE),IF(ExtComp[[#This Row],[RAD/PACT by 2025]]="yes",0,VLOOKUP(ExtComp[[#This Row],[DEVELOPMENT]],Data[],11,FALSE)))</f>
        <v>0</v>
      </c>
      <c r="J247" s="63">
        <f ca="1">(ExtComp[[#This Row],['# to Replace]]*'Unit Costs'!$B$6)*(1+((ExtComp[[#This Row],[est. Year]]-YEAR(TODAY()))*$J$2))</f>
        <v>0</v>
      </c>
      <c r="K247" s="67">
        <f>SUM(INDEX(ExtComp['# to Replace],1):ExtComp[[#This Row],['# to Replace]])</f>
        <v>0</v>
      </c>
      <c r="L247" s="67">
        <f>ROUNDDOWN(ExtComp[[#This Row],[Count]]/50,0)+$L$1</f>
        <v>2020</v>
      </c>
      <c r="M247" s="81">
        <f t="shared" ca="1" si="3"/>
        <v>0</v>
      </c>
      <c r="N247" s="81" t="str">
        <f>IFERROR(VLOOKUP(ExtComp[[#This Row],[DEVELOPMENT]],Data[],22,FALSE),"")</f>
        <v/>
      </c>
      <c r="O247" s="88" t="str">
        <f>IFERROR(VLOOKUP(ExtComp[[#This Row],[DEVELOPMENT]],Data[],23,FALSE),"")</f>
        <v/>
      </c>
    </row>
    <row r="248" spans="1:15" x14ac:dyDescent="0.25">
      <c r="A248" s="13" t="s">
        <v>206</v>
      </c>
      <c r="B248" s="9" t="str">
        <f>VLOOKUP(A248,Data[],2,FALSE)</f>
        <v>BROOKLYN</v>
      </c>
      <c r="C248" s="9" t="s">
        <v>68</v>
      </c>
      <c r="D248" s="66" t="str">
        <f>VLOOKUP(ExtComp[[#This Row],[DEVELOPMENT]],Data[],8,FALSE)</f>
        <v>Zone 4</v>
      </c>
      <c r="E248" s="66">
        <f>VLOOKUP(ExtComp[[#This Row],[DEVELOPMENT]],Data[],9,FALSE)</f>
        <v>0</v>
      </c>
      <c r="F248" s="66">
        <f>IFERROR(VLOOKUP(ExtComp[[#This Row],[DEVELOPMENT]],Data[],4,FALSE),"")</f>
        <v>2025</v>
      </c>
      <c r="G248" s="66" t="str">
        <f>IF(ExtComp[[#This Row],[RAD/PACT]]="","",IF(ExtComp[[#This Row],[RAD/PACT]]&lt;=2025,"Yes",""))</f>
        <v>Yes</v>
      </c>
      <c r="H248" s="67" t="str">
        <f ca="1">IF(VLOOKUP(ExtComp[[#This Row],[DEVELOPMENT]],Data[],11,FALSE)=0,"",DATEDIF(VLOOKUP(ExtComp[[#This Row],[DEVELOPMENT]],Data[],13,FALSE),TODAY(),"Y"))</f>
        <v/>
      </c>
      <c r="I248" s="67">
        <f>IF(ExtComp[[#This Row],[RAD/PACT]]="",VLOOKUP(ExtComp[[#This Row],[DEVELOPMENT]],Data[],11,FALSE),IF(ExtComp[[#This Row],[RAD/PACT by 2025]]="yes",0,VLOOKUP(ExtComp[[#This Row],[DEVELOPMENT]],Data[],11,FALSE)))</f>
        <v>0</v>
      </c>
      <c r="J248" s="63">
        <f ca="1">(ExtComp[[#This Row],['# to Replace]]*'Unit Costs'!$B$6)*(1+((ExtComp[[#This Row],[est. Year]]-YEAR(TODAY()))*$J$2))</f>
        <v>0</v>
      </c>
      <c r="K248" s="67">
        <f>SUM(INDEX(ExtComp['# to Replace],1):ExtComp[[#This Row],['# to Replace]])</f>
        <v>0</v>
      </c>
      <c r="L248" s="67">
        <f>ROUNDDOWN(ExtComp[[#This Row],[Count]]/50,0)+$L$1</f>
        <v>2020</v>
      </c>
      <c r="M248" s="81">
        <f t="shared" ca="1" si="3"/>
        <v>0</v>
      </c>
      <c r="N248" s="81" t="str">
        <f>IFERROR(VLOOKUP(ExtComp[[#This Row],[DEVELOPMENT]],Data[],22,FALSE),"")</f>
        <v/>
      </c>
      <c r="O248" s="67" t="str">
        <f>IFERROR(VLOOKUP(ExtComp[[#This Row],[DEVELOPMENT]],Data[],23,FALSE),"")</f>
        <v/>
      </c>
    </row>
    <row r="249" spans="1:15" x14ac:dyDescent="0.25">
      <c r="A249" s="13" t="s">
        <v>74</v>
      </c>
      <c r="B249" s="1" t="str">
        <f>VLOOKUP(A249,Data[],2,FALSE)</f>
        <v>MANHATTAN</v>
      </c>
      <c r="C249" s="9" t="s">
        <v>68</v>
      </c>
      <c r="D249" s="9" t="str">
        <f>VLOOKUP(ExtComp[[#This Row],[DEVELOPMENT]],Data[],8,FALSE)</f>
        <v>Zone 2</v>
      </c>
      <c r="E249" s="9" t="str">
        <f>VLOOKUP(ExtComp[[#This Row],[DEVELOPMENT]],Data[],9,FALSE)</f>
        <v>$</v>
      </c>
      <c r="F249" s="9">
        <f>IFERROR(VLOOKUP(ExtComp[[#This Row],[DEVELOPMENT]],Data[],4,FALSE),"")</f>
        <v>2026</v>
      </c>
      <c r="G249" s="9" t="str">
        <f>IF(ExtComp[[#This Row],[RAD/PACT]]="","",IF(ExtComp[[#This Row],[RAD/PACT]]&lt;=2025,"Yes",""))</f>
        <v/>
      </c>
      <c r="H249" s="1" t="str">
        <f ca="1">IF(VLOOKUP(ExtComp[[#This Row],[DEVELOPMENT]],Data[],11,FALSE)=0,"",DATEDIF(VLOOKUP(ExtComp[[#This Row],[DEVELOPMENT]],Data[],13,FALSE),TODAY(),"Y"))</f>
        <v/>
      </c>
      <c r="I249" s="1">
        <f>IF(ExtComp[[#This Row],[RAD/PACT]]="",VLOOKUP(ExtComp[[#This Row],[DEVELOPMENT]],Data[],11,FALSE),IF(ExtComp[[#This Row],[RAD/PACT by 2025]]="yes",0,VLOOKUP(ExtComp[[#This Row],[DEVELOPMENT]],Data[],11,FALSE)))</f>
        <v>0</v>
      </c>
      <c r="J249" s="63">
        <f ca="1">(ExtComp[[#This Row],['# to Replace]]*'Unit Costs'!$B$6)*(1+((ExtComp[[#This Row],[est. Year]]-YEAR(TODAY()))*$J$2))</f>
        <v>0</v>
      </c>
      <c r="K249" s="1">
        <f>SUM(INDEX(ExtComp['# to Replace],1):ExtComp[[#This Row],['# to Replace]])</f>
        <v>0</v>
      </c>
      <c r="L249" s="1">
        <f>ROUNDDOWN(ExtComp[[#This Row],[Count]]/50,0)+$L$1</f>
        <v>2020</v>
      </c>
      <c r="M249" s="81">
        <f t="shared" ca="1" si="3"/>
        <v>0</v>
      </c>
      <c r="N249" s="81" t="str">
        <f>IFERROR(VLOOKUP(ExtComp[[#This Row],[DEVELOPMENT]],Data[],22,FALSE),"")</f>
        <v/>
      </c>
      <c r="O249" s="67" t="str">
        <f>IFERROR(VLOOKUP(ExtComp[[#This Row],[DEVELOPMENT]],Data[],23,FALSE),"")</f>
        <v/>
      </c>
    </row>
    <row r="250" spans="1:15" x14ac:dyDescent="0.25">
      <c r="A250" s="13" t="s">
        <v>205</v>
      </c>
      <c r="B250" s="9" t="str">
        <f>VLOOKUP(A250,Data[],2,FALSE)</f>
        <v>BROOKLYN</v>
      </c>
      <c r="C250" s="9" t="s">
        <v>68</v>
      </c>
      <c r="D250" s="66">
        <f>VLOOKUP(ExtComp[[#This Row],[DEVELOPMENT]],Data[],8,FALSE)</f>
        <v>0</v>
      </c>
      <c r="E250" s="66">
        <f>VLOOKUP(ExtComp[[#This Row],[DEVELOPMENT]],Data[],9,FALSE)</f>
        <v>0</v>
      </c>
      <c r="F250" s="66" t="str">
        <f>IFERROR(VLOOKUP(ExtComp[[#This Row],[DEVELOPMENT]],Data[],4,FALSE),"")</f>
        <v/>
      </c>
      <c r="G250" s="66" t="str">
        <f>IF(ExtComp[[#This Row],[RAD/PACT]]="","",IF(ExtComp[[#This Row],[RAD/PACT]]&lt;=2025,"Yes",""))</f>
        <v/>
      </c>
      <c r="H250" s="67" t="str">
        <f ca="1">IF(VLOOKUP(ExtComp[[#This Row],[DEVELOPMENT]],Data[],11,FALSE)=0,"",DATEDIF(VLOOKUP(ExtComp[[#This Row],[DEVELOPMENT]],Data[],13,FALSE),TODAY(),"Y"))</f>
        <v/>
      </c>
      <c r="I250" s="67">
        <f>IF(ExtComp[[#This Row],[RAD/PACT]]="",VLOOKUP(ExtComp[[#This Row],[DEVELOPMENT]],Data[],11,FALSE),IF(ExtComp[[#This Row],[RAD/PACT by 2025]]="yes",0,VLOOKUP(ExtComp[[#This Row],[DEVELOPMENT]],Data[],11,FALSE)))</f>
        <v>0</v>
      </c>
      <c r="J250" s="63">
        <f ca="1">(ExtComp[[#This Row],['# to Replace]]*'Unit Costs'!$B$6)*(1+((ExtComp[[#This Row],[est. Year]]-YEAR(TODAY()))*$J$2))</f>
        <v>0</v>
      </c>
      <c r="K250" s="67">
        <f>SUM(INDEX(ExtComp['# to Replace],1):ExtComp[[#This Row],['# to Replace]])</f>
        <v>0</v>
      </c>
      <c r="L250" s="67">
        <f>ROUNDDOWN(ExtComp[[#This Row],[Count]]/50,0)+$L$1</f>
        <v>2020</v>
      </c>
      <c r="M250" s="81">
        <f t="shared" ca="1" si="3"/>
        <v>0</v>
      </c>
      <c r="N250" s="81" t="str">
        <f>IFERROR(VLOOKUP(ExtComp[[#This Row],[DEVELOPMENT]],Data[],22,FALSE),"")</f>
        <v/>
      </c>
      <c r="O250" s="88" t="str">
        <f>IFERROR(VLOOKUP(ExtComp[[#This Row],[DEVELOPMENT]],Data[],23,FALSE),"")</f>
        <v/>
      </c>
    </row>
    <row r="251" spans="1:15" x14ac:dyDescent="0.25">
      <c r="A251" s="13" t="s">
        <v>204</v>
      </c>
      <c r="B251" s="9" t="str">
        <f>VLOOKUP(A251,Data[],2,FALSE)</f>
        <v>QUEENS</v>
      </c>
      <c r="C251" s="9" t="s">
        <v>68</v>
      </c>
      <c r="D251" s="66">
        <f>VLOOKUP(ExtComp[[#This Row],[DEVELOPMENT]],Data[],8,FALSE)</f>
        <v>0</v>
      </c>
      <c r="E251" s="66">
        <f>VLOOKUP(ExtComp[[#This Row],[DEVELOPMENT]],Data[],9,FALSE)</f>
        <v>0</v>
      </c>
      <c r="F251" s="66" t="str">
        <f>IFERROR(VLOOKUP(ExtComp[[#This Row],[DEVELOPMENT]],Data[],4,FALSE),"")</f>
        <v/>
      </c>
      <c r="G251" s="66" t="str">
        <f>IF(ExtComp[[#This Row],[RAD/PACT]]="","",IF(ExtComp[[#This Row],[RAD/PACT]]&lt;=2025,"Yes",""))</f>
        <v/>
      </c>
      <c r="H251" s="67" t="str">
        <f ca="1">IF(VLOOKUP(ExtComp[[#This Row],[DEVELOPMENT]],Data[],11,FALSE)=0,"",DATEDIF(VLOOKUP(ExtComp[[#This Row],[DEVELOPMENT]],Data[],13,FALSE),TODAY(),"Y"))</f>
        <v/>
      </c>
      <c r="I251" s="67">
        <f>IF(ExtComp[[#This Row],[RAD/PACT]]="",VLOOKUP(ExtComp[[#This Row],[DEVELOPMENT]],Data[],11,FALSE),IF(ExtComp[[#This Row],[RAD/PACT by 2025]]="yes",0,VLOOKUP(ExtComp[[#This Row],[DEVELOPMENT]],Data[],11,FALSE)))</f>
        <v>0</v>
      </c>
      <c r="J251" s="63">
        <f ca="1">(ExtComp[[#This Row],['# to Replace]]*'Unit Costs'!$B$6)*(1+((ExtComp[[#This Row],[est. Year]]-YEAR(TODAY()))*$J$2))</f>
        <v>0</v>
      </c>
      <c r="K251" s="67">
        <f>SUM(INDEX(ExtComp['# to Replace],1):ExtComp[[#This Row],['# to Replace]])</f>
        <v>0</v>
      </c>
      <c r="L251" s="67">
        <f>ROUNDDOWN(ExtComp[[#This Row],[Count]]/50,0)+$L$1</f>
        <v>2020</v>
      </c>
      <c r="M251" s="81">
        <f t="shared" ca="1" si="3"/>
        <v>0</v>
      </c>
      <c r="N251" s="81" t="str">
        <f>IFERROR(VLOOKUP(ExtComp[[#This Row],[DEVELOPMENT]],Data[],22,FALSE),"")</f>
        <v/>
      </c>
      <c r="O251" s="67" t="str">
        <f>IFERROR(VLOOKUP(ExtComp[[#This Row],[DEVELOPMENT]],Data[],23,FALSE),"")</f>
        <v/>
      </c>
    </row>
    <row r="252" spans="1:15" x14ac:dyDescent="0.25">
      <c r="A252" s="13" t="s">
        <v>203</v>
      </c>
      <c r="B252" s="9" t="str">
        <f>VLOOKUP(A252,Data[],2,FALSE)</f>
        <v>BROOKLYN</v>
      </c>
      <c r="C252" s="9" t="s">
        <v>68</v>
      </c>
      <c r="D252" s="66">
        <f>VLOOKUP(ExtComp[[#This Row],[DEVELOPMENT]],Data[],8,FALSE)</f>
        <v>0</v>
      </c>
      <c r="E252" s="66">
        <f>VLOOKUP(ExtComp[[#This Row],[DEVELOPMENT]],Data[],9,FALSE)</f>
        <v>0</v>
      </c>
      <c r="F252" s="66" t="str">
        <f>IFERROR(VLOOKUP(ExtComp[[#This Row],[DEVELOPMENT]],Data[],4,FALSE),"")</f>
        <v/>
      </c>
      <c r="G252" s="66" t="str">
        <f>IF(ExtComp[[#This Row],[RAD/PACT]]="","",IF(ExtComp[[#This Row],[RAD/PACT]]&lt;=2025,"Yes",""))</f>
        <v/>
      </c>
      <c r="H252" s="67" t="str">
        <f ca="1">IF(VLOOKUP(ExtComp[[#This Row],[DEVELOPMENT]],Data[],11,FALSE)=0,"",DATEDIF(VLOOKUP(ExtComp[[#This Row],[DEVELOPMENT]],Data[],13,FALSE),TODAY(),"Y"))</f>
        <v/>
      </c>
      <c r="I252" s="67">
        <f>IF(ExtComp[[#This Row],[RAD/PACT]]="",VLOOKUP(ExtComp[[#This Row],[DEVELOPMENT]],Data[],11,FALSE),IF(ExtComp[[#This Row],[RAD/PACT by 2025]]="yes",0,VLOOKUP(ExtComp[[#This Row],[DEVELOPMENT]],Data[],11,FALSE)))</f>
        <v>0</v>
      </c>
      <c r="J252" s="63">
        <f ca="1">(ExtComp[[#This Row],['# to Replace]]*'Unit Costs'!$B$6)*(1+((ExtComp[[#This Row],[est. Year]]-YEAR(TODAY()))*$J$2))</f>
        <v>0</v>
      </c>
      <c r="K252" s="67">
        <f>SUM(INDEX(ExtComp['# to Replace],1):ExtComp[[#This Row],['# to Replace]])</f>
        <v>0</v>
      </c>
      <c r="L252" s="67">
        <f>ROUNDDOWN(ExtComp[[#This Row],[Count]]/50,0)+$L$1</f>
        <v>2020</v>
      </c>
      <c r="M252" s="81">
        <f t="shared" ca="1" si="3"/>
        <v>0</v>
      </c>
      <c r="N252" s="81" t="str">
        <f>IFERROR(VLOOKUP(ExtComp[[#This Row],[DEVELOPMENT]],Data[],22,FALSE),"")</f>
        <v/>
      </c>
      <c r="O252" s="67" t="str">
        <f>IFERROR(VLOOKUP(ExtComp[[#This Row],[DEVELOPMENT]],Data[],23,FALSE),"")</f>
        <v/>
      </c>
    </row>
    <row r="253" spans="1:15" x14ac:dyDescent="0.25">
      <c r="A253" s="13" t="s">
        <v>202</v>
      </c>
      <c r="B253" s="9" t="str">
        <f>VLOOKUP(A253,Data[],2,FALSE)</f>
        <v>BROOKLYN</v>
      </c>
      <c r="C253" s="9" t="s">
        <v>68</v>
      </c>
      <c r="D253" s="66">
        <f>VLOOKUP(ExtComp[[#This Row],[DEVELOPMENT]],Data[],8,FALSE)</f>
        <v>0</v>
      </c>
      <c r="E253" s="66">
        <f>VLOOKUP(ExtComp[[#This Row],[DEVELOPMENT]],Data[],9,FALSE)</f>
        <v>0</v>
      </c>
      <c r="F253" s="66" t="str">
        <f>IFERROR(VLOOKUP(ExtComp[[#This Row],[DEVELOPMENT]],Data[],4,FALSE),"")</f>
        <v/>
      </c>
      <c r="G253" s="66" t="str">
        <f>IF(ExtComp[[#This Row],[RAD/PACT]]="","",IF(ExtComp[[#This Row],[RAD/PACT]]&lt;=2025,"Yes",""))</f>
        <v/>
      </c>
      <c r="H253" s="67" t="str">
        <f ca="1">IF(VLOOKUP(ExtComp[[#This Row],[DEVELOPMENT]],Data[],11,FALSE)=0,"",DATEDIF(VLOOKUP(ExtComp[[#This Row],[DEVELOPMENT]],Data[],13,FALSE),TODAY(),"Y"))</f>
        <v/>
      </c>
      <c r="I253" s="67">
        <f>IF(ExtComp[[#This Row],[RAD/PACT]]="",VLOOKUP(ExtComp[[#This Row],[DEVELOPMENT]],Data[],11,FALSE),IF(ExtComp[[#This Row],[RAD/PACT by 2025]]="yes",0,VLOOKUP(ExtComp[[#This Row],[DEVELOPMENT]],Data[],11,FALSE)))</f>
        <v>0</v>
      </c>
      <c r="J253" s="63">
        <f ca="1">(ExtComp[[#This Row],['# to Replace]]*'Unit Costs'!$B$6)*(1+((ExtComp[[#This Row],[est. Year]]-YEAR(TODAY()))*$J$2))</f>
        <v>0</v>
      </c>
      <c r="K253" s="67">
        <f>SUM(INDEX(ExtComp['# to Replace],1):ExtComp[[#This Row],['# to Replace]])</f>
        <v>0</v>
      </c>
      <c r="L253" s="67">
        <f>ROUNDDOWN(ExtComp[[#This Row],[Count]]/50,0)+$L$1</f>
        <v>2020</v>
      </c>
      <c r="M253" s="81">
        <f t="shared" ca="1" si="3"/>
        <v>0</v>
      </c>
      <c r="N253" s="81" t="str">
        <f>IFERROR(VLOOKUP(ExtComp[[#This Row],[DEVELOPMENT]],Data[],22,FALSE),"")</f>
        <v/>
      </c>
      <c r="O253" s="67" t="str">
        <f>IFERROR(VLOOKUP(ExtComp[[#This Row],[DEVELOPMENT]],Data[],23,FALSE),"")</f>
        <v/>
      </c>
    </row>
    <row r="254" spans="1:15" x14ac:dyDescent="0.25">
      <c r="A254" s="13" t="s">
        <v>201</v>
      </c>
      <c r="B254" s="9" t="str">
        <f>VLOOKUP(A254,Data[],2,FALSE)</f>
        <v>BROOKLYN</v>
      </c>
      <c r="C254" s="9" t="s">
        <v>68</v>
      </c>
      <c r="D254" s="66">
        <f>VLOOKUP(ExtComp[[#This Row],[DEVELOPMENT]],Data[],8,FALSE)</f>
        <v>0</v>
      </c>
      <c r="E254" s="66">
        <f>VLOOKUP(ExtComp[[#This Row],[DEVELOPMENT]],Data[],9,FALSE)</f>
        <v>0</v>
      </c>
      <c r="F254" s="66" t="str">
        <f>IFERROR(VLOOKUP(ExtComp[[#This Row],[DEVELOPMENT]],Data[],4,FALSE),"")</f>
        <v/>
      </c>
      <c r="G254" s="66" t="str">
        <f>IF(ExtComp[[#This Row],[RAD/PACT]]="","",IF(ExtComp[[#This Row],[RAD/PACT]]&lt;=2025,"Yes",""))</f>
        <v/>
      </c>
      <c r="H254" s="67" t="str">
        <f ca="1">IF(VLOOKUP(ExtComp[[#This Row],[DEVELOPMENT]],Data[],11,FALSE)=0,"",DATEDIF(VLOOKUP(ExtComp[[#This Row],[DEVELOPMENT]],Data[],13,FALSE),TODAY(),"Y"))</f>
        <v/>
      </c>
      <c r="I254" s="67">
        <f>IF(ExtComp[[#This Row],[RAD/PACT]]="",VLOOKUP(ExtComp[[#This Row],[DEVELOPMENT]],Data[],11,FALSE),IF(ExtComp[[#This Row],[RAD/PACT by 2025]]="yes",0,VLOOKUP(ExtComp[[#This Row],[DEVELOPMENT]],Data[],11,FALSE)))</f>
        <v>0</v>
      </c>
      <c r="J254" s="63">
        <f ca="1">(ExtComp[[#This Row],['# to Replace]]*'Unit Costs'!$B$6)*(1+((ExtComp[[#This Row],[est. Year]]-YEAR(TODAY()))*$J$2))</f>
        <v>0</v>
      </c>
      <c r="K254" s="67">
        <f>SUM(INDEX(ExtComp['# to Replace],1):ExtComp[[#This Row],['# to Replace]])</f>
        <v>0</v>
      </c>
      <c r="L254" s="67">
        <f>ROUNDDOWN(ExtComp[[#This Row],[Count]]/50,0)+$L$1</f>
        <v>2020</v>
      </c>
      <c r="M254" s="81">
        <f t="shared" ca="1" si="3"/>
        <v>0</v>
      </c>
      <c r="N254" s="81" t="str">
        <f>IFERROR(VLOOKUP(ExtComp[[#This Row],[DEVELOPMENT]],Data[],22,FALSE),"")</f>
        <v/>
      </c>
      <c r="O254" s="67" t="str">
        <f>IFERROR(VLOOKUP(ExtComp[[#This Row],[DEVELOPMENT]],Data[],23,FALSE),"")</f>
        <v/>
      </c>
    </row>
    <row r="255" spans="1:15" x14ac:dyDescent="0.25">
      <c r="A255" s="13" t="s">
        <v>200</v>
      </c>
      <c r="B255" s="9" t="str">
        <f>VLOOKUP(A255,Data[],2,FALSE)</f>
        <v>BROOKLYN</v>
      </c>
      <c r="C255" s="9" t="s">
        <v>68</v>
      </c>
      <c r="D255" s="66">
        <f>VLOOKUP(ExtComp[[#This Row],[DEVELOPMENT]],Data[],8,FALSE)</f>
        <v>0</v>
      </c>
      <c r="E255" s="66">
        <f>VLOOKUP(ExtComp[[#This Row],[DEVELOPMENT]],Data[],9,FALSE)</f>
        <v>0</v>
      </c>
      <c r="F255" s="66" t="str">
        <f>IFERROR(VLOOKUP(ExtComp[[#This Row],[DEVELOPMENT]],Data[],4,FALSE),"")</f>
        <v/>
      </c>
      <c r="G255" s="66" t="str">
        <f>IF(ExtComp[[#This Row],[RAD/PACT]]="","",IF(ExtComp[[#This Row],[RAD/PACT]]&lt;=2025,"Yes",""))</f>
        <v/>
      </c>
      <c r="H255" s="67" t="str">
        <f ca="1">IF(VLOOKUP(ExtComp[[#This Row],[DEVELOPMENT]],Data[],11,FALSE)=0,"",DATEDIF(VLOOKUP(ExtComp[[#This Row],[DEVELOPMENT]],Data[],13,FALSE),TODAY(),"Y"))</f>
        <v/>
      </c>
      <c r="I255" s="67">
        <f>IF(ExtComp[[#This Row],[RAD/PACT]]="",VLOOKUP(ExtComp[[#This Row],[DEVELOPMENT]],Data[],11,FALSE),IF(ExtComp[[#This Row],[RAD/PACT by 2025]]="yes",0,VLOOKUP(ExtComp[[#This Row],[DEVELOPMENT]],Data[],11,FALSE)))</f>
        <v>0</v>
      </c>
      <c r="J255" s="63">
        <f ca="1">(ExtComp[[#This Row],['# to Replace]]*'Unit Costs'!$B$6)*(1+((ExtComp[[#This Row],[est. Year]]-YEAR(TODAY()))*$J$2))</f>
        <v>0</v>
      </c>
      <c r="K255" s="67">
        <f>SUM(INDEX(ExtComp['# to Replace],1):ExtComp[[#This Row],['# to Replace]])</f>
        <v>0</v>
      </c>
      <c r="L255" s="67">
        <f>ROUNDDOWN(ExtComp[[#This Row],[Count]]/50,0)+$L$1</f>
        <v>2020</v>
      </c>
      <c r="M255" s="81">
        <f t="shared" ca="1" si="3"/>
        <v>0</v>
      </c>
      <c r="N255" s="81" t="str">
        <f>IFERROR(VLOOKUP(ExtComp[[#This Row],[DEVELOPMENT]],Data[],22,FALSE),"")</f>
        <v/>
      </c>
      <c r="O255" s="67" t="str">
        <f>IFERROR(VLOOKUP(ExtComp[[#This Row],[DEVELOPMENT]],Data[],23,FALSE),"")</f>
        <v/>
      </c>
    </row>
    <row r="256" spans="1:15" x14ac:dyDescent="0.25">
      <c r="A256" s="82" t="s">
        <v>145</v>
      </c>
      <c r="B256" s="1" t="str">
        <f>VLOOKUP(A256,Data[],2,FALSE)</f>
        <v>BRONX</v>
      </c>
      <c r="C256" s="9" t="s">
        <v>68</v>
      </c>
      <c r="D256" s="9" t="str">
        <f>VLOOKUP(ExtComp[[#This Row],[DEVELOPMENT]],Data[],8,FALSE)</f>
        <v>Zone 1</v>
      </c>
      <c r="E256" s="9" t="str">
        <f>VLOOKUP(ExtComp[[#This Row],[DEVELOPMENT]],Data[],9,FALSE)</f>
        <v>$</v>
      </c>
      <c r="F256" s="9">
        <f>IFERROR(VLOOKUP(ExtComp[[#This Row],[DEVELOPMENT]],Data[],4,FALSE),"")</f>
        <v>2025</v>
      </c>
      <c r="G256" s="9" t="str">
        <f>IF(ExtComp[[#This Row],[RAD/PACT]]="","",IF(ExtComp[[#This Row],[RAD/PACT]]&lt;=2025,"Yes",""))</f>
        <v>Yes</v>
      </c>
      <c r="H256" s="1" t="str">
        <f ca="1">IF(VLOOKUP(ExtComp[[#This Row],[DEVELOPMENT]],Data[],11,FALSE)=0,"",DATEDIF(VLOOKUP(ExtComp[[#This Row],[DEVELOPMENT]],Data[],13,FALSE),TODAY(),"Y"))</f>
        <v/>
      </c>
      <c r="I256" s="1">
        <f>IF(ExtComp[[#This Row],[RAD/PACT]]="",VLOOKUP(ExtComp[[#This Row],[DEVELOPMENT]],Data[],11,FALSE),IF(ExtComp[[#This Row],[RAD/PACT by 2025]]="yes",0,VLOOKUP(ExtComp[[#This Row],[DEVELOPMENT]],Data[],11,FALSE)))</f>
        <v>0</v>
      </c>
      <c r="J256" s="63">
        <f ca="1">(ExtComp[[#This Row],['# to Replace]]*'Unit Costs'!$B$6)*(1+((ExtComp[[#This Row],[est. Year]]-YEAR(TODAY()))*$J$2))</f>
        <v>0</v>
      </c>
      <c r="K256" s="1">
        <f>SUM(INDEX(ExtComp['# to Replace],1):ExtComp[[#This Row],['# to Replace]])</f>
        <v>0</v>
      </c>
      <c r="L256" s="1">
        <f>ROUNDDOWN(ExtComp[[#This Row],[Count]]/50,0)+$L$1</f>
        <v>2020</v>
      </c>
      <c r="M256" s="81">
        <f t="shared" ca="1" si="3"/>
        <v>0</v>
      </c>
      <c r="N256" s="81" t="str">
        <f>IFERROR(VLOOKUP(ExtComp[[#This Row],[DEVELOPMENT]],Data[],22,FALSE),"")</f>
        <v/>
      </c>
      <c r="O256" s="67" t="str">
        <f>IFERROR(VLOOKUP(ExtComp[[#This Row],[DEVELOPMENT]],Data[],23,FALSE),"")</f>
        <v/>
      </c>
    </row>
    <row r="257" spans="1:15" x14ac:dyDescent="0.25">
      <c r="A257" s="13" t="s">
        <v>129</v>
      </c>
      <c r="B257" s="1" t="str">
        <f>VLOOKUP(A257,Data[],2,FALSE)</f>
        <v>MANHATTAN</v>
      </c>
      <c r="C257" s="9" t="s">
        <v>68</v>
      </c>
      <c r="D257" s="9" t="str">
        <f>VLOOKUP(ExtComp[[#This Row],[DEVELOPMENT]],Data[],8,FALSE)</f>
        <v>Zone 2</v>
      </c>
      <c r="E257" s="9" t="str">
        <f>VLOOKUP(ExtComp[[#This Row],[DEVELOPMENT]],Data[],9,FALSE)</f>
        <v>$$$$</v>
      </c>
      <c r="F257" s="9" t="str">
        <f>IFERROR(VLOOKUP(ExtComp[[#This Row],[DEVELOPMENT]],Data[],4,FALSE),"")</f>
        <v/>
      </c>
      <c r="G257" s="9" t="str">
        <f>IF(ExtComp[[#This Row],[RAD/PACT]]="","",IF(ExtComp[[#This Row],[RAD/PACT]]&lt;=2025,"Yes",""))</f>
        <v/>
      </c>
      <c r="H257" s="1" t="str">
        <f ca="1">IF(VLOOKUP(ExtComp[[#This Row],[DEVELOPMENT]],Data[],11,FALSE)=0,"",DATEDIF(VLOOKUP(ExtComp[[#This Row],[DEVELOPMENT]],Data[],13,FALSE),TODAY(),"Y"))</f>
        <v/>
      </c>
      <c r="I257" s="1">
        <f>IF(ExtComp[[#This Row],[RAD/PACT]]="",VLOOKUP(ExtComp[[#This Row],[DEVELOPMENT]],Data[],11,FALSE),IF(ExtComp[[#This Row],[RAD/PACT by 2025]]="yes",0,VLOOKUP(ExtComp[[#This Row],[DEVELOPMENT]],Data[],11,FALSE)))</f>
        <v>0</v>
      </c>
      <c r="J257" s="63">
        <f ca="1">(ExtComp[[#This Row],['# to Replace]]*'Unit Costs'!$B$6)*(1+((ExtComp[[#This Row],[est. Year]]-YEAR(TODAY()))*$J$2))</f>
        <v>0</v>
      </c>
      <c r="K257" s="1">
        <f>SUM(INDEX(ExtComp['# to Replace],1):ExtComp[[#This Row],['# to Replace]])</f>
        <v>0</v>
      </c>
      <c r="L257" s="1">
        <f>ROUNDDOWN(ExtComp[[#This Row],[Count]]/50,0)+$L$1</f>
        <v>2020</v>
      </c>
      <c r="M257" s="81">
        <f t="shared" ca="1" si="3"/>
        <v>0</v>
      </c>
      <c r="N257" s="81" t="str">
        <f>IFERROR(VLOOKUP(ExtComp[[#This Row],[DEVELOPMENT]],Data[],22,FALSE),"")</f>
        <v/>
      </c>
      <c r="O257" s="88" t="str">
        <f>IFERROR(VLOOKUP(ExtComp[[#This Row],[DEVELOPMENT]],Data[],23,FALSE),"")</f>
        <v/>
      </c>
    </row>
    <row r="258" spans="1:15" x14ac:dyDescent="0.25">
      <c r="A258" s="13" t="s">
        <v>199</v>
      </c>
      <c r="B258" s="9" t="str">
        <f>VLOOKUP(A258,Data[],2,FALSE)</f>
        <v>BRONX</v>
      </c>
      <c r="C258" s="9"/>
      <c r="D258" s="66">
        <f>VLOOKUP(ExtComp[[#This Row],[DEVELOPMENT]],Data[],8,FALSE)</f>
        <v>0</v>
      </c>
      <c r="E258" s="66">
        <f>VLOOKUP(ExtComp[[#This Row],[DEVELOPMENT]],Data[],9,FALSE)</f>
        <v>0</v>
      </c>
      <c r="F258" s="66">
        <f>IFERROR(VLOOKUP(ExtComp[[#This Row],[DEVELOPMENT]],Data[],4,FALSE),"")</f>
        <v>2024</v>
      </c>
      <c r="G258" s="66" t="str">
        <f>IF(ExtComp[[#This Row],[RAD/PACT]]="","",IF(ExtComp[[#This Row],[RAD/PACT]]&lt;=2025,"Yes",""))</f>
        <v>Yes</v>
      </c>
      <c r="H258" s="67" t="str">
        <f ca="1">IF(VLOOKUP(ExtComp[[#This Row],[DEVELOPMENT]],Data[],11,FALSE)=0,"",DATEDIF(VLOOKUP(ExtComp[[#This Row],[DEVELOPMENT]],Data[],13,FALSE),TODAY(),"Y"))</f>
        <v/>
      </c>
      <c r="I258" s="67">
        <f>IF(ExtComp[[#This Row],[RAD/PACT]]="",VLOOKUP(ExtComp[[#This Row],[DEVELOPMENT]],Data[],11,FALSE),IF(ExtComp[[#This Row],[RAD/PACT by 2025]]="yes",0,VLOOKUP(ExtComp[[#This Row],[DEVELOPMENT]],Data[],11,FALSE)))</f>
        <v>0</v>
      </c>
      <c r="J258" s="63">
        <f ca="1">(ExtComp[[#This Row],['# to Replace]]*'Unit Costs'!$B$6)*(1+((ExtComp[[#This Row],[est. Year]]-YEAR(TODAY()))*$J$2))</f>
        <v>0</v>
      </c>
      <c r="K258" s="67">
        <f>SUM(INDEX(ExtComp['# to Replace],1):ExtComp[[#This Row],['# to Replace]])</f>
        <v>0</v>
      </c>
      <c r="L258" s="67">
        <f>ROUNDDOWN(ExtComp[[#This Row],[Count]]/50,0)+$L$1</f>
        <v>2020</v>
      </c>
      <c r="M258" s="81">
        <f t="shared" ca="1" si="3"/>
        <v>0</v>
      </c>
      <c r="N258" s="81" t="str">
        <f>IFERROR(VLOOKUP(ExtComp[[#This Row],[DEVELOPMENT]],Data[],22,FALSE),"")</f>
        <v/>
      </c>
      <c r="O258" s="67" t="str">
        <f>IFERROR(VLOOKUP(ExtComp[[#This Row],[DEVELOPMENT]],Data[],23,FALSE),"")</f>
        <v/>
      </c>
    </row>
    <row r="259" spans="1:15" x14ac:dyDescent="0.25">
      <c r="A259" s="82" t="s">
        <v>144</v>
      </c>
      <c r="B259" s="1" t="str">
        <f>VLOOKUP(A259,Data[],2,FALSE)</f>
        <v>BRONX</v>
      </c>
      <c r="C259" s="9" t="s">
        <v>68</v>
      </c>
      <c r="D259" s="9" t="str">
        <f>VLOOKUP(ExtComp[[#This Row],[DEVELOPMENT]],Data[],8,FALSE)</f>
        <v>Zone 1</v>
      </c>
      <c r="E259" s="9" t="str">
        <f>VLOOKUP(ExtComp[[#This Row],[DEVELOPMENT]],Data[],9,FALSE)</f>
        <v>$</v>
      </c>
      <c r="F259" s="9">
        <f>IFERROR(VLOOKUP(ExtComp[[#This Row],[DEVELOPMENT]],Data[],4,FALSE),"")</f>
        <v>2025</v>
      </c>
      <c r="G259" s="9" t="str">
        <f>IF(ExtComp[[#This Row],[RAD/PACT]]="","",IF(ExtComp[[#This Row],[RAD/PACT]]&lt;=2025,"Yes",""))</f>
        <v>Yes</v>
      </c>
      <c r="H259" s="1" t="str">
        <f ca="1">IF(VLOOKUP(ExtComp[[#This Row],[DEVELOPMENT]],Data[],11,FALSE)=0,"",DATEDIF(VLOOKUP(ExtComp[[#This Row],[DEVELOPMENT]],Data[],13,FALSE),TODAY(),"Y"))</f>
        <v/>
      </c>
      <c r="I259" s="1">
        <f>IF(ExtComp[[#This Row],[RAD/PACT]]="",VLOOKUP(ExtComp[[#This Row],[DEVELOPMENT]],Data[],11,FALSE),IF(ExtComp[[#This Row],[RAD/PACT by 2025]]="yes",0,VLOOKUP(ExtComp[[#This Row],[DEVELOPMENT]],Data[],11,FALSE)))</f>
        <v>0</v>
      </c>
      <c r="J259" s="63">
        <f ca="1">(ExtComp[[#This Row],['# to Replace]]*'Unit Costs'!$B$6)*(1+((ExtComp[[#This Row],[est. Year]]-YEAR(TODAY()))*$J$2))</f>
        <v>0</v>
      </c>
      <c r="K259" s="1">
        <f>SUM(INDEX(ExtComp['# to Replace],1):ExtComp[[#This Row],['# to Replace]])</f>
        <v>0</v>
      </c>
      <c r="L259" s="1">
        <f>ROUNDDOWN(ExtComp[[#This Row],[Count]]/50,0)+$L$1</f>
        <v>2020</v>
      </c>
      <c r="M259" s="81">
        <f t="shared" ca="1" si="3"/>
        <v>0</v>
      </c>
      <c r="N259" s="81" t="str">
        <f>IFERROR(VLOOKUP(ExtComp[[#This Row],[DEVELOPMENT]],Data[],22,FALSE),"")</f>
        <v/>
      </c>
      <c r="O259" s="67" t="str">
        <f>IFERROR(VLOOKUP(ExtComp[[#This Row],[DEVELOPMENT]],Data[],23,FALSE),"")</f>
        <v/>
      </c>
    </row>
    <row r="260" spans="1:15" x14ac:dyDescent="0.25">
      <c r="A260" s="82" t="s">
        <v>34</v>
      </c>
      <c r="B260" s="1" t="str">
        <f>VLOOKUP(A260,Data[],2,FALSE)</f>
        <v>BRONX</v>
      </c>
      <c r="C260" s="9" t="s">
        <v>68</v>
      </c>
      <c r="D260" s="9" t="str">
        <f>VLOOKUP(ExtComp[[#This Row],[DEVELOPMENT]],Data[],8,FALSE)</f>
        <v>Zone 1</v>
      </c>
      <c r="E260" s="9" t="str">
        <f>VLOOKUP(ExtComp[[#This Row],[DEVELOPMENT]],Data[],9,FALSE)</f>
        <v>$</v>
      </c>
      <c r="F260" s="9">
        <f>IFERROR(VLOOKUP(ExtComp[[#This Row],[DEVELOPMENT]],Data[],4,FALSE),"")</f>
        <v>2025</v>
      </c>
      <c r="G260" s="9" t="str">
        <f>IF(ExtComp[[#This Row],[RAD/PACT]]="","",IF(ExtComp[[#This Row],[RAD/PACT]]&lt;=2025,"Yes",""))</f>
        <v>Yes</v>
      </c>
      <c r="H260" s="1" t="str">
        <f ca="1">IF(VLOOKUP(ExtComp[[#This Row],[DEVELOPMENT]],Data[],11,FALSE)=0,"",DATEDIF(VLOOKUP(ExtComp[[#This Row],[DEVELOPMENT]],Data[],13,FALSE),TODAY(),"Y"))</f>
        <v/>
      </c>
      <c r="I260" s="1">
        <f>IF(ExtComp[[#This Row],[RAD/PACT]]="",VLOOKUP(ExtComp[[#This Row],[DEVELOPMENT]],Data[],11,FALSE),IF(ExtComp[[#This Row],[RAD/PACT by 2025]]="yes",0,VLOOKUP(ExtComp[[#This Row],[DEVELOPMENT]],Data[],11,FALSE)))</f>
        <v>0</v>
      </c>
      <c r="J260" s="63">
        <f ca="1">(ExtComp[[#This Row],['# to Replace]]*'Unit Costs'!$B$6)*(1+((ExtComp[[#This Row],[est. Year]]-YEAR(TODAY()))*$J$2))</f>
        <v>0</v>
      </c>
      <c r="K260" s="1">
        <f>SUM(INDEX(ExtComp['# to Replace],1):ExtComp[[#This Row],['# to Replace]])</f>
        <v>0</v>
      </c>
      <c r="L260" s="1">
        <f>ROUNDDOWN(ExtComp[[#This Row],[Count]]/50,0)+$L$1</f>
        <v>2020</v>
      </c>
      <c r="M260" s="81">
        <f t="shared" ref="M260:M323" ca="1" si="4">IF(L260=L259,J260+M259,J260)</f>
        <v>0</v>
      </c>
      <c r="N260" s="81" t="str">
        <f>IFERROR(VLOOKUP(ExtComp[[#This Row],[DEVELOPMENT]],Data[],22,FALSE),"")</f>
        <v/>
      </c>
      <c r="O260" s="67" t="str">
        <f>IFERROR(VLOOKUP(ExtComp[[#This Row],[DEVELOPMENT]],Data[],23,FALSE),"")</f>
        <v/>
      </c>
    </row>
    <row r="261" spans="1:15" x14ac:dyDescent="0.25">
      <c r="A261" s="82" t="s">
        <v>32</v>
      </c>
      <c r="B261" s="1" t="str">
        <f>VLOOKUP(A261,Data[],2,FALSE)</f>
        <v>BRONX</v>
      </c>
      <c r="C261" s="9" t="s">
        <v>68</v>
      </c>
      <c r="D261" s="9" t="str">
        <f>VLOOKUP(ExtComp[[#This Row],[DEVELOPMENT]],Data[],8,FALSE)</f>
        <v>Zone 1</v>
      </c>
      <c r="E261" s="9" t="str">
        <f>VLOOKUP(ExtComp[[#This Row],[DEVELOPMENT]],Data[],9,FALSE)</f>
        <v>$</v>
      </c>
      <c r="F261" s="9">
        <f>IFERROR(VLOOKUP(ExtComp[[#This Row],[DEVELOPMENT]],Data[],4,FALSE),"")</f>
        <v>2025</v>
      </c>
      <c r="G261" s="9" t="str">
        <f>IF(ExtComp[[#This Row],[RAD/PACT]]="","",IF(ExtComp[[#This Row],[RAD/PACT]]&lt;=2025,"Yes",""))</f>
        <v>Yes</v>
      </c>
      <c r="H261" s="1" t="str">
        <f ca="1">IF(VLOOKUP(ExtComp[[#This Row],[DEVELOPMENT]],Data[],11,FALSE)=0,"",DATEDIF(VLOOKUP(ExtComp[[#This Row],[DEVELOPMENT]],Data[],13,FALSE),TODAY(),"Y"))</f>
        <v/>
      </c>
      <c r="I261" s="1">
        <f>IF(ExtComp[[#This Row],[RAD/PACT]]="",VLOOKUP(ExtComp[[#This Row],[DEVELOPMENT]],Data[],11,FALSE),IF(ExtComp[[#This Row],[RAD/PACT by 2025]]="yes",0,VLOOKUP(ExtComp[[#This Row],[DEVELOPMENT]],Data[],11,FALSE)))</f>
        <v>0</v>
      </c>
      <c r="J261" s="63">
        <f ca="1">(ExtComp[[#This Row],['# to Replace]]*'Unit Costs'!$B$6)*(1+((ExtComp[[#This Row],[est. Year]]-YEAR(TODAY()))*$J$2))</f>
        <v>0</v>
      </c>
      <c r="K261" s="1">
        <f>SUM(INDEX(ExtComp['# to Replace],1):ExtComp[[#This Row],['# to Replace]])</f>
        <v>0</v>
      </c>
      <c r="L261" s="1">
        <f>ROUNDDOWN(ExtComp[[#This Row],[Count]]/50,0)+$L$1</f>
        <v>2020</v>
      </c>
      <c r="M261" s="81">
        <f t="shared" ca="1" si="4"/>
        <v>0</v>
      </c>
      <c r="N261" s="81" t="str">
        <f>IFERROR(VLOOKUP(ExtComp[[#This Row],[DEVELOPMENT]],Data[],22,FALSE),"")</f>
        <v/>
      </c>
      <c r="O261" s="67" t="str">
        <f>IFERROR(VLOOKUP(ExtComp[[#This Row],[DEVELOPMENT]],Data[],23,FALSE),"")</f>
        <v/>
      </c>
    </row>
    <row r="262" spans="1:15" x14ac:dyDescent="0.25">
      <c r="A262" s="82" t="s">
        <v>143</v>
      </c>
      <c r="B262" s="1" t="str">
        <f>VLOOKUP(A262,Data[],2,FALSE)</f>
        <v>BRONX</v>
      </c>
      <c r="C262" s="9" t="s">
        <v>68</v>
      </c>
      <c r="D262" s="9" t="str">
        <f>VLOOKUP(ExtComp[[#This Row],[DEVELOPMENT]],Data[],8,FALSE)</f>
        <v>Zone 1</v>
      </c>
      <c r="E262" s="9" t="str">
        <f>VLOOKUP(ExtComp[[#This Row],[DEVELOPMENT]],Data[],9,FALSE)</f>
        <v>$</v>
      </c>
      <c r="F262" s="9">
        <f>IFERROR(VLOOKUP(ExtComp[[#This Row],[DEVELOPMENT]],Data[],4,FALSE),"")</f>
        <v>2025</v>
      </c>
      <c r="G262" s="9" t="str">
        <f>IF(ExtComp[[#This Row],[RAD/PACT]]="","",IF(ExtComp[[#This Row],[RAD/PACT]]&lt;=2025,"Yes",""))</f>
        <v>Yes</v>
      </c>
      <c r="H262" s="1" t="str">
        <f ca="1">IF(VLOOKUP(ExtComp[[#This Row],[DEVELOPMENT]],Data[],11,FALSE)=0,"",DATEDIF(VLOOKUP(ExtComp[[#This Row],[DEVELOPMENT]],Data[],13,FALSE),TODAY(),"Y"))</f>
        <v/>
      </c>
      <c r="I262" s="1">
        <f>IF(ExtComp[[#This Row],[RAD/PACT]]="",VLOOKUP(ExtComp[[#This Row],[DEVELOPMENT]],Data[],11,FALSE),IF(ExtComp[[#This Row],[RAD/PACT by 2025]]="yes",0,VLOOKUP(ExtComp[[#This Row],[DEVELOPMENT]],Data[],11,FALSE)))</f>
        <v>0</v>
      </c>
      <c r="J262" s="63">
        <f ca="1">(ExtComp[[#This Row],['# to Replace]]*'Unit Costs'!$B$6)*(1+((ExtComp[[#This Row],[est. Year]]-YEAR(TODAY()))*$J$2))</f>
        <v>0</v>
      </c>
      <c r="K262" s="1">
        <f>SUM(INDEX(ExtComp['# to Replace],1):ExtComp[[#This Row],['# to Replace]])</f>
        <v>0</v>
      </c>
      <c r="L262" s="1">
        <f>ROUNDDOWN(ExtComp[[#This Row],[Count]]/50,0)+$L$1</f>
        <v>2020</v>
      </c>
      <c r="M262" s="81">
        <f t="shared" ca="1" si="4"/>
        <v>0</v>
      </c>
      <c r="N262" s="81" t="str">
        <f>IFERROR(VLOOKUP(ExtComp[[#This Row],[DEVELOPMENT]],Data[],22,FALSE),"")</f>
        <v/>
      </c>
      <c r="O262" s="88" t="str">
        <f>IFERROR(VLOOKUP(ExtComp[[#This Row],[DEVELOPMENT]],Data[],23,FALSE),"")</f>
        <v/>
      </c>
    </row>
    <row r="263" spans="1:15" x14ac:dyDescent="0.25">
      <c r="A263" s="13" t="s">
        <v>124</v>
      </c>
      <c r="B263" s="1" t="str">
        <f>VLOOKUP(A263,Data[],2,FALSE)</f>
        <v>BRONX</v>
      </c>
      <c r="C263" s="9" t="s">
        <v>68</v>
      </c>
      <c r="D263" s="9" t="str">
        <f>VLOOKUP(ExtComp[[#This Row],[DEVELOPMENT]],Data[],8,FALSE)</f>
        <v>Zone 3</v>
      </c>
      <c r="E263" s="9" t="str">
        <f>VLOOKUP(ExtComp[[#This Row],[DEVELOPMENT]],Data[],9,FALSE)</f>
        <v>$</v>
      </c>
      <c r="F263" s="9">
        <f>IFERROR(VLOOKUP(ExtComp[[#This Row],[DEVELOPMENT]],Data[],4,FALSE),"")</f>
        <v>2026</v>
      </c>
      <c r="G263" s="9" t="str">
        <f>IF(ExtComp[[#This Row],[RAD/PACT]]="","",IF(ExtComp[[#This Row],[RAD/PACT]]&lt;=2025,"Yes",""))</f>
        <v/>
      </c>
      <c r="H263" s="1" t="str">
        <f ca="1">IF(VLOOKUP(ExtComp[[#This Row],[DEVELOPMENT]],Data[],11,FALSE)=0,"",DATEDIF(VLOOKUP(ExtComp[[#This Row],[DEVELOPMENT]],Data[],13,FALSE),TODAY(),"Y"))</f>
        <v/>
      </c>
      <c r="I263" s="1">
        <f>IF(ExtComp[[#This Row],[RAD/PACT]]="",VLOOKUP(ExtComp[[#This Row],[DEVELOPMENT]],Data[],11,FALSE),IF(ExtComp[[#This Row],[RAD/PACT by 2025]]="yes",0,VLOOKUP(ExtComp[[#This Row],[DEVELOPMENT]],Data[],11,FALSE)))</f>
        <v>0</v>
      </c>
      <c r="J263" s="63">
        <f ca="1">(ExtComp[[#This Row],['# to Replace]]*'Unit Costs'!$B$6)*(1+((ExtComp[[#This Row],[est. Year]]-YEAR(TODAY()))*$J$2))</f>
        <v>0</v>
      </c>
      <c r="K263" s="1">
        <f>SUM(INDEX(ExtComp['# to Replace],1):ExtComp[[#This Row],['# to Replace]])</f>
        <v>0</v>
      </c>
      <c r="L263" s="1">
        <f>ROUNDDOWN(ExtComp[[#This Row],[Count]]/50,0)+$L$1</f>
        <v>2020</v>
      </c>
      <c r="M263" s="81">
        <f t="shared" ca="1" si="4"/>
        <v>0</v>
      </c>
      <c r="N263" s="81" t="str">
        <f>IFERROR(VLOOKUP(ExtComp[[#This Row],[DEVELOPMENT]],Data[],22,FALSE),"")</f>
        <v/>
      </c>
      <c r="O263" s="88" t="str">
        <f>IFERROR(VLOOKUP(ExtComp[[#This Row],[DEVELOPMENT]],Data[],23,FALSE),"")</f>
        <v/>
      </c>
    </row>
    <row r="264" spans="1:15" x14ac:dyDescent="0.25">
      <c r="A264" s="13" t="s">
        <v>198</v>
      </c>
      <c r="B264" s="9" t="str">
        <f>VLOOKUP(A264,Data[],2,FALSE)</f>
        <v>MANHATTAN</v>
      </c>
      <c r="C264" s="9" t="s">
        <v>68</v>
      </c>
      <c r="D264" s="66">
        <f>VLOOKUP(ExtComp[[#This Row],[DEVELOPMENT]],Data[],8,FALSE)</f>
        <v>0</v>
      </c>
      <c r="E264" s="66">
        <f>VLOOKUP(ExtComp[[#This Row],[DEVELOPMENT]],Data[],9,FALSE)</f>
        <v>0</v>
      </c>
      <c r="F264" s="66" t="str">
        <f>IFERROR(VLOOKUP(ExtComp[[#This Row],[DEVELOPMENT]],Data[],4,FALSE),"")</f>
        <v/>
      </c>
      <c r="G264" s="66" t="str">
        <f>IF(ExtComp[[#This Row],[RAD/PACT]]="","",IF(ExtComp[[#This Row],[RAD/PACT]]&lt;=2025,"Yes",""))</f>
        <v/>
      </c>
      <c r="H264" s="67" t="str">
        <f ca="1">IF(VLOOKUP(ExtComp[[#This Row],[DEVELOPMENT]],Data[],11,FALSE)=0,"",DATEDIF(VLOOKUP(ExtComp[[#This Row],[DEVELOPMENT]],Data[],13,FALSE),TODAY(),"Y"))</f>
        <v/>
      </c>
      <c r="I264" s="67">
        <f>IF(ExtComp[[#This Row],[RAD/PACT]]="",VLOOKUP(ExtComp[[#This Row],[DEVELOPMENT]],Data[],11,FALSE),IF(ExtComp[[#This Row],[RAD/PACT by 2025]]="yes",0,VLOOKUP(ExtComp[[#This Row],[DEVELOPMENT]],Data[],11,FALSE)))</f>
        <v>0</v>
      </c>
      <c r="J264" s="63">
        <f ca="1">(ExtComp[[#This Row],['# to Replace]]*'Unit Costs'!$B$6)*(1+((ExtComp[[#This Row],[est. Year]]-YEAR(TODAY()))*$J$2))</f>
        <v>0</v>
      </c>
      <c r="K264" s="67">
        <f>SUM(INDEX(ExtComp['# to Replace],1):ExtComp[[#This Row],['# to Replace]])</f>
        <v>0</v>
      </c>
      <c r="L264" s="67">
        <f>ROUNDDOWN(ExtComp[[#This Row],[Count]]/50,0)+$L$1</f>
        <v>2020</v>
      </c>
      <c r="M264" s="81">
        <f t="shared" ca="1" si="4"/>
        <v>0</v>
      </c>
      <c r="N264" s="81" t="str">
        <f>IFERROR(VLOOKUP(ExtComp[[#This Row],[DEVELOPMENT]],Data[],22,FALSE),"")</f>
        <v/>
      </c>
      <c r="O264" s="67" t="str">
        <f>IFERROR(VLOOKUP(ExtComp[[#This Row],[DEVELOPMENT]],Data[],23,FALSE),"")</f>
        <v/>
      </c>
    </row>
    <row r="265" spans="1:15" x14ac:dyDescent="0.25">
      <c r="A265" s="13" t="s">
        <v>197</v>
      </c>
      <c r="B265" s="9" t="str">
        <f>VLOOKUP(A265,Data[],2,FALSE)</f>
        <v>MANHATTAN</v>
      </c>
      <c r="C265" s="9" t="s">
        <v>68</v>
      </c>
      <c r="D265" s="66">
        <f>VLOOKUP(ExtComp[[#This Row],[DEVELOPMENT]],Data[],8,FALSE)</f>
        <v>0</v>
      </c>
      <c r="E265" s="66">
        <f>VLOOKUP(ExtComp[[#This Row],[DEVELOPMENT]],Data[],9,FALSE)</f>
        <v>0</v>
      </c>
      <c r="F265" s="66" t="str">
        <f>IFERROR(VLOOKUP(ExtComp[[#This Row],[DEVELOPMENT]],Data[],4,FALSE),"")</f>
        <v/>
      </c>
      <c r="G265" s="66" t="str">
        <f>IF(ExtComp[[#This Row],[RAD/PACT]]="","",IF(ExtComp[[#This Row],[RAD/PACT]]&lt;=2025,"Yes",""))</f>
        <v/>
      </c>
      <c r="H265" s="67" t="str">
        <f ca="1">IF(VLOOKUP(ExtComp[[#This Row],[DEVELOPMENT]],Data[],11,FALSE)=0,"",DATEDIF(VLOOKUP(ExtComp[[#This Row],[DEVELOPMENT]],Data[],13,FALSE),TODAY(),"Y"))</f>
        <v/>
      </c>
      <c r="I265" s="67">
        <f>IF(ExtComp[[#This Row],[RAD/PACT]]="",VLOOKUP(ExtComp[[#This Row],[DEVELOPMENT]],Data[],11,FALSE),IF(ExtComp[[#This Row],[RAD/PACT by 2025]]="yes",0,VLOOKUP(ExtComp[[#This Row],[DEVELOPMENT]],Data[],11,FALSE)))</f>
        <v>0</v>
      </c>
      <c r="J265" s="63">
        <f ca="1">(ExtComp[[#This Row],['# to Replace]]*'Unit Costs'!$B$6)*(1+((ExtComp[[#This Row],[est. Year]]-YEAR(TODAY()))*$J$2))</f>
        <v>0</v>
      </c>
      <c r="K265" s="67">
        <f>SUM(INDEX(ExtComp['# to Replace],1):ExtComp[[#This Row],['# to Replace]])</f>
        <v>0</v>
      </c>
      <c r="L265" s="67">
        <f>ROUNDDOWN(ExtComp[[#This Row],[Count]]/50,0)+$L$1</f>
        <v>2020</v>
      </c>
      <c r="M265" s="81">
        <f t="shared" ca="1" si="4"/>
        <v>0</v>
      </c>
      <c r="N265" s="81" t="str">
        <f>IFERROR(VLOOKUP(ExtComp[[#This Row],[DEVELOPMENT]],Data[],22,FALSE),"")</f>
        <v/>
      </c>
      <c r="O265" s="88" t="str">
        <f>IFERROR(VLOOKUP(ExtComp[[#This Row],[DEVELOPMENT]],Data[],23,FALSE),"")</f>
        <v/>
      </c>
    </row>
    <row r="266" spans="1:15" x14ac:dyDescent="0.25">
      <c r="A266" s="13" t="s">
        <v>196</v>
      </c>
      <c r="B266" s="9" t="str">
        <f>VLOOKUP(A266,Data[],2,FALSE)</f>
        <v>BRONX</v>
      </c>
      <c r="C266" s="9" t="s">
        <v>68</v>
      </c>
      <c r="D266" s="66">
        <f>VLOOKUP(ExtComp[[#This Row],[DEVELOPMENT]],Data[],8,FALSE)</f>
        <v>0</v>
      </c>
      <c r="E266" s="66">
        <f>VLOOKUP(ExtComp[[#This Row],[DEVELOPMENT]],Data[],9,FALSE)</f>
        <v>0</v>
      </c>
      <c r="F266" s="66" t="str">
        <f>IFERROR(VLOOKUP(ExtComp[[#This Row],[DEVELOPMENT]],Data[],4,FALSE),"")</f>
        <v/>
      </c>
      <c r="G266" s="66" t="str">
        <f>IF(ExtComp[[#This Row],[RAD/PACT]]="","",IF(ExtComp[[#This Row],[RAD/PACT]]&lt;=2025,"Yes",""))</f>
        <v/>
      </c>
      <c r="H266" s="67" t="str">
        <f ca="1">IF(VLOOKUP(ExtComp[[#This Row],[DEVELOPMENT]],Data[],11,FALSE)=0,"",DATEDIF(VLOOKUP(ExtComp[[#This Row],[DEVELOPMENT]],Data[],13,FALSE),TODAY(),"Y"))</f>
        <v/>
      </c>
      <c r="I266" s="67">
        <f>IF(ExtComp[[#This Row],[RAD/PACT]]="",VLOOKUP(ExtComp[[#This Row],[DEVELOPMENT]],Data[],11,FALSE),IF(ExtComp[[#This Row],[RAD/PACT by 2025]]="yes",0,VLOOKUP(ExtComp[[#This Row],[DEVELOPMENT]],Data[],11,FALSE)))</f>
        <v>0</v>
      </c>
      <c r="J266" s="63">
        <f ca="1">(ExtComp[[#This Row],['# to Replace]]*'Unit Costs'!$B$6)*(1+((ExtComp[[#This Row],[est. Year]]-YEAR(TODAY()))*$J$2))</f>
        <v>0</v>
      </c>
      <c r="K266" s="67">
        <f>SUM(INDEX(ExtComp['# to Replace],1):ExtComp[[#This Row],['# to Replace]])</f>
        <v>0</v>
      </c>
      <c r="L266" s="67">
        <f>ROUNDDOWN(ExtComp[[#This Row],[Count]]/50,0)+$L$1</f>
        <v>2020</v>
      </c>
      <c r="M266" s="81">
        <f t="shared" ca="1" si="4"/>
        <v>0</v>
      </c>
      <c r="N266" s="81" t="str">
        <f>IFERROR(VLOOKUP(ExtComp[[#This Row],[DEVELOPMENT]],Data[],22,FALSE),"")</f>
        <v/>
      </c>
      <c r="O266" s="88" t="str">
        <f>IFERROR(VLOOKUP(ExtComp[[#This Row],[DEVELOPMENT]],Data[],23,FALSE),"")</f>
        <v/>
      </c>
    </row>
    <row r="267" spans="1:15" x14ac:dyDescent="0.25">
      <c r="A267" s="13" t="s">
        <v>195</v>
      </c>
      <c r="B267" s="9" t="str">
        <f>VLOOKUP(A267,Data[],2,FALSE)</f>
        <v>STATEN ISLAND</v>
      </c>
      <c r="C267" s="9" t="s">
        <v>68</v>
      </c>
      <c r="D267" s="66">
        <f>VLOOKUP(ExtComp[[#This Row],[DEVELOPMENT]],Data[],8,FALSE)</f>
        <v>0</v>
      </c>
      <c r="E267" s="66">
        <f>VLOOKUP(ExtComp[[#This Row],[DEVELOPMENT]],Data[],9,FALSE)</f>
        <v>0</v>
      </c>
      <c r="F267" s="66" t="str">
        <f>IFERROR(VLOOKUP(ExtComp[[#This Row],[DEVELOPMENT]],Data[],4,FALSE),"")</f>
        <v/>
      </c>
      <c r="G267" s="66" t="str">
        <f>IF(ExtComp[[#This Row],[RAD/PACT]]="","",IF(ExtComp[[#This Row],[RAD/PACT]]&lt;=2025,"Yes",""))</f>
        <v/>
      </c>
      <c r="H267" s="67" t="str">
        <f ca="1">IF(VLOOKUP(ExtComp[[#This Row],[DEVELOPMENT]],Data[],11,FALSE)=0,"",DATEDIF(VLOOKUP(ExtComp[[#This Row],[DEVELOPMENT]],Data[],13,FALSE),TODAY(),"Y"))</f>
        <v/>
      </c>
      <c r="I267" s="67">
        <f>IF(ExtComp[[#This Row],[RAD/PACT]]="",VLOOKUP(ExtComp[[#This Row],[DEVELOPMENT]],Data[],11,FALSE),IF(ExtComp[[#This Row],[RAD/PACT by 2025]]="yes",0,VLOOKUP(ExtComp[[#This Row],[DEVELOPMENT]],Data[],11,FALSE)))</f>
        <v>0</v>
      </c>
      <c r="J267" s="63">
        <f ca="1">(ExtComp[[#This Row],['# to Replace]]*'Unit Costs'!$B$6)*(1+((ExtComp[[#This Row],[est. Year]]-YEAR(TODAY()))*$J$2))</f>
        <v>0</v>
      </c>
      <c r="K267" s="67">
        <f>SUM(INDEX(ExtComp['# to Replace],1):ExtComp[[#This Row],['# to Replace]])</f>
        <v>0</v>
      </c>
      <c r="L267" s="67">
        <f>ROUNDDOWN(ExtComp[[#This Row],[Count]]/50,0)+$L$1</f>
        <v>2020</v>
      </c>
      <c r="M267" s="81">
        <f t="shared" ca="1" si="4"/>
        <v>0</v>
      </c>
      <c r="N267" s="81" t="str">
        <f>IFERROR(VLOOKUP(ExtComp[[#This Row],[DEVELOPMENT]],Data[],22,FALSE),"")</f>
        <v/>
      </c>
      <c r="O267" s="88" t="str">
        <f>IFERROR(VLOOKUP(ExtComp[[#This Row],[DEVELOPMENT]],Data[],23,FALSE),"")</f>
        <v/>
      </c>
    </row>
    <row r="268" spans="1:15" x14ac:dyDescent="0.25">
      <c r="A268" s="13" t="s">
        <v>120</v>
      </c>
      <c r="B268" s="1" t="str">
        <f>VLOOKUP(A268,Data[],2,FALSE)</f>
        <v>MANHATTAN</v>
      </c>
      <c r="C268" s="9" t="s">
        <v>68</v>
      </c>
      <c r="D268" s="9" t="str">
        <f>VLOOKUP(ExtComp[[#This Row],[DEVELOPMENT]],Data[],8,FALSE)</f>
        <v>Zone 2</v>
      </c>
      <c r="E268" s="9" t="str">
        <f>VLOOKUP(ExtComp[[#This Row],[DEVELOPMENT]],Data[],9,FALSE)</f>
        <v>$$</v>
      </c>
      <c r="F268" s="9" t="str">
        <f>IFERROR(VLOOKUP(ExtComp[[#This Row],[DEVELOPMENT]],Data[],4,FALSE),"")</f>
        <v/>
      </c>
      <c r="G268" s="9" t="str">
        <f>IF(ExtComp[[#This Row],[RAD/PACT]]="","",IF(ExtComp[[#This Row],[RAD/PACT]]&lt;=2025,"Yes",""))</f>
        <v/>
      </c>
      <c r="H268" s="1" t="str">
        <f ca="1">IF(VLOOKUP(ExtComp[[#This Row],[DEVELOPMENT]],Data[],11,FALSE)=0,"",DATEDIF(VLOOKUP(ExtComp[[#This Row],[DEVELOPMENT]],Data[],13,FALSE),TODAY(),"Y"))</f>
        <v/>
      </c>
      <c r="I268" s="1">
        <f>IF(ExtComp[[#This Row],[RAD/PACT]]="",VLOOKUP(ExtComp[[#This Row],[DEVELOPMENT]],Data[],11,FALSE),IF(ExtComp[[#This Row],[RAD/PACT by 2025]]="yes",0,VLOOKUP(ExtComp[[#This Row],[DEVELOPMENT]],Data[],11,FALSE)))</f>
        <v>0</v>
      </c>
      <c r="J268" s="63">
        <f ca="1">(ExtComp[[#This Row],['# to Replace]]*'Unit Costs'!$B$6)*(1+((ExtComp[[#This Row],[est. Year]]-YEAR(TODAY()))*$J$2))</f>
        <v>0</v>
      </c>
      <c r="K268" s="1">
        <f>SUM(INDEX(ExtComp['# to Replace],1):ExtComp[[#This Row],['# to Replace]])</f>
        <v>0</v>
      </c>
      <c r="L268" s="1">
        <f>ROUNDDOWN(ExtComp[[#This Row],[Count]]/50,0)+$L$1</f>
        <v>2020</v>
      </c>
      <c r="M268" s="81">
        <f t="shared" ca="1" si="4"/>
        <v>0</v>
      </c>
      <c r="N268" s="81" t="str">
        <f>IFERROR(VLOOKUP(ExtComp[[#This Row],[DEVELOPMENT]],Data[],22,FALSE),"")</f>
        <v/>
      </c>
      <c r="O268" s="88" t="str">
        <f>IFERROR(VLOOKUP(ExtComp[[#This Row],[DEVELOPMENT]],Data[],23,FALSE),"")</f>
        <v/>
      </c>
    </row>
    <row r="269" spans="1:15" x14ac:dyDescent="0.25">
      <c r="A269" s="13" t="s">
        <v>194</v>
      </c>
      <c r="B269" s="9" t="str">
        <f>VLOOKUP(A269,Data[],2,FALSE)</f>
        <v>QUEENS</v>
      </c>
      <c r="C269" s="9" t="s">
        <v>68</v>
      </c>
      <c r="D269" s="66">
        <f>VLOOKUP(ExtComp[[#This Row],[DEVELOPMENT]],Data[],8,FALSE)</f>
        <v>0</v>
      </c>
      <c r="E269" s="66">
        <f>VLOOKUP(ExtComp[[#This Row],[DEVELOPMENT]],Data[],9,FALSE)</f>
        <v>0</v>
      </c>
      <c r="F269" s="66" t="str">
        <f>IFERROR(VLOOKUP(ExtComp[[#This Row],[DEVELOPMENT]],Data[],4,FALSE),"")</f>
        <v/>
      </c>
      <c r="G269" s="66" t="str">
        <f>IF(ExtComp[[#This Row],[RAD/PACT]]="","",IF(ExtComp[[#This Row],[RAD/PACT]]&lt;=2025,"Yes",""))</f>
        <v/>
      </c>
      <c r="H269" s="67" t="str">
        <f ca="1">IF(VLOOKUP(ExtComp[[#This Row],[DEVELOPMENT]],Data[],11,FALSE)=0,"",DATEDIF(VLOOKUP(ExtComp[[#This Row],[DEVELOPMENT]],Data[],13,FALSE),TODAY(),"Y"))</f>
        <v/>
      </c>
      <c r="I269" s="67">
        <f>IF(ExtComp[[#This Row],[RAD/PACT]]="",VLOOKUP(ExtComp[[#This Row],[DEVELOPMENT]],Data[],11,FALSE),IF(ExtComp[[#This Row],[RAD/PACT by 2025]]="yes",0,VLOOKUP(ExtComp[[#This Row],[DEVELOPMENT]],Data[],11,FALSE)))</f>
        <v>0</v>
      </c>
      <c r="J269" s="63">
        <f ca="1">(ExtComp[[#This Row],['# to Replace]]*'Unit Costs'!$B$6)*(1+((ExtComp[[#This Row],[est. Year]]-YEAR(TODAY()))*$J$2))</f>
        <v>0</v>
      </c>
      <c r="K269" s="67">
        <f>SUM(INDEX(ExtComp['# to Replace],1):ExtComp[[#This Row],['# to Replace]])</f>
        <v>0</v>
      </c>
      <c r="L269" s="67">
        <f>ROUNDDOWN(ExtComp[[#This Row],[Count]]/50,0)+$L$1</f>
        <v>2020</v>
      </c>
      <c r="M269" s="81">
        <f t="shared" ca="1" si="4"/>
        <v>0</v>
      </c>
      <c r="N269" s="81" t="str">
        <f>IFERROR(VLOOKUP(ExtComp[[#This Row],[DEVELOPMENT]],Data[],22,FALSE),"")</f>
        <v/>
      </c>
      <c r="O269" s="88" t="str">
        <f>IFERROR(VLOOKUP(ExtComp[[#This Row],[DEVELOPMENT]],Data[],23,FALSE),"")</f>
        <v/>
      </c>
    </row>
    <row r="270" spans="1:15" x14ac:dyDescent="0.25">
      <c r="A270" s="13" t="s">
        <v>193</v>
      </c>
      <c r="B270" s="9" t="str">
        <f>VLOOKUP(A270,Data[],2,FALSE)</f>
        <v>BROOKLYN</v>
      </c>
      <c r="C270" s="9" t="s">
        <v>68</v>
      </c>
      <c r="D270" s="66">
        <f>VLOOKUP(ExtComp[[#This Row],[DEVELOPMENT]],Data[],8,FALSE)</f>
        <v>0</v>
      </c>
      <c r="E270" s="66">
        <f>VLOOKUP(ExtComp[[#This Row],[DEVELOPMENT]],Data[],9,FALSE)</f>
        <v>0</v>
      </c>
      <c r="F270" s="66" t="str">
        <f>IFERROR(VLOOKUP(ExtComp[[#This Row],[DEVELOPMENT]],Data[],4,FALSE),"")</f>
        <v/>
      </c>
      <c r="G270" s="66" t="str">
        <f>IF(ExtComp[[#This Row],[RAD/PACT]]="","",IF(ExtComp[[#This Row],[RAD/PACT]]&lt;=2025,"Yes",""))</f>
        <v/>
      </c>
      <c r="H270" s="67" t="str">
        <f ca="1">IF(VLOOKUP(ExtComp[[#This Row],[DEVELOPMENT]],Data[],11,FALSE)=0,"",DATEDIF(VLOOKUP(ExtComp[[#This Row],[DEVELOPMENT]],Data[],13,FALSE),TODAY(),"Y"))</f>
        <v/>
      </c>
      <c r="I270" s="67">
        <f>IF(ExtComp[[#This Row],[RAD/PACT]]="",VLOOKUP(ExtComp[[#This Row],[DEVELOPMENT]],Data[],11,FALSE),IF(ExtComp[[#This Row],[RAD/PACT by 2025]]="yes",0,VLOOKUP(ExtComp[[#This Row],[DEVELOPMENT]],Data[],11,FALSE)))</f>
        <v>0</v>
      </c>
      <c r="J270" s="63">
        <f ca="1">(ExtComp[[#This Row],['# to Replace]]*'Unit Costs'!$B$6)*(1+((ExtComp[[#This Row],[est. Year]]-YEAR(TODAY()))*$J$2))</f>
        <v>0</v>
      </c>
      <c r="K270" s="67">
        <f>SUM(INDEX(ExtComp['# to Replace],1):ExtComp[[#This Row],['# to Replace]])</f>
        <v>0</v>
      </c>
      <c r="L270" s="67">
        <f>ROUNDDOWN(ExtComp[[#This Row],[Count]]/50,0)+$L$1</f>
        <v>2020</v>
      </c>
      <c r="M270" s="81">
        <f t="shared" ca="1" si="4"/>
        <v>0</v>
      </c>
      <c r="N270" s="81" t="str">
        <f>IFERROR(VLOOKUP(ExtComp[[#This Row],[DEVELOPMENT]],Data[],22,FALSE),"")</f>
        <v/>
      </c>
      <c r="O270" s="88" t="str">
        <f>IFERROR(VLOOKUP(ExtComp[[#This Row],[DEVELOPMENT]],Data[],23,FALSE),"")</f>
        <v/>
      </c>
    </row>
    <row r="271" spans="1:15" x14ac:dyDescent="0.25">
      <c r="A271" s="82" t="s">
        <v>60</v>
      </c>
      <c r="B271" s="1" t="str">
        <f>VLOOKUP(A271,Data[],2,FALSE)</f>
        <v>MANHATTAN</v>
      </c>
      <c r="C271" s="9" t="s">
        <v>68</v>
      </c>
      <c r="D271" s="9" t="str">
        <f>VLOOKUP(ExtComp[[#This Row],[DEVELOPMENT]],Data[],8,FALSE)</f>
        <v>Zone 1</v>
      </c>
      <c r="E271" s="9" t="str">
        <f>VLOOKUP(ExtComp[[#This Row],[DEVELOPMENT]],Data[],9,FALSE)</f>
        <v>$$</v>
      </c>
      <c r="F271" s="9">
        <f>IFERROR(VLOOKUP(ExtComp[[#This Row],[DEVELOPMENT]],Data[],4,FALSE),"")</f>
        <v>2026</v>
      </c>
      <c r="G271" s="9" t="str">
        <f>IF(ExtComp[[#This Row],[RAD/PACT]]="","",IF(ExtComp[[#This Row],[RAD/PACT]]&lt;=2025,"Yes",""))</f>
        <v/>
      </c>
      <c r="H271" s="1" t="str">
        <f ca="1">IF(VLOOKUP(ExtComp[[#This Row],[DEVELOPMENT]],Data[],11,FALSE)=0,"",DATEDIF(VLOOKUP(ExtComp[[#This Row],[DEVELOPMENT]],Data[],13,FALSE),TODAY(),"Y"))</f>
        <v/>
      </c>
      <c r="I271" s="1">
        <f>IF(ExtComp[[#This Row],[RAD/PACT]]="",VLOOKUP(ExtComp[[#This Row],[DEVELOPMENT]],Data[],11,FALSE),IF(ExtComp[[#This Row],[RAD/PACT by 2025]]="yes",0,VLOOKUP(ExtComp[[#This Row],[DEVELOPMENT]],Data[],11,FALSE)))</f>
        <v>0</v>
      </c>
      <c r="J271" s="63">
        <f ca="1">(ExtComp[[#This Row],['# to Replace]]*'Unit Costs'!$B$6)*(1+((ExtComp[[#This Row],[est. Year]]-YEAR(TODAY()))*$J$2))</f>
        <v>0</v>
      </c>
      <c r="K271" s="1">
        <f>SUM(INDEX(ExtComp['# to Replace],1):ExtComp[[#This Row],['# to Replace]])</f>
        <v>0</v>
      </c>
      <c r="L271" s="1">
        <f>ROUNDDOWN(ExtComp[[#This Row],[Count]]/50,0)+$L$1</f>
        <v>2020</v>
      </c>
      <c r="M271" s="81">
        <f t="shared" ca="1" si="4"/>
        <v>0</v>
      </c>
      <c r="N271" s="81" t="str">
        <f>IFERROR(VLOOKUP(ExtComp[[#This Row],[DEVELOPMENT]],Data[],22,FALSE),"")</f>
        <v/>
      </c>
      <c r="O271" s="67" t="str">
        <f>IFERROR(VLOOKUP(ExtComp[[#This Row],[DEVELOPMENT]],Data[],23,FALSE),"")</f>
        <v/>
      </c>
    </row>
    <row r="272" spans="1:15" x14ac:dyDescent="0.25">
      <c r="A272" s="82" t="s">
        <v>31</v>
      </c>
      <c r="B272" s="1" t="str">
        <f>VLOOKUP(A272,Data[],2,FALSE)</f>
        <v>BRONX</v>
      </c>
      <c r="C272" s="9" t="s">
        <v>68</v>
      </c>
      <c r="D272" s="9" t="str">
        <f>VLOOKUP(ExtComp[[#This Row],[DEVELOPMENT]],Data[],8,FALSE)</f>
        <v>Zone 1</v>
      </c>
      <c r="E272" s="9" t="str">
        <f>VLOOKUP(ExtComp[[#This Row],[DEVELOPMENT]],Data[],9,FALSE)</f>
        <v>$$</v>
      </c>
      <c r="F272" s="9" t="str">
        <f>IFERROR(VLOOKUP(ExtComp[[#This Row],[DEVELOPMENT]],Data[],4,FALSE),"")</f>
        <v/>
      </c>
      <c r="G272" s="9" t="str">
        <f>IF(ExtComp[[#This Row],[RAD/PACT]]="","",IF(ExtComp[[#This Row],[RAD/PACT]]&lt;=2025,"Yes",""))</f>
        <v/>
      </c>
      <c r="H272" s="1" t="str">
        <f ca="1">IF(VLOOKUP(ExtComp[[#This Row],[DEVELOPMENT]],Data[],11,FALSE)=0,"",DATEDIF(VLOOKUP(ExtComp[[#This Row],[DEVELOPMENT]],Data[],13,FALSE),TODAY(),"Y"))</f>
        <v/>
      </c>
      <c r="I272" s="1">
        <f>IF(ExtComp[[#This Row],[RAD/PACT]]="",VLOOKUP(ExtComp[[#This Row],[DEVELOPMENT]],Data[],11,FALSE),IF(ExtComp[[#This Row],[RAD/PACT by 2025]]="yes",0,VLOOKUP(ExtComp[[#This Row],[DEVELOPMENT]],Data[],11,FALSE)))</f>
        <v>0</v>
      </c>
      <c r="J272" s="63">
        <f ca="1">(ExtComp[[#This Row],['# to Replace]]*'Unit Costs'!$B$6)*(1+((ExtComp[[#This Row],[est. Year]]-YEAR(TODAY()))*$J$2))</f>
        <v>0</v>
      </c>
      <c r="K272" s="1">
        <f>SUM(INDEX(ExtComp['# to Replace],1):ExtComp[[#This Row],['# to Replace]])</f>
        <v>0</v>
      </c>
      <c r="L272" s="1">
        <f>ROUNDDOWN(ExtComp[[#This Row],[Count]]/50,0)+$L$1</f>
        <v>2020</v>
      </c>
      <c r="M272" s="81">
        <f t="shared" ca="1" si="4"/>
        <v>0</v>
      </c>
      <c r="N272" s="81" t="str">
        <f>IFERROR(VLOOKUP(ExtComp[[#This Row],[DEVELOPMENT]],Data[],22,FALSE),"")</f>
        <v/>
      </c>
      <c r="O272" s="88" t="str">
        <f>IFERROR(VLOOKUP(ExtComp[[#This Row],[DEVELOPMENT]],Data[],23,FALSE),"")</f>
        <v/>
      </c>
    </row>
    <row r="273" spans="1:15" x14ac:dyDescent="0.25">
      <c r="A273" s="13" t="s">
        <v>380</v>
      </c>
      <c r="B273" s="1" t="str">
        <f>VLOOKUP(A273,Data[],2,FALSE)</f>
        <v>BROOKLYN</v>
      </c>
      <c r="C273" s="9" t="s">
        <v>68</v>
      </c>
      <c r="D273" s="66" t="str">
        <f>VLOOKUP(ExtComp[[#This Row],[DEVELOPMENT]],Data[],8,FALSE)</f>
        <v>Zone 1</v>
      </c>
      <c r="E273" s="9">
        <f>VLOOKUP(ExtComp[[#This Row],[DEVELOPMENT]],Data[],9,FALSE)</f>
        <v>0</v>
      </c>
      <c r="F273" s="66">
        <f>IFERROR(VLOOKUP(ExtComp[[#This Row],[DEVELOPMENT]],Data[],4,FALSE),"")</f>
        <v>2019</v>
      </c>
      <c r="G273" s="66" t="str">
        <f>IF(ExtComp[[#This Row],[RAD/PACT]]="","",IF(ExtComp[[#This Row],[RAD/PACT]]&lt;=2025,"Yes",""))</f>
        <v>Yes</v>
      </c>
      <c r="H273" s="67" t="str">
        <f ca="1">IF(VLOOKUP(ExtComp[[#This Row],[DEVELOPMENT]],Data[],11,FALSE)=0,"",DATEDIF(VLOOKUP(ExtComp[[#This Row],[DEVELOPMENT]],Data[],13,FALSE),TODAY(),"Y"))</f>
        <v/>
      </c>
      <c r="I273" s="67">
        <f>IF(ExtComp[[#This Row],[RAD/PACT]]="",VLOOKUP(ExtComp[[#This Row],[DEVELOPMENT]],Data[],11,FALSE),IF(ExtComp[[#This Row],[RAD/PACT by 2025]]="yes",0,VLOOKUP(ExtComp[[#This Row],[DEVELOPMENT]],Data[],11,FALSE)))</f>
        <v>0</v>
      </c>
      <c r="J273" s="63">
        <f ca="1">(ExtComp[[#This Row],['# to Replace]]*'Unit Costs'!$B$6)*(1+((ExtComp[[#This Row],[est. Year]]-YEAR(TODAY()))*$J$2))</f>
        <v>0</v>
      </c>
      <c r="K273" s="67">
        <f>SUM(INDEX(ExtComp['# to Replace],1):ExtComp[[#This Row],['# to Replace]])</f>
        <v>0</v>
      </c>
      <c r="L273" s="67">
        <f>ROUNDDOWN(ExtComp[[#This Row],[Count]]/50,0)+$L$1</f>
        <v>2020</v>
      </c>
      <c r="M273" s="81">
        <f t="shared" ca="1" si="4"/>
        <v>0</v>
      </c>
      <c r="N273" s="81" t="str">
        <f>IFERROR(VLOOKUP(ExtComp[[#This Row],[DEVELOPMENT]],Data[],22,FALSE),"")</f>
        <v/>
      </c>
      <c r="O273" s="67" t="str">
        <f>IFERROR(VLOOKUP(ExtComp[[#This Row],[DEVELOPMENT]],Data[],23,FALSE),"")</f>
        <v/>
      </c>
    </row>
    <row r="274" spans="1:15" x14ac:dyDescent="0.25">
      <c r="A274" s="13" t="s">
        <v>379</v>
      </c>
      <c r="B274" s="9" t="str">
        <f>VLOOKUP(A274,Data[],2,FALSE)</f>
        <v>BROOKLYN</v>
      </c>
      <c r="C274" s="9" t="s">
        <v>68</v>
      </c>
      <c r="D274" s="66">
        <f>VLOOKUP(ExtComp[[#This Row],[DEVELOPMENT]],Data[],8,FALSE)</f>
        <v>0</v>
      </c>
      <c r="E274" s="66">
        <f>VLOOKUP(ExtComp[[#This Row],[DEVELOPMENT]],Data[],9,FALSE)</f>
        <v>0</v>
      </c>
      <c r="F274" s="66" t="str">
        <f>IFERROR(VLOOKUP(ExtComp[[#This Row],[DEVELOPMENT]],Data[],4,FALSE),"")</f>
        <v/>
      </c>
      <c r="G274" s="66" t="str">
        <f>IF(ExtComp[[#This Row],[RAD/PACT]]="","",IF(ExtComp[[#This Row],[RAD/PACT]]&lt;=2025,"Yes",""))</f>
        <v/>
      </c>
      <c r="H274" s="67" t="str">
        <f ca="1">IF(VLOOKUP(ExtComp[[#This Row],[DEVELOPMENT]],Data[],11,FALSE)=0,"",DATEDIF(VLOOKUP(ExtComp[[#This Row],[DEVELOPMENT]],Data[],13,FALSE),TODAY(),"Y"))</f>
        <v/>
      </c>
      <c r="I274" s="67">
        <f>IF(ExtComp[[#This Row],[RAD/PACT]]="",VLOOKUP(ExtComp[[#This Row],[DEVELOPMENT]],Data[],11,FALSE),IF(ExtComp[[#This Row],[RAD/PACT by 2025]]="yes",0,VLOOKUP(ExtComp[[#This Row],[DEVELOPMENT]],Data[],11,FALSE)))</f>
        <v>0</v>
      </c>
      <c r="J274" s="63">
        <f ca="1">(ExtComp[[#This Row],['# to Replace]]*'Unit Costs'!$B$6)*(1+((ExtComp[[#This Row],[est. Year]]-YEAR(TODAY()))*$J$2))</f>
        <v>0</v>
      </c>
      <c r="K274" s="67">
        <f>SUM(INDEX(ExtComp['# to Replace],1):ExtComp[[#This Row],['# to Replace]])</f>
        <v>0</v>
      </c>
      <c r="L274" s="67">
        <f>ROUNDDOWN(ExtComp[[#This Row],[Count]]/50,0)+$L$1</f>
        <v>2020</v>
      </c>
      <c r="M274" s="81">
        <f t="shared" ca="1" si="4"/>
        <v>0</v>
      </c>
      <c r="N274" s="81" t="str">
        <f>IFERROR(VLOOKUP(ExtComp[[#This Row],[DEVELOPMENT]],Data[],22,FALSE),"")</f>
        <v/>
      </c>
      <c r="O274" s="67" t="str">
        <f>IFERROR(VLOOKUP(ExtComp[[#This Row],[DEVELOPMENT]],Data[],23,FALSE),"")</f>
        <v/>
      </c>
    </row>
    <row r="275" spans="1:15" x14ac:dyDescent="0.25">
      <c r="A275" s="13" t="s">
        <v>378</v>
      </c>
      <c r="B275" s="1" t="str">
        <f>VLOOKUP(A275,Data[],2,FALSE)</f>
        <v>BROOKLYN</v>
      </c>
      <c r="C275" s="9" t="s">
        <v>68</v>
      </c>
      <c r="D275" s="66" t="str">
        <f>VLOOKUP(ExtComp[[#This Row],[DEVELOPMENT]],Data[],8,FALSE)</f>
        <v>Zone 1</v>
      </c>
      <c r="E275" s="9">
        <f>VLOOKUP(ExtComp[[#This Row],[DEVELOPMENT]],Data[],9,FALSE)</f>
        <v>0</v>
      </c>
      <c r="F275" s="66" t="str">
        <f>IFERROR(VLOOKUP(ExtComp[[#This Row],[DEVELOPMENT]],Data[],4,FALSE),"")</f>
        <v/>
      </c>
      <c r="G275" s="66" t="str">
        <f>IF(ExtComp[[#This Row],[RAD/PACT]]="","",IF(ExtComp[[#This Row],[RAD/PACT]]&lt;=2025,"Yes",""))</f>
        <v/>
      </c>
      <c r="H275" s="67" t="str">
        <f ca="1">IF(VLOOKUP(ExtComp[[#This Row],[DEVELOPMENT]],Data[],11,FALSE)=0,"",DATEDIF(VLOOKUP(ExtComp[[#This Row],[DEVELOPMENT]],Data[],13,FALSE),TODAY(),"Y"))</f>
        <v/>
      </c>
      <c r="I275" s="67">
        <f>IF(ExtComp[[#This Row],[RAD/PACT]]="",VLOOKUP(ExtComp[[#This Row],[DEVELOPMENT]],Data[],11,FALSE),IF(ExtComp[[#This Row],[RAD/PACT by 2025]]="yes",0,VLOOKUP(ExtComp[[#This Row],[DEVELOPMENT]],Data[],11,FALSE)))</f>
        <v>0</v>
      </c>
      <c r="J275" s="63">
        <f ca="1">(ExtComp[[#This Row],['# to Replace]]*'Unit Costs'!$B$6)*(1+((ExtComp[[#This Row],[est. Year]]-YEAR(TODAY()))*$J$2))</f>
        <v>0</v>
      </c>
      <c r="K275" s="67">
        <f>SUM(INDEX(ExtComp['# to Replace],1):ExtComp[[#This Row],['# to Replace]])</f>
        <v>0</v>
      </c>
      <c r="L275" s="67">
        <f>ROUNDDOWN(ExtComp[[#This Row],[Count]]/50,0)+$L$1</f>
        <v>2020</v>
      </c>
      <c r="M275" s="81">
        <f t="shared" ca="1" si="4"/>
        <v>0</v>
      </c>
      <c r="N275" s="81" t="str">
        <f>IFERROR(VLOOKUP(ExtComp[[#This Row],[DEVELOPMENT]],Data[],22,FALSE),"")</f>
        <v/>
      </c>
      <c r="O275" s="67" t="str">
        <f>IFERROR(VLOOKUP(ExtComp[[#This Row],[DEVELOPMENT]],Data[],23,FALSE),"")</f>
        <v/>
      </c>
    </row>
    <row r="276" spans="1:15" x14ac:dyDescent="0.25">
      <c r="A276" s="82" t="s">
        <v>26</v>
      </c>
      <c r="B276" s="1" t="str">
        <f>VLOOKUP(A276,Data[],2,FALSE)</f>
        <v>BROOKLYN</v>
      </c>
      <c r="C276" s="9" t="s">
        <v>68</v>
      </c>
      <c r="D276" s="9" t="str">
        <f>VLOOKUP(ExtComp[[#This Row],[DEVELOPMENT]],Data[],8,FALSE)</f>
        <v>Zone 1</v>
      </c>
      <c r="E276" s="9" t="str">
        <f>VLOOKUP(ExtComp[[#This Row],[DEVELOPMENT]],Data[],9,FALSE)</f>
        <v>$$</v>
      </c>
      <c r="F276" s="9" t="str">
        <f>IFERROR(VLOOKUP(ExtComp[[#This Row],[DEVELOPMENT]],Data[],4,FALSE),"")</f>
        <v/>
      </c>
      <c r="G276" s="9" t="str">
        <f>IF(ExtComp[[#This Row],[RAD/PACT]]="","",IF(ExtComp[[#This Row],[RAD/PACT]]&lt;=2025,"Yes",""))</f>
        <v/>
      </c>
      <c r="H276" s="1" t="str">
        <f ca="1">IF(VLOOKUP(ExtComp[[#This Row],[DEVELOPMENT]],Data[],11,FALSE)=0,"",DATEDIF(VLOOKUP(ExtComp[[#This Row],[DEVELOPMENT]],Data[],13,FALSE),TODAY(),"Y"))</f>
        <v/>
      </c>
      <c r="I276" s="1">
        <f>IF(ExtComp[[#This Row],[RAD/PACT]]="",VLOOKUP(ExtComp[[#This Row],[DEVELOPMENT]],Data[],11,FALSE),IF(ExtComp[[#This Row],[RAD/PACT by 2025]]="yes",0,VLOOKUP(ExtComp[[#This Row],[DEVELOPMENT]],Data[],11,FALSE)))</f>
        <v>0</v>
      </c>
      <c r="J276" s="63">
        <f ca="1">(ExtComp[[#This Row],['# to Replace]]*'Unit Costs'!$B$6)*(1+((ExtComp[[#This Row],[est. Year]]-YEAR(TODAY()))*$J$2))</f>
        <v>0</v>
      </c>
      <c r="K276" s="1">
        <f>SUM(INDEX(ExtComp['# to Replace],1):ExtComp[[#This Row],['# to Replace]])</f>
        <v>0</v>
      </c>
      <c r="L276" s="1">
        <f>ROUNDDOWN(ExtComp[[#This Row],[Count]]/50,0)+$L$1</f>
        <v>2020</v>
      </c>
      <c r="M276" s="81">
        <f t="shared" ca="1" si="4"/>
        <v>0</v>
      </c>
      <c r="N276" s="81" t="str">
        <f>IFERROR(VLOOKUP(ExtComp[[#This Row],[DEVELOPMENT]],Data[],22,FALSE),"")</f>
        <v/>
      </c>
      <c r="O276" s="88" t="str">
        <f>IFERROR(VLOOKUP(ExtComp[[#This Row],[DEVELOPMENT]],Data[],23,FALSE),"")</f>
        <v/>
      </c>
    </row>
    <row r="277" spans="1:15" x14ac:dyDescent="0.25">
      <c r="A277" s="13" t="s">
        <v>192</v>
      </c>
      <c r="B277" s="9" t="str">
        <f>VLOOKUP(A277,Data[],2,FALSE)</f>
        <v>BRONX</v>
      </c>
      <c r="C277" s="9" t="s">
        <v>68</v>
      </c>
      <c r="D277" s="66">
        <f>VLOOKUP(ExtComp[[#This Row],[DEVELOPMENT]],Data[],8,FALSE)</f>
        <v>0</v>
      </c>
      <c r="E277" s="66">
        <f>VLOOKUP(ExtComp[[#This Row],[DEVELOPMENT]],Data[],9,FALSE)</f>
        <v>0</v>
      </c>
      <c r="F277" s="66" t="str">
        <f>IFERROR(VLOOKUP(ExtComp[[#This Row],[DEVELOPMENT]],Data[],4,FALSE),"")</f>
        <v/>
      </c>
      <c r="G277" s="66" t="str">
        <f>IF(ExtComp[[#This Row],[RAD/PACT]]="","",IF(ExtComp[[#This Row],[RAD/PACT]]&lt;=2025,"Yes",""))</f>
        <v/>
      </c>
      <c r="H277" s="67" t="str">
        <f ca="1">IF(VLOOKUP(ExtComp[[#This Row],[DEVELOPMENT]],Data[],11,FALSE)=0,"",DATEDIF(VLOOKUP(ExtComp[[#This Row],[DEVELOPMENT]],Data[],13,FALSE),TODAY(),"Y"))</f>
        <v/>
      </c>
      <c r="I277" s="67">
        <f>IF(ExtComp[[#This Row],[RAD/PACT]]="",VLOOKUP(ExtComp[[#This Row],[DEVELOPMENT]],Data[],11,FALSE),IF(ExtComp[[#This Row],[RAD/PACT by 2025]]="yes",0,VLOOKUP(ExtComp[[#This Row],[DEVELOPMENT]],Data[],11,FALSE)))</f>
        <v>0</v>
      </c>
      <c r="J277" s="63">
        <f ca="1">(ExtComp[[#This Row],['# to Replace]]*'Unit Costs'!$B$6)*(1+((ExtComp[[#This Row],[est. Year]]-YEAR(TODAY()))*$J$2))</f>
        <v>0</v>
      </c>
      <c r="K277" s="67">
        <f>SUM(INDEX(ExtComp['# to Replace],1):ExtComp[[#This Row],['# to Replace]])</f>
        <v>0</v>
      </c>
      <c r="L277" s="67">
        <f>ROUNDDOWN(ExtComp[[#This Row],[Count]]/50,0)+$L$1</f>
        <v>2020</v>
      </c>
      <c r="M277" s="81">
        <f t="shared" ca="1" si="4"/>
        <v>0</v>
      </c>
      <c r="N277" s="81" t="str">
        <f>IFERROR(VLOOKUP(ExtComp[[#This Row],[DEVELOPMENT]],Data[],22,FALSE),"")</f>
        <v/>
      </c>
      <c r="O277" s="67" t="str">
        <f>IFERROR(VLOOKUP(ExtComp[[#This Row],[DEVELOPMENT]],Data[],23,FALSE),"")</f>
        <v/>
      </c>
    </row>
    <row r="278" spans="1:15" x14ac:dyDescent="0.25">
      <c r="A278" s="13" t="s">
        <v>191</v>
      </c>
      <c r="B278" s="9" t="str">
        <f>VLOOKUP(A278,Data[],2,FALSE)</f>
        <v>BROOKLYN</v>
      </c>
      <c r="C278" s="9" t="s">
        <v>68</v>
      </c>
      <c r="D278" s="66">
        <f>VLOOKUP(ExtComp[[#This Row],[DEVELOPMENT]],Data[],8,FALSE)</f>
        <v>0</v>
      </c>
      <c r="E278" s="66">
        <f>VLOOKUP(ExtComp[[#This Row],[DEVELOPMENT]],Data[],9,FALSE)</f>
        <v>0</v>
      </c>
      <c r="F278" s="66" t="str">
        <f>IFERROR(VLOOKUP(ExtComp[[#This Row],[DEVELOPMENT]],Data[],4,FALSE),"")</f>
        <v/>
      </c>
      <c r="G278" s="66" t="str">
        <f>IF(ExtComp[[#This Row],[RAD/PACT]]="","",IF(ExtComp[[#This Row],[RAD/PACT]]&lt;=2025,"Yes",""))</f>
        <v/>
      </c>
      <c r="H278" s="67" t="str">
        <f ca="1">IF(VLOOKUP(ExtComp[[#This Row],[DEVELOPMENT]],Data[],11,FALSE)=0,"",DATEDIF(VLOOKUP(ExtComp[[#This Row],[DEVELOPMENT]],Data[],13,FALSE),TODAY(),"Y"))</f>
        <v/>
      </c>
      <c r="I278" s="67">
        <f>IF(ExtComp[[#This Row],[RAD/PACT]]="",VLOOKUP(ExtComp[[#This Row],[DEVELOPMENT]],Data[],11,FALSE),IF(ExtComp[[#This Row],[RAD/PACT by 2025]]="yes",0,VLOOKUP(ExtComp[[#This Row],[DEVELOPMENT]],Data[],11,FALSE)))</f>
        <v>0</v>
      </c>
      <c r="J278" s="63">
        <f ca="1">(ExtComp[[#This Row],['# to Replace]]*'Unit Costs'!$B$6)*(1+((ExtComp[[#This Row],[est. Year]]-YEAR(TODAY()))*$J$2))</f>
        <v>0</v>
      </c>
      <c r="K278" s="67">
        <f>SUM(INDEX(ExtComp['# to Replace],1):ExtComp[[#This Row],['# to Replace]])</f>
        <v>0</v>
      </c>
      <c r="L278" s="67">
        <f>ROUNDDOWN(ExtComp[[#This Row],[Count]]/50,0)+$L$1</f>
        <v>2020</v>
      </c>
      <c r="M278" s="81">
        <f t="shared" ca="1" si="4"/>
        <v>0</v>
      </c>
      <c r="N278" s="81" t="str">
        <f>IFERROR(VLOOKUP(ExtComp[[#This Row],[DEVELOPMENT]],Data[],22,FALSE),"")</f>
        <v/>
      </c>
      <c r="O278" s="88" t="str">
        <f>IFERROR(VLOOKUP(ExtComp[[#This Row],[DEVELOPMENT]],Data[],23,FALSE),"")</f>
        <v/>
      </c>
    </row>
    <row r="279" spans="1:15" x14ac:dyDescent="0.25">
      <c r="A279" s="13" t="s">
        <v>190</v>
      </c>
      <c r="B279" s="9" t="str">
        <f>VLOOKUP(A279,Data[],2,FALSE)</f>
        <v>BROOKLYN</v>
      </c>
      <c r="C279" s="9" t="s">
        <v>68</v>
      </c>
      <c r="D279" s="66">
        <f>VLOOKUP(ExtComp[[#This Row],[DEVELOPMENT]],Data[],8,FALSE)</f>
        <v>0</v>
      </c>
      <c r="E279" s="66">
        <f>VLOOKUP(ExtComp[[#This Row],[DEVELOPMENT]],Data[],9,FALSE)</f>
        <v>0</v>
      </c>
      <c r="F279" s="66" t="str">
        <f>IFERROR(VLOOKUP(ExtComp[[#This Row],[DEVELOPMENT]],Data[],4,FALSE),"")</f>
        <v/>
      </c>
      <c r="G279" s="66" t="str">
        <f>IF(ExtComp[[#This Row],[RAD/PACT]]="","",IF(ExtComp[[#This Row],[RAD/PACT]]&lt;=2025,"Yes",""))</f>
        <v/>
      </c>
      <c r="H279" s="67" t="str">
        <f ca="1">IF(VLOOKUP(ExtComp[[#This Row],[DEVELOPMENT]],Data[],11,FALSE)=0,"",DATEDIF(VLOOKUP(ExtComp[[#This Row],[DEVELOPMENT]],Data[],13,FALSE),TODAY(),"Y"))</f>
        <v/>
      </c>
      <c r="I279" s="67">
        <f>IF(ExtComp[[#This Row],[RAD/PACT]]="",VLOOKUP(ExtComp[[#This Row],[DEVELOPMENT]],Data[],11,FALSE),IF(ExtComp[[#This Row],[RAD/PACT by 2025]]="yes",0,VLOOKUP(ExtComp[[#This Row],[DEVELOPMENT]],Data[],11,FALSE)))</f>
        <v>0</v>
      </c>
      <c r="J279" s="63">
        <f ca="1">(ExtComp[[#This Row],['# to Replace]]*'Unit Costs'!$B$6)*(1+((ExtComp[[#This Row],[est. Year]]-YEAR(TODAY()))*$J$2))</f>
        <v>0</v>
      </c>
      <c r="K279" s="67">
        <f>SUM(INDEX(ExtComp['# to Replace],1):ExtComp[[#This Row],['# to Replace]])</f>
        <v>0</v>
      </c>
      <c r="L279" s="67">
        <f>ROUNDDOWN(ExtComp[[#This Row],[Count]]/50,0)+$L$1</f>
        <v>2020</v>
      </c>
      <c r="M279" s="81">
        <f t="shared" ca="1" si="4"/>
        <v>0</v>
      </c>
      <c r="N279" s="81" t="str">
        <f>IFERROR(VLOOKUP(ExtComp[[#This Row],[DEVELOPMENT]],Data[],22,FALSE),"")</f>
        <v/>
      </c>
      <c r="O279" s="67" t="str">
        <f>IFERROR(VLOOKUP(ExtComp[[#This Row],[DEVELOPMENT]],Data[],23,FALSE),"")</f>
        <v/>
      </c>
    </row>
    <row r="280" spans="1:15" x14ac:dyDescent="0.25">
      <c r="A280" s="13" t="s">
        <v>189</v>
      </c>
      <c r="B280" s="9" t="str">
        <f>VLOOKUP(A280,Data[],2,FALSE)</f>
        <v>BRONX</v>
      </c>
      <c r="C280" s="9" t="s">
        <v>68</v>
      </c>
      <c r="D280" s="66">
        <f>VLOOKUP(ExtComp[[#This Row],[DEVELOPMENT]],Data[],8,FALSE)</f>
        <v>0</v>
      </c>
      <c r="E280" s="66">
        <f>VLOOKUP(ExtComp[[#This Row],[DEVELOPMENT]],Data[],9,FALSE)</f>
        <v>0</v>
      </c>
      <c r="F280" s="66" t="str">
        <f>IFERROR(VLOOKUP(ExtComp[[#This Row],[DEVELOPMENT]],Data[],4,FALSE),"")</f>
        <v/>
      </c>
      <c r="G280" s="66" t="str">
        <f>IF(ExtComp[[#This Row],[RAD/PACT]]="","",IF(ExtComp[[#This Row],[RAD/PACT]]&lt;=2025,"Yes",""))</f>
        <v/>
      </c>
      <c r="H280" s="67" t="str">
        <f ca="1">IF(VLOOKUP(ExtComp[[#This Row],[DEVELOPMENT]],Data[],11,FALSE)=0,"",DATEDIF(VLOOKUP(ExtComp[[#This Row],[DEVELOPMENT]],Data[],13,FALSE),TODAY(),"Y"))</f>
        <v/>
      </c>
      <c r="I280" s="67">
        <f>IF(ExtComp[[#This Row],[RAD/PACT]]="",VLOOKUP(ExtComp[[#This Row],[DEVELOPMENT]],Data[],11,FALSE),IF(ExtComp[[#This Row],[RAD/PACT by 2025]]="yes",0,VLOOKUP(ExtComp[[#This Row],[DEVELOPMENT]],Data[],11,FALSE)))</f>
        <v>0</v>
      </c>
      <c r="J280" s="63">
        <f ca="1">(ExtComp[[#This Row],['# to Replace]]*'Unit Costs'!$B$6)*(1+((ExtComp[[#This Row],[est. Year]]-YEAR(TODAY()))*$J$2))</f>
        <v>0</v>
      </c>
      <c r="K280" s="67">
        <f>SUM(INDEX(ExtComp['# to Replace],1):ExtComp[[#This Row],['# to Replace]])</f>
        <v>0</v>
      </c>
      <c r="L280" s="67">
        <f>ROUNDDOWN(ExtComp[[#This Row],[Count]]/50,0)+$L$1</f>
        <v>2020</v>
      </c>
      <c r="M280" s="81">
        <f t="shared" ca="1" si="4"/>
        <v>0</v>
      </c>
      <c r="N280" s="81" t="str">
        <f>IFERROR(VLOOKUP(ExtComp[[#This Row],[DEVELOPMENT]],Data[],22,FALSE),"")</f>
        <v/>
      </c>
      <c r="O280" s="67" t="str">
        <f>IFERROR(VLOOKUP(ExtComp[[#This Row],[DEVELOPMENT]],Data[],23,FALSE),"")</f>
        <v/>
      </c>
    </row>
    <row r="281" spans="1:15" x14ac:dyDescent="0.25">
      <c r="A281" s="13" t="s">
        <v>73</v>
      </c>
      <c r="B281" s="1" t="str">
        <f>VLOOKUP(A281,Data[],2,FALSE)</f>
        <v>BRONX</v>
      </c>
      <c r="C281" s="9" t="s">
        <v>68</v>
      </c>
      <c r="D281" s="9" t="str">
        <f>VLOOKUP(ExtComp[[#This Row],[DEVELOPMENT]],Data[],8,FALSE)</f>
        <v>Zone 3</v>
      </c>
      <c r="E281" s="9" t="str">
        <f>VLOOKUP(ExtComp[[#This Row],[DEVELOPMENT]],Data[],9,FALSE)</f>
        <v>$</v>
      </c>
      <c r="F281" s="9" t="str">
        <f>IFERROR(VLOOKUP(ExtComp[[#This Row],[DEVELOPMENT]],Data[],4,FALSE),"")</f>
        <v/>
      </c>
      <c r="G281" s="9" t="str">
        <f>IF(ExtComp[[#This Row],[RAD/PACT]]="","",IF(ExtComp[[#This Row],[RAD/PACT]]&lt;=2025,"Yes",""))</f>
        <v/>
      </c>
      <c r="H281" s="1" t="str">
        <f ca="1">IF(VLOOKUP(ExtComp[[#This Row],[DEVELOPMENT]],Data[],11,FALSE)=0,"",DATEDIF(VLOOKUP(ExtComp[[#This Row],[DEVELOPMENT]],Data[],13,FALSE),TODAY(),"Y"))</f>
        <v/>
      </c>
      <c r="I281" s="1">
        <f>IF(ExtComp[[#This Row],[RAD/PACT]]="",VLOOKUP(ExtComp[[#This Row],[DEVELOPMENT]],Data[],11,FALSE),IF(ExtComp[[#This Row],[RAD/PACT by 2025]]="yes",0,VLOOKUP(ExtComp[[#This Row],[DEVELOPMENT]],Data[],11,FALSE)))</f>
        <v>0</v>
      </c>
      <c r="J281" s="63">
        <f ca="1">(ExtComp[[#This Row],['# to Replace]]*'Unit Costs'!$B$6)*(1+((ExtComp[[#This Row],[est. Year]]-YEAR(TODAY()))*$J$2))</f>
        <v>0</v>
      </c>
      <c r="K281" s="1">
        <f>SUM(INDEX(ExtComp['# to Replace],1):ExtComp[[#This Row],['# to Replace]])</f>
        <v>0</v>
      </c>
      <c r="L281" s="1">
        <f>ROUNDDOWN(ExtComp[[#This Row],[Count]]/50,0)+$L$1</f>
        <v>2020</v>
      </c>
      <c r="M281" s="81">
        <f t="shared" ca="1" si="4"/>
        <v>0</v>
      </c>
      <c r="N281" s="81" t="str">
        <f>IFERROR(VLOOKUP(ExtComp[[#This Row],[DEVELOPMENT]],Data[],22,FALSE),"")</f>
        <v/>
      </c>
      <c r="O281" s="88" t="str">
        <f>IFERROR(VLOOKUP(ExtComp[[#This Row],[DEVELOPMENT]],Data[],23,FALSE),"")</f>
        <v/>
      </c>
    </row>
    <row r="282" spans="1:15" x14ac:dyDescent="0.25">
      <c r="A282" s="13" t="s">
        <v>188</v>
      </c>
      <c r="B282" s="9" t="str">
        <f>VLOOKUP(A282,Data[],2,FALSE)</f>
        <v>BROOKLYN</v>
      </c>
      <c r="C282" s="9" t="s">
        <v>68</v>
      </c>
      <c r="D282" s="66">
        <f>VLOOKUP(ExtComp[[#This Row],[DEVELOPMENT]],Data[],8,FALSE)</f>
        <v>0</v>
      </c>
      <c r="E282" s="66">
        <f>VLOOKUP(ExtComp[[#This Row],[DEVELOPMENT]],Data[],9,FALSE)</f>
        <v>0</v>
      </c>
      <c r="F282" s="66" t="str">
        <f>IFERROR(VLOOKUP(ExtComp[[#This Row],[DEVELOPMENT]],Data[],4,FALSE),"")</f>
        <v/>
      </c>
      <c r="G282" s="66" t="str">
        <f>IF(ExtComp[[#This Row],[RAD/PACT]]="","",IF(ExtComp[[#This Row],[RAD/PACT]]&lt;=2025,"Yes",""))</f>
        <v/>
      </c>
      <c r="H282" s="67" t="str">
        <f ca="1">IF(VLOOKUP(ExtComp[[#This Row],[DEVELOPMENT]],Data[],11,FALSE)=0,"",DATEDIF(VLOOKUP(ExtComp[[#This Row],[DEVELOPMENT]],Data[],13,FALSE),TODAY(),"Y"))</f>
        <v/>
      </c>
      <c r="I282" s="67">
        <f>IF(ExtComp[[#This Row],[RAD/PACT]]="",VLOOKUP(ExtComp[[#This Row],[DEVELOPMENT]],Data[],11,FALSE),IF(ExtComp[[#This Row],[RAD/PACT by 2025]]="yes",0,VLOOKUP(ExtComp[[#This Row],[DEVELOPMENT]],Data[],11,FALSE)))</f>
        <v>0</v>
      </c>
      <c r="J282" s="63">
        <f ca="1">(ExtComp[[#This Row],['# to Replace]]*'Unit Costs'!$B$6)*(1+((ExtComp[[#This Row],[est. Year]]-YEAR(TODAY()))*$J$2))</f>
        <v>0</v>
      </c>
      <c r="K282" s="67">
        <f>SUM(INDEX(ExtComp['# to Replace],1):ExtComp[[#This Row],['# to Replace]])</f>
        <v>0</v>
      </c>
      <c r="L282" s="67">
        <f>ROUNDDOWN(ExtComp[[#This Row],[Count]]/50,0)+$L$1</f>
        <v>2020</v>
      </c>
      <c r="M282" s="81">
        <f t="shared" ca="1" si="4"/>
        <v>0</v>
      </c>
      <c r="N282" s="81" t="str">
        <f>IFERROR(VLOOKUP(ExtComp[[#This Row],[DEVELOPMENT]],Data[],22,FALSE),"")</f>
        <v/>
      </c>
      <c r="O282" s="88" t="str">
        <f>IFERROR(VLOOKUP(ExtComp[[#This Row],[DEVELOPMENT]],Data[],23,FALSE),"")</f>
        <v/>
      </c>
    </row>
    <row r="283" spans="1:15" x14ac:dyDescent="0.25">
      <c r="A283" s="13" t="s">
        <v>187</v>
      </c>
      <c r="B283" s="9" t="str">
        <f>VLOOKUP(A283,Data[],2,FALSE)</f>
        <v>BROOKLYN</v>
      </c>
      <c r="C283" s="9"/>
      <c r="D283" s="66">
        <f>VLOOKUP(ExtComp[[#This Row],[DEVELOPMENT]],Data[],8,FALSE)</f>
        <v>0</v>
      </c>
      <c r="E283" s="66">
        <f>VLOOKUP(ExtComp[[#This Row],[DEVELOPMENT]],Data[],9,FALSE)</f>
        <v>0</v>
      </c>
      <c r="F283" s="66">
        <f>IFERROR(VLOOKUP(ExtComp[[#This Row],[DEVELOPMENT]],Data[],4,FALSE),"")</f>
        <v>2021</v>
      </c>
      <c r="G283" s="66" t="str">
        <f>IF(ExtComp[[#This Row],[RAD/PACT]]="","",IF(ExtComp[[#This Row],[RAD/PACT]]&lt;=2025,"Yes",""))</f>
        <v>Yes</v>
      </c>
      <c r="H283" s="67" t="str">
        <f ca="1">IF(VLOOKUP(ExtComp[[#This Row],[DEVELOPMENT]],Data[],11,FALSE)=0,"",DATEDIF(VLOOKUP(ExtComp[[#This Row],[DEVELOPMENT]],Data[],13,FALSE),TODAY(),"Y"))</f>
        <v/>
      </c>
      <c r="I283" s="67">
        <f>IF(ExtComp[[#This Row],[RAD/PACT]]="",VLOOKUP(ExtComp[[#This Row],[DEVELOPMENT]],Data[],11,FALSE),IF(ExtComp[[#This Row],[RAD/PACT by 2025]]="yes",0,VLOOKUP(ExtComp[[#This Row],[DEVELOPMENT]],Data[],11,FALSE)))</f>
        <v>0</v>
      </c>
      <c r="J283" s="63">
        <f ca="1">(ExtComp[[#This Row],['# to Replace]]*'Unit Costs'!$B$6)*(1+((ExtComp[[#This Row],[est. Year]]-YEAR(TODAY()))*$J$2))</f>
        <v>0</v>
      </c>
      <c r="K283" s="67">
        <f>SUM(INDEX(ExtComp['# to Replace],1):ExtComp[[#This Row],['# to Replace]])</f>
        <v>0</v>
      </c>
      <c r="L283" s="67">
        <f>ROUNDDOWN(ExtComp[[#This Row],[Count]]/50,0)+$L$1</f>
        <v>2020</v>
      </c>
      <c r="M283" s="81">
        <f t="shared" ca="1" si="4"/>
        <v>0</v>
      </c>
      <c r="N283" s="81" t="str">
        <f>IFERROR(VLOOKUP(ExtComp[[#This Row],[DEVELOPMENT]],Data[],22,FALSE),"")</f>
        <v/>
      </c>
      <c r="O283" s="88" t="str">
        <f>IFERROR(VLOOKUP(ExtComp[[#This Row],[DEVELOPMENT]],Data[],23,FALSE),"")</f>
        <v/>
      </c>
    </row>
    <row r="284" spans="1:15" x14ac:dyDescent="0.25">
      <c r="A284" s="82" t="s">
        <v>59</v>
      </c>
      <c r="B284" s="1" t="str">
        <f>VLOOKUP(A284,Data[],2,FALSE)</f>
        <v>MANHATTAN</v>
      </c>
      <c r="C284" s="9" t="s">
        <v>68</v>
      </c>
      <c r="D284" s="9" t="str">
        <f>VLOOKUP(ExtComp[[#This Row],[DEVELOPMENT]],Data[],8,FALSE)</f>
        <v>Zone 1</v>
      </c>
      <c r="E284" s="9" t="str">
        <f>VLOOKUP(ExtComp[[#This Row],[DEVELOPMENT]],Data[],9,FALSE)</f>
        <v>$</v>
      </c>
      <c r="F284" s="9">
        <f>IFERROR(VLOOKUP(ExtComp[[#This Row],[DEVELOPMENT]],Data[],4,FALSE),"")</f>
        <v>2026</v>
      </c>
      <c r="G284" s="9" t="str">
        <f>IF(ExtComp[[#This Row],[RAD/PACT]]="","",IF(ExtComp[[#This Row],[RAD/PACT]]&lt;=2025,"Yes",""))</f>
        <v/>
      </c>
      <c r="H284" s="1" t="str">
        <f ca="1">IF(VLOOKUP(ExtComp[[#This Row],[DEVELOPMENT]],Data[],11,FALSE)=0,"",DATEDIF(VLOOKUP(ExtComp[[#This Row],[DEVELOPMENT]],Data[],13,FALSE),TODAY(),"Y"))</f>
        <v/>
      </c>
      <c r="I284" s="1">
        <f>IF(ExtComp[[#This Row],[RAD/PACT]]="",VLOOKUP(ExtComp[[#This Row],[DEVELOPMENT]],Data[],11,FALSE),IF(ExtComp[[#This Row],[RAD/PACT by 2025]]="yes",0,VLOOKUP(ExtComp[[#This Row],[DEVELOPMENT]],Data[],11,FALSE)))</f>
        <v>0</v>
      </c>
      <c r="J284" s="63">
        <f ca="1">(ExtComp[[#This Row],['# to Replace]]*'Unit Costs'!$B$6)*(1+((ExtComp[[#This Row],[est. Year]]-YEAR(TODAY()))*$J$2))</f>
        <v>0</v>
      </c>
      <c r="K284" s="1">
        <f>SUM(INDEX(ExtComp['# to Replace],1):ExtComp[[#This Row],['# to Replace]])</f>
        <v>0</v>
      </c>
      <c r="L284" s="1">
        <f>ROUNDDOWN(ExtComp[[#This Row],[Count]]/50,0)+$L$1</f>
        <v>2020</v>
      </c>
      <c r="M284" s="81">
        <f t="shared" ca="1" si="4"/>
        <v>0</v>
      </c>
      <c r="N284" s="81" t="str">
        <f>IFERROR(VLOOKUP(ExtComp[[#This Row],[DEVELOPMENT]],Data[],22,FALSE),"")</f>
        <v/>
      </c>
      <c r="O284" s="67" t="str">
        <f>IFERROR(VLOOKUP(ExtComp[[#This Row],[DEVELOPMENT]],Data[],23,FALSE),"")</f>
        <v/>
      </c>
    </row>
    <row r="285" spans="1:15" x14ac:dyDescent="0.25">
      <c r="A285" s="13" t="s">
        <v>186</v>
      </c>
      <c r="B285" s="9" t="str">
        <f>VLOOKUP(A285,Data[],2,FALSE)</f>
        <v>BRONX</v>
      </c>
      <c r="C285" s="9" t="s">
        <v>68</v>
      </c>
      <c r="D285" s="66">
        <f>VLOOKUP(ExtComp[[#This Row],[DEVELOPMENT]],Data[],8,FALSE)</f>
        <v>0</v>
      </c>
      <c r="E285" s="66">
        <f>VLOOKUP(ExtComp[[#This Row],[DEVELOPMENT]],Data[],9,FALSE)</f>
        <v>0</v>
      </c>
      <c r="F285" s="66" t="str">
        <f>IFERROR(VLOOKUP(ExtComp[[#This Row],[DEVELOPMENT]],Data[],4,FALSE),"")</f>
        <v/>
      </c>
      <c r="G285" s="66" t="str">
        <f>IF(ExtComp[[#This Row],[RAD/PACT]]="","",IF(ExtComp[[#This Row],[RAD/PACT]]&lt;=2025,"Yes",""))</f>
        <v/>
      </c>
      <c r="H285" s="67" t="str">
        <f ca="1">IF(VLOOKUP(ExtComp[[#This Row],[DEVELOPMENT]],Data[],11,FALSE)=0,"",DATEDIF(VLOOKUP(ExtComp[[#This Row],[DEVELOPMENT]],Data[],13,FALSE),TODAY(),"Y"))</f>
        <v/>
      </c>
      <c r="I285" s="67">
        <f>IF(ExtComp[[#This Row],[RAD/PACT]]="",VLOOKUP(ExtComp[[#This Row],[DEVELOPMENT]],Data[],11,FALSE),IF(ExtComp[[#This Row],[RAD/PACT by 2025]]="yes",0,VLOOKUP(ExtComp[[#This Row],[DEVELOPMENT]],Data[],11,FALSE)))</f>
        <v>0</v>
      </c>
      <c r="J285" s="63">
        <f ca="1">(ExtComp[[#This Row],['# to Replace]]*'Unit Costs'!$B$6)*(1+((ExtComp[[#This Row],[est. Year]]-YEAR(TODAY()))*$J$2))</f>
        <v>0</v>
      </c>
      <c r="K285" s="67">
        <f>SUM(INDEX(ExtComp['# to Replace],1):ExtComp[[#This Row],['# to Replace]])</f>
        <v>0</v>
      </c>
      <c r="L285" s="67">
        <f>ROUNDDOWN(ExtComp[[#This Row],[Count]]/50,0)+$L$1</f>
        <v>2020</v>
      </c>
      <c r="M285" s="81">
        <f t="shared" ca="1" si="4"/>
        <v>0</v>
      </c>
      <c r="N285" s="81" t="str">
        <f>IFERROR(VLOOKUP(ExtComp[[#This Row],[DEVELOPMENT]],Data[],22,FALSE),"")</f>
        <v/>
      </c>
      <c r="O285" s="67" t="str">
        <f>IFERROR(VLOOKUP(ExtComp[[#This Row],[DEVELOPMENT]],Data[],23,FALSE),"")</f>
        <v/>
      </c>
    </row>
    <row r="286" spans="1:15" x14ac:dyDescent="0.25">
      <c r="A286" s="13" t="s">
        <v>185</v>
      </c>
      <c r="B286" s="9" t="str">
        <f>VLOOKUP(A286,Data[],2,FALSE)</f>
        <v>BROOKLYN</v>
      </c>
      <c r="C286" s="9"/>
      <c r="D286" s="66">
        <f>VLOOKUP(ExtComp[[#This Row],[DEVELOPMENT]],Data[],8,FALSE)</f>
        <v>0</v>
      </c>
      <c r="E286" s="66">
        <f>VLOOKUP(ExtComp[[#This Row],[DEVELOPMENT]],Data[],9,FALSE)</f>
        <v>0</v>
      </c>
      <c r="F286" s="66">
        <f>IFERROR(VLOOKUP(ExtComp[[#This Row],[DEVELOPMENT]],Data[],4,FALSE),"")</f>
        <v>2020</v>
      </c>
      <c r="G286" s="66" t="str">
        <f>IF(ExtComp[[#This Row],[RAD/PACT]]="","",IF(ExtComp[[#This Row],[RAD/PACT]]&lt;=2025,"Yes",""))</f>
        <v>Yes</v>
      </c>
      <c r="H286" s="67" t="str">
        <f ca="1">IF(VLOOKUP(ExtComp[[#This Row],[DEVELOPMENT]],Data[],11,FALSE)=0,"",DATEDIF(VLOOKUP(ExtComp[[#This Row],[DEVELOPMENT]],Data[],13,FALSE),TODAY(),"Y"))</f>
        <v/>
      </c>
      <c r="I286" s="67">
        <f>IF(ExtComp[[#This Row],[RAD/PACT]]="",VLOOKUP(ExtComp[[#This Row],[DEVELOPMENT]],Data[],11,FALSE),IF(ExtComp[[#This Row],[RAD/PACT by 2025]]="yes",0,VLOOKUP(ExtComp[[#This Row],[DEVELOPMENT]],Data[],11,FALSE)))</f>
        <v>0</v>
      </c>
      <c r="J286" s="63">
        <f ca="1">(ExtComp[[#This Row],['# to Replace]]*'Unit Costs'!$B$6)*(1+((ExtComp[[#This Row],[est. Year]]-YEAR(TODAY()))*$J$2))</f>
        <v>0</v>
      </c>
      <c r="K286" s="67">
        <f>SUM(INDEX(ExtComp['# to Replace],1):ExtComp[[#This Row],['# to Replace]])</f>
        <v>0</v>
      </c>
      <c r="L286" s="67">
        <f>ROUNDDOWN(ExtComp[[#This Row],[Count]]/50,0)+$L$1</f>
        <v>2020</v>
      </c>
      <c r="M286" s="81">
        <f t="shared" ca="1" si="4"/>
        <v>0</v>
      </c>
      <c r="N286" s="81" t="str">
        <f>IFERROR(VLOOKUP(ExtComp[[#This Row],[DEVELOPMENT]],Data[],22,FALSE),"")</f>
        <v/>
      </c>
      <c r="O286" s="67" t="str">
        <f>IFERROR(VLOOKUP(ExtComp[[#This Row],[DEVELOPMENT]],Data[],23,FALSE),"")</f>
        <v/>
      </c>
    </row>
    <row r="287" spans="1:15" x14ac:dyDescent="0.25">
      <c r="A287" s="13" t="s">
        <v>184</v>
      </c>
      <c r="B287" s="9" t="str">
        <f>VLOOKUP(A287,Data[],2,FALSE)</f>
        <v>BRONX</v>
      </c>
      <c r="C287" s="9" t="s">
        <v>68</v>
      </c>
      <c r="D287" s="66">
        <f>VLOOKUP(ExtComp[[#This Row],[DEVELOPMENT]],Data[],8,FALSE)</f>
        <v>0</v>
      </c>
      <c r="E287" s="66">
        <f>VLOOKUP(ExtComp[[#This Row],[DEVELOPMENT]],Data[],9,FALSE)</f>
        <v>0</v>
      </c>
      <c r="F287" s="66" t="str">
        <f>IFERROR(VLOOKUP(ExtComp[[#This Row],[DEVELOPMENT]],Data[],4,FALSE),"")</f>
        <v/>
      </c>
      <c r="G287" s="66" t="str">
        <f>IF(ExtComp[[#This Row],[RAD/PACT]]="","",IF(ExtComp[[#This Row],[RAD/PACT]]&lt;=2025,"Yes",""))</f>
        <v/>
      </c>
      <c r="H287" s="67" t="str">
        <f ca="1">IF(VLOOKUP(ExtComp[[#This Row],[DEVELOPMENT]],Data[],11,FALSE)=0,"",DATEDIF(VLOOKUP(ExtComp[[#This Row],[DEVELOPMENT]],Data[],13,FALSE),TODAY(),"Y"))</f>
        <v/>
      </c>
      <c r="I287" s="67">
        <f>IF(ExtComp[[#This Row],[RAD/PACT]]="",VLOOKUP(ExtComp[[#This Row],[DEVELOPMENT]],Data[],11,FALSE),IF(ExtComp[[#This Row],[RAD/PACT by 2025]]="yes",0,VLOOKUP(ExtComp[[#This Row],[DEVELOPMENT]],Data[],11,FALSE)))</f>
        <v>0</v>
      </c>
      <c r="J287" s="63">
        <f ca="1">(ExtComp[[#This Row],['# to Replace]]*'Unit Costs'!$B$6)*(1+((ExtComp[[#This Row],[est. Year]]-YEAR(TODAY()))*$J$2))</f>
        <v>0</v>
      </c>
      <c r="K287" s="67">
        <f>SUM(INDEX(ExtComp['# to Replace],1):ExtComp[[#This Row],['# to Replace]])</f>
        <v>0</v>
      </c>
      <c r="L287" s="67">
        <f>ROUNDDOWN(ExtComp[[#This Row],[Count]]/50,0)+$L$1</f>
        <v>2020</v>
      </c>
      <c r="M287" s="81">
        <f t="shared" ca="1" si="4"/>
        <v>0</v>
      </c>
      <c r="N287" s="81" t="str">
        <f>IFERROR(VLOOKUP(ExtComp[[#This Row],[DEVELOPMENT]],Data[],22,FALSE),"")</f>
        <v/>
      </c>
      <c r="O287" s="88" t="str">
        <f>IFERROR(VLOOKUP(ExtComp[[#This Row],[DEVELOPMENT]],Data[],23,FALSE),"")</f>
        <v/>
      </c>
    </row>
    <row r="288" spans="1:15" x14ac:dyDescent="0.25">
      <c r="A288" s="13" t="s">
        <v>183</v>
      </c>
      <c r="B288" s="9" t="str">
        <f>VLOOKUP(A288,Data[],2,FALSE)</f>
        <v>BRONX</v>
      </c>
      <c r="C288" s="9"/>
      <c r="D288" s="66">
        <f>VLOOKUP(ExtComp[[#This Row],[DEVELOPMENT]],Data[],8,FALSE)</f>
        <v>0</v>
      </c>
      <c r="E288" s="66">
        <f>VLOOKUP(ExtComp[[#This Row],[DEVELOPMENT]],Data[],9,FALSE)</f>
        <v>0</v>
      </c>
      <c r="F288" s="66">
        <f>IFERROR(VLOOKUP(ExtComp[[#This Row],[DEVELOPMENT]],Data[],4,FALSE),"")</f>
        <v>2022</v>
      </c>
      <c r="G288" s="66" t="str">
        <f>IF(ExtComp[[#This Row],[RAD/PACT]]="","",IF(ExtComp[[#This Row],[RAD/PACT]]&lt;=2025,"Yes",""))</f>
        <v>Yes</v>
      </c>
      <c r="H288" s="67" t="str">
        <f ca="1">IF(VLOOKUP(ExtComp[[#This Row],[DEVELOPMENT]],Data[],11,FALSE)=0,"",DATEDIF(VLOOKUP(ExtComp[[#This Row],[DEVELOPMENT]],Data[],13,FALSE),TODAY(),"Y"))</f>
        <v/>
      </c>
      <c r="I288" s="67">
        <f>IF(ExtComp[[#This Row],[RAD/PACT]]="",VLOOKUP(ExtComp[[#This Row],[DEVELOPMENT]],Data[],11,FALSE),IF(ExtComp[[#This Row],[RAD/PACT by 2025]]="yes",0,VLOOKUP(ExtComp[[#This Row],[DEVELOPMENT]],Data[],11,FALSE)))</f>
        <v>0</v>
      </c>
      <c r="J288" s="63">
        <f ca="1">(ExtComp[[#This Row],['# to Replace]]*'Unit Costs'!$B$6)*(1+((ExtComp[[#This Row],[est. Year]]-YEAR(TODAY()))*$J$2))</f>
        <v>0</v>
      </c>
      <c r="K288" s="67">
        <f>SUM(INDEX(ExtComp['# to Replace],1):ExtComp[[#This Row],['# to Replace]])</f>
        <v>0</v>
      </c>
      <c r="L288" s="67">
        <f>ROUNDDOWN(ExtComp[[#This Row],[Count]]/50,0)+$L$1</f>
        <v>2020</v>
      </c>
      <c r="M288" s="81">
        <f t="shared" ca="1" si="4"/>
        <v>0</v>
      </c>
      <c r="N288" s="81" t="str">
        <f>IFERROR(VLOOKUP(ExtComp[[#This Row],[DEVELOPMENT]],Data[],22,FALSE),"")</f>
        <v/>
      </c>
      <c r="O288" s="67" t="str">
        <f>IFERROR(VLOOKUP(ExtComp[[#This Row],[DEVELOPMENT]],Data[],23,FALSE),"")</f>
        <v/>
      </c>
    </row>
    <row r="289" spans="1:15" x14ac:dyDescent="0.25">
      <c r="A289" s="13" t="s">
        <v>72</v>
      </c>
      <c r="B289" s="1" t="str">
        <f>VLOOKUP(A289,Data[],2,FALSE)</f>
        <v>BROOKLYN</v>
      </c>
      <c r="C289" s="9" t="s">
        <v>68</v>
      </c>
      <c r="D289" s="9" t="str">
        <f>VLOOKUP(ExtComp[[#This Row],[DEVELOPMENT]],Data[],8,FALSE)</f>
        <v>Zone 3</v>
      </c>
      <c r="E289" s="9" t="str">
        <f>VLOOKUP(ExtComp[[#This Row],[DEVELOPMENT]],Data[],9,FALSE)</f>
        <v>$$$</v>
      </c>
      <c r="F289" s="9" t="str">
        <f>IFERROR(VLOOKUP(ExtComp[[#This Row],[DEVELOPMENT]],Data[],4,FALSE),"")</f>
        <v/>
      </c>
      <c r="G289" s="9" t="str">
        <f>IF(ExtComp[[#This Row],[RAD/PACT]]="","",IF(ExtComp[[#This Row],[RAD/PACT]]&lt;=2025,"Yes",""))</f>
        <v/>
      </c>
      <c r="H289" s="1" t="str">
        <f ca="1">IF(VLOOKUP(ExtComp[[#This Row],[DEVELOPMENT]],Data[],11,FALSE)=0,"",DATEDIF(VLOOKUP(ExtComp[[#This Row],[DEVELOPMENT]],Data[],13,FALSE),TODAY(),"Y"))</f>
        <v/>
      </c>
      <c r="I289" s="1">
        <f>IF(ExtComp[[#This Row],[RAD/PACT]]="",VLOOKUP(ExtComp[[#This Row],[DEVELOPMENT]],Data[],11,FALSE),IF(ExtComp[[#This Row],[RAD/PACT by 2025]]="yes",0,VLOOKUP(ExtComp[[#This Row],[DEVELOPMENT]],Data[],11,FALSE)))</f>
        <v>0</v>
      </c>
      <c r="J289" s="63">
        <f ca="1">(ExtComp[[#This Row],['# to Replace]]*'Unit Costs'!$B$6)*(1+((ExtComp[[#This Row],[est. Year]]-YEAR(TODAY()))*$J$2))</f>
        <v>0</v>
      </c>
      <c r="K289" s="1">
        <f>SUM(INDEX(ExtComp['# to Replace],1):ExtComp[[#This Row],['# to Replace]])</f>
        <v>0</v>
      </c>
      <c r="L289" s="1">
        <f>ROUNDDOWN(ExtComp[[#This Row],[Count]]/50,0)+$L$1</f>
        <v>2020</v>
      </c>
      <c r="M289" s="81">
        <f t="shared" ca="1" si="4"/>
        <v>0</v>
      </c>
      <c r="N289" s="81" t="str">
        <f>IFERROR(VLOOKUP(ExtComp[[#This Row],[DEVELOPMENT]],Data[],22,FALSE),"")</f>
        <v/>
      </c>
      <c r="O289" s="67" t="str">
        <f>IFERROR(VLOOKUP(ExtComp[[#This Row],[DEVELOPMENT]],Data[],23,FALSE),"")</f>
        <v/>
      </c>
    </row>
    <row r="290" spans="1:15" x14ac:dyDescent="0.25">
      <c r="A290" s="13" t="s">
        <v>119</v>
      </c>
      <c r="B290" s="1" t="str">
        <f>VLOOKUP(A290,Data[],2,FALSE)</f>
        <v>BROOKLYN</v>
      </c>
      <c r="C290" s="9" t="s">
        <v>68</v>
      </c>
      <c r="D290" s="9" t="str">
        <f>VLOOKUP(ExtComp[[#This Row],[DEVELOPMENT]],Data[],8,FALSE)</f>
        <v>Zone 3</v>
      </c>
      <c r="E290" s="9" t="str">
        <f>VLOOKUP(ExtComp[[#This Row],[DEVELOPMENT]],Data[],9,FALSE)</f>
        <v>$$$$</v>
      </c>
      <c r="F290" s="9" t="str">
        <f>IFERROR(VLOOKUP(ExtComp[[#This Row],[DEVELOPMENT]],Data[],4,FALSE),"")</f>
        <v/>
      </c>
      <c r="G290" s="9" t="str">
        <f>IF(ExtComp[[#This Row],[RAD/PACT]]="","",IF(ExtComp[[#This Row],[RAD/PACT]]&lt;=2025,"Yes",""))</f>
        <v/>
      </c>
      <c r="H290" s="1" t="str">
        <f ca="1">IF(VLOOKUP(ExtComp[[#This Row],[DEVELOPMENT]],Data[],11,FALSE)=0,"",DATEDIF(VLOOKUP(ExtComp[[#This Row],[DEVELOPMENT]],Data[],13,FALSE),TODAY(),"Y"))</f>
        <v/>
      </c>
      <c r="I290" s="1">
        <f>IF(ExtComp[[#This Row],[RAD/PACT]]="",VLOOKUP(ExtComp[[#This Row],[DEVELOPMENT]],Data[],11,FALSE),IF(ExtComp[[#This Row],[RAD/PACT by 2025]]="yes",0,VLOOKUP(ExtComp[[#This Row],[DEVELOPMENT]],Data[],11,FALSE)))</f>
        <v>0</v>
      </c>
      <c r="J290" s="63">
        <f ca="1">(ExtComp[[#This Row],['# to Replace]]*'Unit Costs'!$B$6)*(1+((ExtComp[[#This Row],[est. Year]]-YEAR(TODAY()))*$J$2))</f>
        <v>0</v>
      </c>
      <c r="K290" s="1">
        <f>SUM(INDEX(ExtComp['# to Replace],1):ExtComp[[#This Row],['# to Replace]])</f>
        <v>0</v>
      </c>
      <c r="L290" s="1">
        <f>ROUNDDOWN(ExtComp[[#This Row],[Count]]/50,0)+$L$1</f>
        <v>2020</v>
      </c>
      <c r="M290" s="81">
        <f t="shared" ca="1" si="4"/>
        <v>0</v>
      </c>
      <c r="N290" s="81" t="str">
        <f>IFERROR(VLOOKUP(ExtComp[[#This Row],[DEVELOPMENT]],Data[],22,FALSE),"")</f>
        <v/>
      </c>
      <c r="O290" s="88" t="str">
        <f>IFERROR(VLOOKUP(ExtComp[[#This Row],[DEVELOPMENT]],Data[],23,FALSE),"")</f>
        <v/>
      </c>
    </row>
    <row r="291" spans="1:15" x14ac:dyDescent="0.25">
      <c r="A291" s="13" t="s">
        <v>182</v>
      </c>
      <c r="B291" s="9" t="str">
        <f>VLOOKUP(A291,Data[],2,FALSE)</f>
        <v>QUEENS</v>
      </c>
      <c r="C291" s="9" t="s">
        <v>68</v>
      </c>
      <c r="D291" s="66">
        <f>VLOOKUP(ExtComp[[#This Row],[DEVELOPMENT]],Data[],8,FALSE)</f>
        <v>0</v>
      </c>
      <c r="E291" s="66">
        <f>VLOOKUP(ExtComp[[#This Row],[DEVELOPMENT]],Data[],9,FALSE)</f>
        <v>0</v>
      </c>
      <c r="F291" s="66" t="str">
        <f>IFERROR(VLOOKUP(ExtComp[[#This Row],[DEVELOPMENT]],Data[],4,FALSE),"")</f>
        <v/>
      </c>
      <c r="G291" s="66" t="str">
        <f>IF(ExtComp[[#This Row],[RAD/PACT]]="","",IF(ExtComp[[#This Row],[RAD/PACT]]&lt;=2025,"Yes",""))</f>
        <v/>
      </c>
      <c r="H291" s="67" t="str">
        <f ca="1">IF(VLOOKUP(ExtComp[[#This Row],[DEVELOPMENT]],Data[],11,FALSE)=0,"",DATEDIF(VLOOKUP(ExtComp[[#This Row],[DEVELOPMENT]],Data[],13,FALSE),TODAY(),"Y"))</f>
        <v/>
      </c>
      <c r="I291" s="67">
        <f>IF(ExtComp[[#This Row],[RAD/PACT]]="",VLOOKUP(ExtComp[[#This Row],[DEVELOPMENT]],Data[],11,FALSE),IF(ExtComp[[#This Row],[RAD/PACT by 2025]]="yes",0,VLOOKUP(ExtComp[[#This Row],[DEVELOPMENT]],Data[],11,FALSE)))</f>
        <v>0</v>
      </c>
      <c r="J291" s="63">
        <f ca="1">(ExtComp[[#This Row],['# to Replace]]*'Unit Costs'!$B$6)*(1+((ExtComp[[#This Row],[est. Year]]-YEAR(TODAY()))*$J$2))</f>
        <v>0</v>
      </c>
      <c r="K291" s="67">
        <f>SUM(INDEX(ExtComp['# to Replace],1):ExtComp[[#This Row],['# to Replace]])</f>
        <v>0</v>
      </c>
      <c r="L291" s="67">
        <f>ROUNDDOWN(ExtComp[[#This Row],[Count]]/50,0)+$L$1</f>
        <v>2020</v>
      </c>
      <c r="M291" s="81">
        <f t="shared" ca="1" si="4"/>
        <v>0</v>
      </c>
      <c r="N291" s="81" t="str">
        <f>IFERROR(VLOOKUP(ExtComp[[#This Row],[DEVELOPMENT]],Data[],22,FALSE),"")</f>
        <v/>
      </c>
      <c r="O291" s="88" t="str">
        <f>IFERROR(VLOOKUP(ExtComp[[#This Row],[DEVELOPMENT]],Data[],23,FALSE),"")</f>
        <v/>
      </c>
    </row>
    <row r="292" spans="1:15" x14ac:dyDescent="0.25">
      <c r="A292" s="13" t="s">
        <v>71</v>
      </c>
      <c r="B292" s="1" t="str">
        <f>VLOOKUP(A292,Data[],2,FALSE)</f>
        <v>MANHATTAN</v>
      </c>
      <c r="C292" s="9" t="s">
        <v>68</v>
      </c>
      <c r="D292" s="9" t="str">
        <f>VLOOKUP(ExtComp[[#This Row],[DEVELOPMENT]],Data[],8,FALSE)</f>
        <v>Zone 3</v>
      </c>
      <c r="E292" s="9" t="str">
        <f>VLOOKUP(ExtComp[[#This Row],[DEVELOPMENT]],Data[],9,FALSE)</f>
        <v>$$</v>
      </c>
      <c r="F292" s="9">
        <f>IFERROR(VLOOKUP(ExtComp[[#This Row],[DEVELOPMENT]],Data[],4,FALSE),"")</f>
        <v>2020</v>
      </c>
      <c r="G292" s="9" t="str">
        <f>IF(ExtComp[[#This Row],[RAD/PACT]]="","",IF(ExtComp[[#This Row],[RAD/PACT]]&lt;=2025,"Yes",""))</f>
        <v>Yes</v>
      </c>
      <c r="H292" s="1" t="str">
        <f ca="1">IF(VLOOKUP(ExtComp[[#This Row],[DEVELOPMENT]],Data[],11,FALSE)=0,"",DATEDIF(VLOOKUP(ExtComp[[#This Row],[DEVELOPMENT]],Data[],13,FALSE),TODAY(),"Y"))</f>
        <v/>
      </c>
      <c r="I292" s="1">
        <f>IF(ExtComp[[#This Row],[RAD/PACT]]="",VLOOKUP(ExtComp[[#This Row],[DEVELOPMENT]],Data[],11,FALSE),IF(ExtComp[[#This Row],[RAD/PACT by 2025]]="yes",0,VLOOKUP(ExtComp[[#This Row],[DEVELOPMENT]],Data[],11,FALSE)))</f>
        <v>0</v>
      </c>
      <c r="J292" s="63">
        <f ca="1">(ExtComp[[#This Row],['# to Replace]]*'Unit Costs'!$B$6)*(1+((ExtComp[[#This Row],[est. Year]]-YEAR(TODAY()))*$J$2))</f>
        <v>0</v>
      </c>
      <c r="K292" s="1">
        <f>SUM(INDEX(ExtComp['# to Replace],1):ExtComp[[#This Row],['# to Replace]])</f>
        <v>0</v>
      </c>
      <c r="L292" s="1">
        <f>ROUNDDOWN(ExtComp[[#This Row],[Count]]/50,0)+$L$1</f>
        <v>2020</v>
      </c>
      <c r="M292" s="81">
        <f t="shared" ca="1" si="4"/>
        <v>0</v>
      </c>
      <c r="N292" s="81" t="str">
        <f>IFERROR(VLOOKUP(ExtComp[[#This Row],[DEVELOPMENT]],Data[],22,FALSE),"")</f>
        <v/>
      </c>
      <c r="O292" s="88" t="str">
        <f>IFERROR(VLOOKUP(ExtComp[[#This Row],[DEVELOPMENT]],Data[],23,FALSE),"")</f>
        <v/>
      </c>
    </row>
    <row r="293" spans="1:15" x14ac:dyDescent="0.25">
      <c r="A293" s="13" t="s">
        <v>181</v>
      </c>
      <c r="B293" s="9" t="str">
        <f>VLOOKUP(A293,Data[],2,FALSE)</f>
        <v>BROOKLYN</v>
      </c>
      <c r="C293" s="9" t="s">
        <v>68</v>
      </c>
      <c r="D293" s="66">
        <f>VLOOKUP(ExtComp[[#This Row],[DEVELOPMENT]],Data[],8,FALSE)</f>
        <v>0</v>
      </c>
      <c r="E293" s="66">
        <f>VLOOKUP(ExtComp[[#This Row],[DEVELOPMENT]],Data[],9,FALSE)</f>
        <v>0</v>
      </c>
      <c r="F293" s="66" t="str">
        <f>IFERROR(VLOOKUP(ExtComp[[#This Row],[DEVELOPMENT]],Data[],4,FALSE),"")</f>
        <v/>
      </c>
      <c r="G293" s="66" t="str">
        <f>IF(ExtComp[[#This Row],[RAD/PACT]]="","",IF(ExtComp[[#This Row],[RAD/PACT]]&lt;=2025,"Yes",""))</f>
        <v/>
      </c>
      <c r="H293" s="67" t="str">
        <f ca="1">IF(VLOOKUP(ExtComp[[#This Row],[DEVELOPMENT]],Data[],11,FALSE)=0,"",DATEDIF(VLOOKUP(ExtComp[[#This Row],[DEVELOPMENT]],Data[],13,FALSE),TODAY(),"Y"))</f>
        <v/>
      </c>
      <c r="I293" s="67">
        <f>IF(ExtComp[[#This Row],[RAD/PACT]]="",VLOOKUP(ExtComp[[#This Row],[DEVELOPMENT]],Data[],11,FALSE),IF(ExtComp[[#This Row],[RAD/PACT by 2025]]="yes",0,VLOOKUP(ExtComp[[#This Row],[DEVELOPMENT]],Data[],11,FALSE)))</f>
        <v>0</v>
      </c>
      <c r="J293" s="63">
        <f ca="1">(ExtComp[[#This Row],['# to Replace]]*'Unit Costs'!$B$6)*(1+((ExtComp[[#This Row],[est. Year]]-YEAR(TODAY()))*$J$2))</f>
        <v>0</v>
      </c>
      <c r="K293" s="67">
        <f>SUM(INDEX(ExtComp['# to Replace],1):ExtComp[[#This Row],['# to Replace]])</f>
        <v>0</v>
      </c>
      <c r="L293" s="67">
        <f>ROUNDDOWN(ExtComp[[#This Row],[Count]]/50,0)+$L$1</f>
        <v>2020</v>
      </c>
      <c r="M293" s="81">
        <f t="shared" ca="1" si="4"/>
        <v>0</v>
      </c>
      <c r="N293" s="81" t="str">
        <f>IFERROR(VLOOKUP(ExtComp[[#This Row],[DEVELOPMENT]],Data[],22,FALSE),"")</f>
        <v/>
      </c>
      <c r="O293" s="88" t="str">
        <f>IFERROR(VLOOKUP(ExtComp[[#This Row],[DEVELOPMENT]],Data[],23,FALSE),"")</f>
        <v/>
      </c>
    </row>
    <row r="294" spans="1:15" x14ac:dyDescent="0.25">
      <c r="A294" s="13" t="s">
        <v>180</v>
      </c>
      <c r="B294" s="9" t="str">
        <f>VLOOKUP(A294,Data[],2,FALSE)</f>
        <v>STATEN ISLAND</v>
      </c>
      <c r="C294" s="9" t="s">
        <v>68</v>
      </c>
      <c r="D294" s="66">
        <f>VLOOKUP(ExtComp[[#This Row],[DEVELOPMENT]],Data[],8,FALSE)</f>
        <v>0</v>
      </c>
      <c r="E294" s="66">
        <f>VLOOKUP(ExtComp[[#This Row],[DEVELOPMENT]],Data[],9,FALSE)</f>
        <v>0</v>
      </c>
      <c r="F294" s="66" t="str">
        <f>IFERROR(VLOOKUP(ExtComp[[#This Row],[DEVELOPMENT]],Data[],4,FALSE),"")</f>
        <v/>
      </c>
      <c r="G294" s="66" t="str">
        <f>IF(ExtComp[[#This Row],[RAD/PACT]]="","",IF(ExtComp[[#This Row],[RAD/PACT]]&lt;=2025,"Yes",""))</f>
        <v/>
      </c>
      <c r="H294" s="67" t="str">
        <f ca="1">IF(VLOOKUP(ExtComp[[#This Row],[DEVELOPMENT]],Data[],11,FALSE)=0,"",DATEDIF(VLOOKUP(ExtComp[[#This Row],[DEVELOPMENT]],Data[],13,FALSE),TODAY(),"Y"))</f>
        <v/>
      </c>
      <c r="I294" s="67">
        <f>IF(ExtComp[[#This Row],[RAD/PACT]]="",VLOOKUP(ExtComp[[#This Row],[DEVELOPMENT]],Data[],11,FALSE),IF(ExtComp[[#This Row],[RAD/PACT by 2025]]="yes",0,VLOOKUP(ExtComp[[#This Row],[DEVELOPMENT]],Data[],11,FALSE)))</f>
        <v>0</v>
      </c>
      <c r="J294" s="63">
        <f ca="1">(ExtComp[[#This Row],['# to Replace]]*'Unit Costs'!$B$6)*(1+((ExtComp[[#This Row],[est. Year]]-YEAR(TODAY()))*$J$2))</f>
        <v>0</v>
      </c>
      <c r="K294" s="67">
        <f>SUM(INDEX(ExtComp['# to Replace],1):ExtComp[[#This Row],['# to Replace]])</f>
        <v>0</v>
      </c>
      <c r="L294" s="67">
        <f>ROUNDDOWN(ExtComp[[#This Row],[Count]]/50,0)+$L$1</f>
        <v>2020</v>
      </c>
      <c r="M294" s="81">
        <f t="shared" ca="1" si="4"/>
        <v>0</v>
      </c>
      <c r="N294" s="81" t="str">
        <f>IFERROR(VLOOKUP(ExtComp[[#This Row],[DEVELOPMENT]],Data[],22,FALSE),"")</f>
        <v/>
      </c>
      <c r="O294" s="88" t="str">
        <f>IFERROR(VLOOKUP(ExtComp[[#This Row],[DEVELOPMENT]],Data[],23,FALSE),"")</f>
        <v/>
      </c>
    </row>
    <row r="295" spans="1:15" x14ac:dyDescent="0.25">
      <c r="A295" s="13" t="s">
        <v>179</v>
      </c>
      <c r="B295" s="9" t="str">
        <f>VLOOKUP(A295,Data[],2,FALSE)</f>
        <v>BROOKLYN</v>
      </c>
      <c r="C295" s="9" t="s">
        <v>68</v>
      </c>
      <c r="D295" s="66">
        <f>VLOOKUP(ExtComp[[#This Row],[DEVELOPMENT]],Data[],8,FALSE)</f>
        <v>0</v>
      </c>
      <c r="E295" s="66">
        <f>VLOOKUP(ExtComp[[#This Row],[DEVELOPMENT]],Data[],9,FALSE)</f>
        <v>0</v>
      </c>
      <c r="F295" s="66" t="str">
        <f>IFERROR(VLOOKUP(ExtComp[[#This Row],[DEVELOPMENT]],Data[],4,FALSE),"")</f>
        <v/>
      </c>
      <c r="G295" s="66" t="str">
        <f>IF(ExtComp[[#This Row],[RAD/PACT]]="","",IF(ExtComp[[#This Row],[RAD/PACT]]&lt;=2025,"Yes",""))</f>
        <v/>
      </c>
      <c r="H295" s="67" t="str">
        <f ca="1">IF(VLOOKUP(ExtComp[[#This Row],[DEVELOPMENT]],Data[],11,FALSE)=0,"",DATEDIF(VLOOKUP(ExtComp[[#This Row],[DEVELOPMENT]],Data[],13,FALSE),TODAY(),"Y"))</f>
        <v/>
      </c>
      <c r="I295" s="67">
        <f>IF(ExtComp[[#This Row],[RAD/PACT]]="",VLOOKUP(ExtComp[[#This Row],[DEVELOPMENT]],Data[],11,FALSE),IF(ExtComp[[#This Row],[RAD/PACT by 2025]]="yes",0,VLOOKUP(ExtComp[[#This Row],[DEVELOPMENT]],Data[],11,FALSE)))</f>
        <v>0</v>
      </c>
      <c r="J295" s="63">
        <f ca="1">(ExtComp[[#This Row],['# to Replace]]*'Unit Costs'!$B$6)*(1+((ExtComp[[#This Row],[est. Year]]-YEAR(TODAY()))*$J$2))</f>
        <v>0</v>
      </c>
      <c r="K295" s="67">
        <f>SUM(INDEX(ExtComp['# to Replace],1):ExtComp[[#This Row],['# to Replace]])</f>
        <v>0</v>
      </c>
      <c r="L295" s="67">
        <f>ROUNDDOWN(ExtComp[[#This Row],[Count]]/50,0)+$L$1</f>
        <v>2020</v>
      </c>
      <c r="M295" s="81">
        <f t="shared" ca="1" si="4"/>
        <v>0</v>
      </c>
      <c r="N295" s="81" t="str">
        <f>IFERROR(VLOOKUP(ExtComp[[#This Row],[DEVELOPMENT]],Data[],22,FALSE),"")</f>
        <v/>
      </c>
      <c r="O295" s="67" t="str">
        <f>IFERROR(VLOOKUP(ExtComp[[#This Row],[DEVELOPMENT]],Data[],23,FALSE),"")</f>
        <v/>
      </c>
    </row>
    <row r="296" spans="1:15" x14ac:dyDescent="0.25">
      <c r="A296" s="82" t="s">
        <v>142</v>
      </c>
      <c r="B296" s="1" t="str">
        <f>VLOOKUP(A296,Data[],2,FALSE)</f>
        <v>BROOKLYN</v>
      </c>
      <c r="C296" s="9" t="s">
        <v>68</v>
      </c>
      <c r="D296" s="9" t="str">
        <f>VLOOKUP(ExtComp[[#This Row],[DEVELOPMENT]],Data[],8,FALSE)</f>
        <v>Zone 1</v>
      </c>
      <c r="E296" s="9" t="str">
        <f>VLOOKUP(ExtComp[[#This Row],[DEVELOPMENT]],Data[],9,FALSE)</f>
        <v>$</v>
      </c>
      <c r="F296" s="9" t="str">
        <f>IFERROR(VLOOKUP(ExtComp[[#This Row],[DEVELOPMENT]],Data[],4,FALSE),"")</f>
        <v/>
      </c>
      <c r="G296" s="9" t="str">
        <f>IF(ExtComp[[#This Row],[RAD/PACT]]="","",IF(ExtComp[[#This Row],[RAD/PACT]]&lt;=2025,"Yes",""))</f>
        <v/>
      </c>
      <c r="H296" s="1" t="str">
        <f ca="1">IF(VLOOKUP(ExtComp[[#This Row],[DEVELOPMENT]],Data[],11,FALSE)=0,"",DATEDIF(VLOOKUP(ExtComp[[#This Row],[DEVELOPMENT]],Data[],13,FALSE),TODAY(),"Y"))</f>
        <v/>
      </c>
      <c r="I296" s="1">
        <f>IF(ExtComp[[#This Row],[RAD/PACT]]="",VLOOKUP(ExtComp[[#This Row],[DEVELOPMENT]],Data[],11,FALSE),IF(ExtComp[[#This Row],[RAD/PACT by 2025]]="yes",0,VLOOKUP(ExtComp[[#This Row],[DEVELOPMENT]],Data[],11,FALSE)))</f>
        <v>0</v>
      </c>
      <c r="J296" s="63">
        <f ca="1">(ExtComp[[#This Row],['# to Replace]]*'Unit Costs'!$B$6)*(1+((ExtComp[[#This Row],[est. Year]]-YEAR(TODAY()))*$J$2))</f>
        <v>0</v>
      </c>
      <c r="K296" s="1">
        <f>SUM(INDEX(ExtComp['# to Replace],1):ExtComp[[#This Row],['# to Replace]])</f>
        <v>0</v>
      </c>
      <c r="L296" s="1">
        <f>ROUNDDOWN(ExtComp[[#This Row],[Count]]/50,0)+$L$1</f>
        <v>2020</v>
      </c>
      <c r="M296" s="81">
        <f t="shared" ca="1" si="4"/>
        <v>0</v>
      </c>
      <c r="N296" s="81" t="str">
        <f>IFERROR(VLOOKUP(ExtComp[[#This Row],[DEVELOPMENT]],Data[],22,FALSE),"")</f>
        <v/>
      </c>
      <c r="O296" s="67" t="str">
        <f>IFERROR(VLOOKUP(ExtComp[[#This Row],[DEVELOPMENT]],Data[],23,FALSE),"")</f>
        <v/>
      </c>
    </row>
    <row r="297" spans="1:15" x14ac:dyDescent="0.25">
      <c r="A297" s="13" t="s">
        <v>178</v>
      </c>
      <c r="B297" s="9" t="str">
        <f>VLOOKUP(A297,Data[],2,FALSE)</f>
        <v>QUEENS</v>
      </c>
      <c r="C297" s="9" t="s">
        <v>68</v>
      </c>
      <c r="D297" s="66">
        <f>VLOOKUP(ExtComp[[#This Row],[DEVELOPMENT]],Data[],8,FALSE)</f>
        <v>0</v>
      </c>
      <c r="E297" s="66">
        <f>VLOOKUP(ExtComp[[#This Row],[DEVELOPMENT]],Data[],9,FALSE)</f>
        <v>0</v>
      </c>
      <c r="F297" s="66" t="str">
        <f>IFERROR(VLOOKUP(ExtComp[[#This Row],[DEVELOPMENT]],Data[],4,FALSE),"")</f>
        <v/>
      </c>
      <c r="G297" s="66" t="str">
        <f>IF(ExtComp[[#This Row],[RAD/PACT]]="","",IF(ExtComp[[#This Row],[RAD/PACT]]&lt;=2025,"Yes",""))</f>
        <v/>
      </c>
      <c r="H297" s="67" t="str">
        <f ca="1">IF(VLOOKUP(ExtComp[[#This Row],[DEVELOPMENT]],Data[],11,FALSE)=0,"",DATEDIF(VLOOKUP(ExtComp[[#This Row],[DEVELOPMENT]],Data[],13,FALSE),TODAY(),"Y"))</f>
        <v/>
      </c>
      <c r="I297" s="67">
        <f>IF(ExtComp[[#This Row],[RAD/PACT]]="",VLOOKUP(ExtComp[[#This Row],[DEVELOPMENT]],Data[],11,FALSE),IF(ExtComp[[#This Row],[RAD/PACT by 2025]]="yes",0,VLOOKUP(ExtComp[[#This Row],[DEVELOPMENT]],Data[],11,FALSE)))</f>
        <v>0</v>
      </c>
      <c r="J297" s="63">
        <f ca="1">(ExtComp[[#This Row],['# to Replace]]*'Unit Costs'!$B$6)*(1+((ExtComp[[#This Row],[est. Year]]-YEAR(TODAY()))*$J$2))</f>
        <v>0</v>
      </c>
      <c r="K297" s="67">
        <f>SUM(INDEX(ExtComp['# to Replace],1):ExtComp[[#This Row],['# to Replace]])</f>
        <v>0</v>
      </c>
      <c r="L297" s="67">
        <f>ROUNDDOWN(ExtComp[[#This Row],[Count]]/50,0)+$L$1</f>
        <v>2020</v>
      </c>
      <c r="M297" s="81">
        <f t="shared" ca="1" si="4"/>
        <v>0</v>
      </c>
      <c r="N297" s="81" t="str">
        <f>IFERROR(VLOOKUP(ExtComp[[#This Row],[DEVELOPMENT]],Data[],22,FALSE),"")</f>
        <v/>
      </c>
      <c r="O297" s="88" t="str">
        <f>IFERROR(VLOOKUP(ExtComp[[#This Row],[DEVELOPMENT]],Data[],23,FALSE),"")</f>
        <v/>
      </c>
    </row>
    <row r="298" spans="1:15" x14ac:dyDescent="0.25">
      <c r="A298" s="13" t="s">
        <v>177</v>
      </c>
      <c r="B298" s="9" t="str">
        <f>VLOOKUP(A298,Data[],2,FALSE)</f>
        <v>BROOKLYN</v>
      </c>
      <c r="C298" s="9" t="s">
        <v>68</v>
      </c>
      <c r="D298" s="66">
        <f>VLOOKUP(ExtComp[[#This Row],[DEVELOPMENT]],Data[],8,FALSE)</f>
        <v>0</v>
      </c>
      <c r="E298" s="66">
        <f>VLOOKUP(ExtComp[[#This Row],[DEVELOPMENT]],Data[],9,FALSE)</f>
        <v>0</v>
      </c>
      <c r="F298" s="66" t="str">
        <f>IFERROR(VLOOKUP(ExtComp[[#This Row],[DEVELOPMENT]],Data[],4,FALSE),"")</f>
        <v/>
      </c>
      <c r="G298" s="66" t="str">
        <f>IF(ExtComp[[#This Row],[RAD/PACT]]="","",IF(ExtComp[[#This Row],[RAD/PACT]]&lt;=2025,"Yes",""))</f>
        <v/>
      </c>
      <c r="H298" s="67" t="str">
        <f ca="1">IF(VLOOKUP(ExtComp[[#This Row],[DEVELOPMENT]],Data[],11,FALSE)=0,"",DATEDIF(VLOOKUP(ExtComp[[#This Row],[DEVELOPMENT]],Data[],13,FALSE),TODAY(),"Y"))</f>
        <v/>
      </c>
      <c r="I298" s="67">
        <f>IF(ExtComp[[#This Row],[RAD/PACT]]="",VLOOKUP(ExtComp[[#This Row],[DEVELOPMENT]],Data[],11,FALSE),IF(ExtComp[[#This Row],[RAD/PACT by 2025]]="yes",0,VLOOKUP(ExtComp[[#This Row],[DEVELOPMENT]],Data[],11,FALSE)))</f>
        <v>0</v>
      </c>
      <c r="J298" s="63">
        <f ca="1">(ExtComp[[#This Row],['# to Replace]]*'Unit Costs'!$B$6)*(1+((ExtComp[[#This Row],[est. Year]]-YEAR(TODAY()))*$J$2))</f>
        <v>0</v>
      </c>
      <c r="K298" s="67">
        <f>SUM(INDEX(ExtComp['# to Replace],1):ExtComp[[#This Row],['# to Replace]])</f>
        <v>0</v>
      </c>
      <c r="L298" s="67">
        <f>ROUNDDOWN(ExtComp[[#This Row],[Count]]/50,0)+$L$1</f>
        <v>2020</v>
      </c>
      <c r="M298" s="81">
        <f t="shared" ca="1" si="4"/>
        <v>0</v>
      </c>
      <c r="N298" s="81" t="str">
        <f>IFERROR(VLOOKUP(ExtComp[[#This Row],[DEVELOPMENT]],Data[],22,FALSE),"")</f>
        <v/>
      </c>
      <c r="O298" s="88" t="str">
        <f>IFERROR(VLOOKUP(ExtComp[[#This Row],[DEVELOPMENT]],Data[],23,FALSE),"")</f>
        <v/>
      </c>
    </row>
    <row r="299" spans="1:15" x14ac:dyDescent="0.25">
      <c r="A299" s="82" t="s">
        <v>48</v>
      </c>
      <c r="B299" s="1" t="str">
        <f>VLOOKUP(A299,Data[],2,FALSE)</f>
        <v>MANHATTAN</v>
      </c>
      <c r="C299" s="9" t="s">
        <v>68</v>
      </c>
      <c r="D299" s="9" t="str">
        <f>VLOOKUP(ExtComp[[#This Row],[DEVELOPMENT]],Data[],8,FALSE)</f>
        <v>Zone 1</v>
      </c>
      <c r="E299" s="9" t="str">
        <f>VLOOKUP(ExtComp[[#This Row],[DEVELOPMENT]],Data[],9,FALSE)</f>
        <v>$</v>
      </c>
      <c r="F299" s="9" t="str">
        <f>IFERROR(VLOOKUP(ExtComp[[#This Row],[DEVELOPMENT]],Data[],4,FALSE),"")</f>
        <v/>
      </c>
      <c r="G299" s="9" t="str">
        <f>IF(ExtComp[[#This Row],[RAD/PACT]]="","",IF(ExtComp[[#This Row],[RAD/PACT]]&lt;=2025,"Yes",""))</f>
        <v/>
      </c>
      <c r="H299" s="1" t="str">
        <f ca="1">IF(VLOOKUP(ExtComp[[#This Row],[DEVELOPMENT]],Data[],11,FALSE)=0,"",DATEDIF(VLOOKUP(ExtComp[[#This Row],[DEVELOPMENT]],Data[],13,FALSE),TODAY(),"Y"))</f>
        <v/>
      </c>
      <c r="I299" s="1">
        <f>IF(ExtComp[[#This Row],[RAD/PACT]]="",VLOOKUP(ExtComp[[#This Row],[DEVELOPMENT]],Data[],11,FALSE),IF(ExtComp[[#This Row],[RAD/PACT by 2025]]="yes",0,VLOOKUP(ExtComp[[#This Row],[DEVELOPMENT]],Data[],11,FALSE)))</f>
        <v>0</v>
      </c>
      <c r="J299" s="63">
        <f ca="1">(ExtComp[[#This Row],['# to Replace]]*'Unit Costs'!$B$6)*(1+((ExtComp[[#This Row],[est. Year]]-YEAR(TODAY()))*$J$2))</f>
        <v>0</v>
      </c>
      <c r="K299" s="1">
        <f>SUM(INDEX(ExtComp['# to Replace],1):ExtComp[[#This Row],['# to Replace]])</f>
        <v>0</v>
      </c>
      <c r="L299" s="1">
        <f>ROUNDDOWN(ExtComp[[#This Row],[Count]]/50,0)+$L$1</f>
        <v>2020</v>
      </c>
      <c r="M299" s="81">
        <f t="shared" ca="1" si="4"/>
        <v>0</v>
      </c>
      <c r="N299" s="81" t="str">
        <f>IFERROR(VLOOKUP(ExtComp[[#This Row],[DEVELOPMENT]],Data[],22,FALSE),"")</f>
        <v/>
      </c>
      <c r="O299" s="67" t="str">
        <f>IFERROR(VLOOKUP(ExtComp[[#This Row],[DEVELOPMENT]],Data[],23,FALSE),"")</f>
        <v/>
      </c>
    </row>
    <row r="300" spans="1:15" x14ac:dyDescent="0.25">
      <c r="A300" s="82" t="s">
        <v>58</v>
      </c>
      <c r="B300" s="1" t="str">
        <f>VLOOKUP(A300,Data[],2,FALSE)</f>
        <v>MANHATTAN</v>
      </c>
      <c r="C300" s="9" t="s">
        <v>68</v>
      </c>
      <c r="D300" s="9" t="str">
        <f>VLOOKUP(ExtComp[[#This Row],[DEVELOPMENT]],Data[],8,FALSE)</f>
        <v>Zone 1</v>
      </c>
      <c r="E300" s="9" t="str">
        <f>VLOOKUP(ExtComp[[#This Row],[DEVELOPMENT]],Data[],9,FALSE)</f>
        <v>$</v>
      </c>
      <c r="F300" s="9" t="str">
        <f>IFERROR(VLOOKUP(ExtComp[[#This Row],[DEVELOPMENT]],Data[],4,FALSE),"")</f>
        <v/>
      </c>
      <c r="G300" s="9" t="str">
        <f>IF(ExtComp[[#This Row],[RAD/PACT]]="","",IF(ExtComp[[#This Row],[RAD/PACT]]&lt;=2025,"Yes",""))</f>
        <v/>
      </c>
      <c r="H300" s="1" t="str">
        <f ca="1">IF(VLOOKUP(ExtComp[[#This Row],[DEVELOPMENT]],Data[],11,FALSE)=0,"",DATEDIF(VLOOKUP(ExtComp[[#This Row],[DEVELOPMENT]],Data[],13,FALSE),TODAY(),"Y"))</f>
        <v/>
      </c>
      <c r="I300" s="1">
        <f>IF(ExtComp[[#This Row],[RAD/PACT]]="",VLOOKUP(ExtComp[[#This Row],[DEVELOPMENT]],Data[],11,FALSE),IF(ExtComp[[#This Row],[RAD/PACT by 2025]]="yes",0,VLOOKUP(ExtComp[[#This Row],[DEVELOPMENT]],Data[],11,FALSE)))</f>
        <v>0</v>
      </c>
      <c r="J300" s="63">
        <f ca="1">(ExtComp[[#This Row],['# to Replace]]*'Unit Costs'!$B$6)*(1+((ExtComp[[#This Row],[est. Year]]-YEAR(TODAY()))*$J$2))</f>
        <v>0</v>
      </c>
      <c r="K300" s="1">
        <f>SUM(INDEX(ExtComp['# to Replace],1):ExtComp[[#This Row],['# to Replace]])</f>
        <v>0</v>
      </c>
      <c r="L300" s="1">
        <f>ROUNDDOWN(ExtComp[[#This Row],[Count]]/50,0)+$L$1</f>
        <v>2020</v>
      </c>
      <c r="M300" s="81">
        <f t="shared" ca="1" si="4"/>
        <v>0</v>
      </c>
      <c r="N300" s="81" t="str">
        <f>IFERROR(VLOOKUP(ExtComp[[#This Row],[DEVELOPMENT]],Data[],22,FALSE),"")</f>
        <v/>
      </c>
      <c r="O300" s="88" t="str">
        <f>IFERROR(VLOOKUP(ExtComp[[#This Row],[DEVELOPMENT]],Data[],23,FALSE),"")</f>
        <v/>
      </c>
    </row>
    <row r="301" spans="1:15" x14ac:dyDescent="0.25">
      <c r="A301" s="13" t="s">
        <v>176</v>
      </c>
      <c r="B301" s="9" t="str">
        <f>VLOOKUP(A301,Data[],2,FALSE)</f>
        <v>QUEENS</v>
      </c>
      <c r="C301" s="9" t="s">
        <v>68</v>
      </c>
      <c r="D301" s="66">
        <f>VLOOKUP(ExtComp[[#This Row],[DEVELOPMENT]],Data[],8,FALSE)</f>
        <v>0</v>
      </c>
      <c r="E301" s="66">
        <f>VLOOKUP(ExtComp[[#This Row],[DEVELOPMENT]],Data[],9,FALSE)</f>
        <v>0</v>
      </c>
      <c r="F301" s="66" t="str">
        <f>IFERROR(VLOOKUP(ExtComp[[#This Row],[DEVELOPMENT]],Data[],4,FALSE),"")</f>
        <v/>
      </c>
      <c r="G301" s="66" t="str">
        <f>IF(ExtComp[[#This Row],[RAD/PACT]]="","",IF(ExtComp[[#This Row],[RAD/PACT]]&lt;=2025,"Yes",""))</f>
        <v/>
      </c>
      <c r="H301" s="67" t="str">
        <f ca="1">IF(VLOOKUP(ExtComp[[#This Row],[DEVELOPMENT]],Data[],11,FALSE)=0,"",DATEDIF(VLOOKUP(ExtComp[[#This Row],[DEVELOPMENT]],Data[],13,FALSE),TODAY(),"Y"))</f>
        <v/>
      </c>
      <c r="I301" s="67">
        <f>IF(ExtComp[[#This Row],[RAD/PACT]]="",VLOOKUP(ExtComp[[#This Row],[DEVELOPMENT]],Data[],11,FALSE),IF(ExtComp[[#This Row],[RAD/PACT by 2025]]="yes",0,VLOOKUP(ExtComp[[#This Row],[DEVELOPMENT]],Data[],11,FALSE)))</f>
        <v>0</v>
      </c>
      <c r="J301" s="63">
        <f ca="1">(ExtComp[[#This Row],['# to Replace]]*'Unit Costs'!$B$6)*(1+((ExtComp[[#This Row],[est. Year]]-YEAR(TODAY()))*$J$2))</f>
        <v>0</v>
      </c>
      <c r="K301" s="67">
        <f>SUM(INDEX(ExtComp['# to Replace],1):ExtComp[[#This Row],['# to Replace]])</f>
        <v>0</v>
      </c>
      <c r="L301" s="67">
        <f>ROUNDDOWN(ExtComp[[#This Row],[Count]]/50,0)+$L$1</f>
        <v>2020</v>
      </c>
      <c r="M301" s="81">
        <f t="shared" ca="1" si="4"/>
        <v>0</v>
      </c>
      <c r="N301" s="81" t="str">
        <f>IFERROR(VLOOKUP(ExtComp[[#This Row],[DEVELOPMENT]],Data[],22,FALSE),"")</f>
        <v/>
      </c>
      <c r="O301" s="88" t="str">
        <f>IFERROR(VLOOKUP(ExtComp[[#This Row],[DEVELOPMENT]],Data[],23,FALSE),"")</f>
        <v/>
      </c>
    </row>
    <row r="302" spans="1:15" x14ac:dyDescent="0.25">
      <c r="A302" s="13" t="s">
        <v>175</v>
      </c>
      <c r="B302" s="9" t="str">
        <f>VLOOKUP(A302,Data[],2,FALSE)</f>
        <v>BRONX</v>
      </c>
      <c r="C302" s="9" t="s">
        <v>68</v>
      </c>
      <c r="D302" s="66">
        <f>VLOOKUP(ExtComp[[#This Row],[DEVELOPMENT]],Data[],8,FALSE)</f>
        <v>0</v>
      </c>
      <c r="E302" s="66">
        <f>VLOOKUP(ExtComp[[#This Row],[DEVELOPMENT]],Data[],9,FALSE)</f>
        <v>0</v>
      </c>
      <c r="F302" s="66" t="str">
        <f>IFERROR(VLOOKUP(ExtComp[[#This Row],[DEVELOPMENT]],Data[],4,FALSE),"")</f>
        <v/>
      </c>
      <c r="G302" s="66" t="str">
        <f>IF(ExtComp[[#This Row],[RAD/PACT]]="","",IF(ExtComp[[#This Row],[RAD/PACT]]&lt;=2025,"Yes",""))</f>
        <v/>
      </c>
      <c r="H302" s="67" t="str">
        <f ca="1">IF(VLOOKUP(ExtComp[[#This Row],[DEVELOPMENT]],Data[],11,FALSE)=0,"",DATEDIF(VLOOKUP(ExtComp[[#This Row],[DEVELOPMENT]],Data[],13,FALSE),TODAY(),"Y"))</f>
        <v/>
      </c>
      <c r="I302" s="67">
        <f>IF(ExtComp[[#This Row],[RAD/PACT]]="",VLOOKUP(ExtComp[[#This Row],[DEVELOPMENT]],Data[],11,FALSE),IF(ExtComp[[#This Row],[RAD/PACT by 2025]]="yes",0,VLOOKUP(ExtComp[[#This Row],[DEVELOPMENT]],Data[],11,FALSE)))</f>
        <v>0</v>
      </c>
      <c r="J302" s="63">
        <f ca="1">(ExtComp[[#This Row],['# to Replace]]*'Unit Costs'!$B$6)*(1+((ExtComp[[#This Row],[est. Year]]-YEAR(TODAY()))*$J$2))</f>
        <v>0</v>
      </c>
      <c r="K302" s="67">
        <f>SUM(INDEX(ExtComp['# to Replace],1):ExtComp[[#This Row],['# to Replace]])</f>
        <v>0</v>
      </c>
      <c r="L302" s="67">
        <f>ROUNDDOWN(ExtComp[[#This Row],[Count]]/50,0)+$L$1</f>
        <v>2020</v>
      </c>
      <c r="M302" s="81">
        <f t="shared" ca="1" si="4"/>
        <v>0</v>
      </c>
      <c r="N302" s="81" t="str">
        <f>IFERROR(VLOOKUP(ExtComp[[#This Row],[DEVELOPMENT]],Data[],22,FALSE),"")</f>
        <v/>
      </c>
      <c r="O302" s="88" t="str">
        <f>IFERROR(VLOOKUP(ExtComp[[#This Row],[DEVELOPMENT]],Data[],23,FALSE),"")</f>
        <v/>
      </c>
    </row>
    <row r="303" spans="1:15" x14ac:dyDescent="0.25">
      <c r="A303" s="13" t="s">
        <v>70</v>
      </c>
      <c r="B303" s="1" t="str">
        <f>VLOOKUP(A303,Data[],2,FALSE)</f>
        <v>MANHATTAN</v>
      </c>
      <c r="C303" s="9" t="s">
        <v>68</v>
      </c>
      <c r="D303" s="9" t="str">
        <f>VLOOKUP(ExtComp[[#This Row],[DEVELOPMENT]],Data[],8,FALSE)</f>
        <v>Zone 3</v>
      </c>
      <c r="E303" s="9" t="str">
        <f>VLOOKUP(ExtComp[[#This Row],[DEVELOPMENT]],Data[],9,FALSE)</f>
        <v>$$$$</v>
      </c>
      <c r="F303" s="9">
        <f>IFERROR(VLOOKUP(ExtComp[[#This Row],[DEVELOPMENT]],Data[],4,FALSE),"")</f>
        <v>2020</v>
      </c>
      <c r="G303" s="9" t="str">
        <f>IF(ExtComp[[#This Row],[RAD/PACT]]="","",IF(ExtComp[[#This Row],[RAD/PACT]]&lt;=2025,"Yes",""))</f>
        <v>Yes</v>
      </c>
      <c r="H303" s="1" t="str">
        <f ca="1">IF(VLOOKUP(ExtComp[[#This Row],[DEVELOPMENT]],Data[],11,FALSE)=0,"",DATEDIF(VLOOKUP(ExtComp[[#This Row],[DEVELOPMENT]],Data[],13,FALSE),TODAY(),"Y"))</f>
        <v/>
      </c>
      <c r="I303" s="1">
        <f>IF(ExtComp[[#This Row],[RAD/PACT]]="",VLOOKUP(ExtComp[[#This Row],[DEVELOPMENT]],Data[],11,FALSE),IF(ExtComp[[#This Row],[RAD/PACT by 2025]]="yes",0,VLOOKUP(ExtComp[[#This Row],[DEVELOPMENT]],Data[],11,FALSE)))</f>
        <v>0</v>
      </c>
      <c r="J303" s="63">
        <f ca="1">(ExtComp[[#This Row],['# to Replace]]*'Unit Costs'!$B$6)*(1+((ExtComp[[#This Row],[est. Year]]-YEAR(TODAY()))*$J$2))</f>
        <v>0</v>
      </c>
      <c r="K303" s="1">
        <f>SUM(INDEX(ExtComp['# to Replace],1):ExtComp[[#This Row],['# to Replace]])</f>
        <v>0</v>
      </c>
      <c r="L303" s="1">
        <f>ROUNDDOWN(ExtComp[[#This Row],[Count]]/50,0)+$L$1</f>
        <v>2020</v>
      </c>
      <c r="M303" s="81">
        <f t="shared" ca="1" si="4"/>
        <v>0</v>
      </c>
      <c r="N303" s="81" t="str">
        <f>IFERROR(VLOOKUP(ExtComp[[#This Row],[DEVELOPMENT]],Data[],22,FALSE),"")</f>
        <v/>
      </c>
      <c r="O303" s="88" t="str">
        <f>IFERROR(VLOOKUP(ExtComp[[#This Row],[DEVELOPMENT]],Data[],23,FALSE),"")</f>
        <v/>
      </c>
    </row>
    <row r="304" spans="1:15" x14ac:dyDescent="0.25">
      <c r="A304" s="13" t="s">
        <v>174</v>
      </c>
      <c r="B304" s="9" t="str">
        <f>VLOOKUP(A304,Data[],2,FALSE)</f>
        <v>BROOKLYN</v>
      </c>
      <c r="C304" s="9" t="s">
        <v>68</v>
      </c>
      <c r="D304" s="66">
        <f>VLOOKUP(ExtComp[[#This Row],[DEVELOPMENT]],Data[],8,FALSE)</f>
        <v>0</v>
      </c>
      <c r="E304" s="66">
        <f>VLOOKUP(ExtComp[[#This Row],[DEVELOPMENT]],Data[],9,FALSE)</f>
        <v>0</v>
      </c>
      <c r="F304" s="66" t="str">
        <f>IFERROR(VLOOKUP(ExtComp[[#This Row],[DEVELOPMENT]],Data[],4,FALSE),"")</f>
        <v/>
      </c>
      <c r="G304" s="66" t="str">
        <f>IF(ExtComp[[#This Row],[RAD/PACT]]="","",IF(ExtComp[[#This Row],[RAD/PACT]]&lt;=2025,"Yes",""))</f>
        <v/>
      </c>
      <c r="H304" s="67" t="str">
        <f ca="1">IF(VLOOKUP(ExtComp[[#This Row],[DEVELOPMENT]],Data[],11,FALSE)=0,"",DATEDIF(VLOOKUP(ExtComp[[#This Row],[DEVELOPMENT]],Data[],13,FALSE),TODAY(),"Y"))</f>
        <v/>
      </c>
      <c r="I304" s="67">
        <f>IF(ExtComp[[#This Row],[RAD/PACT]]="",VLOOKUP(ExtComp[[#This Row],[DEVELOPMENT]],Data[],11,FALSE),IF(ExtComp[[#This Row],[RAD/PACT by 2025]]="yes",0,VLOOKUP(ExtComp[[#This Row],[DEVELOPMENT]],Data[],11,FALSE)))</f>
        <v>0</v>
      </c>
      <c r="J304" s="63">
        <f ca="1">(ExtComp[[#This Row],['# to Replace]]*'Unit Costs'!$B$6)*(1+((ExtComp[[#This Row],[est. Year]]-YEAR(TODAY()))*$J$2))</f>
        <v>0</v>
      </c>
      <c r="K304" s="67">
        <f>SUM(INDEX(ExtComp['# to Replace],1):ExtComp[[#This Row],['# to Replace]])</f>
        <v>0</v>
      </c>
      <c r="L304" s="67">
        <f>ROUNDDOWN(ExtComp[[#This Row],[Count]]/50,0)+$L$1</f>
        <v>2020</v>
      </c>
      <c r="M304" s="81">
        <f t="shared" ca="1" si="4"/>
        <v>0</v>
      </c>
      <c r="N304" s="81" t="str">
        <f>IFERROR(VLOOKUP(ExtComp[[#This Row],[DEVELOPMENT]],Data[],22,FALSE),"")</f>
        <v/>
      </c>
      <c r="O304" s="88" t="str">
        <f>IFERROR(VLOOKUP(ExtComp[[#This Row],[DEVELOPMENT]],Data[],23,FALSE),"")</f>
        <v/>
      </c>
    </row>
    <row r="305" spans="1:15" x14ac:dyDescent="0.25">
      <c r="A305" s="13" t="s">
        <v>173</v>
      </c>
      <c r="B305" s="9" t="str">
        <f>VLOOKUP(A305,Data[],2,FALSE)</f>
        <v>QUEENS</v>
      </c>
      <c r="C305" s="9"/>
      <c r="D305" s="66">
        <f>VLOOKUP(ExtComp[[#This Row],[DEVELOPMENT]],Data[],8,FALSE)</f>
        <v>0</v>
      </c>
      <c r="E305" s="66">
        <f>VLOOKUP(ExtComp[[#This Row],[DEVELOPMENT]],Data[],9,FALSE)</f>
        <v>0</v>
      </c>
      <c r="F305" s="66">
        <f>IFERROR(VLOOKUP(ExtComp[[#This Row],[DEVELOPMENT]],Data[],4,FALSE),"")</f>
        <v>2024</v>
      </c>
      <c r="G305" s="66" t="str">
        <f>IF(ExtComp[[#This Row],[RAD/PACT]]="","",IF(ExtComp[[#This Row],[RAD/PACT]]&lt;=2025,"Yes",""))</f>
        <v>Yes</v>
      </c>
      <c r="H305" s="67" t="str">
        <f ca="1">IF(VLOOKUP(ExtComp[[#This Row],[DEVELOPMENT]],Data[],11,FALSE)=0,"",DATEDIF(VLOOKUP(ExtComp[[#This Row],[DEVELOPMENT]],Data[],13,FALSE),TODAY(),"Y"))</f>
        <v/>
      </c>
      <c r="I305" s="67">
        <f>IF(ExtComp[[#This Row],[RAD/PACT]]="",VLOOKUP(ExtComp[[#This Row],[DEVELOPMENT]],Data[],11,FALSE),IF(ExtComp[[#This Row],[RAD/PACT by 2025]]="yes",0,VLOOKUP(ExtComp[[#This Row],[DEVELOPMENT]],Data[],11,FALSE)))</f>
        <v>0</v>
      </c>
      <c r="J305" s="63">
        <f ca="1">(ExtComp[[#This Row],['# to Replace]]*'Unit Costs'!$B$6)*(1+((ExtComp[[#This Row],[est. Year]]-YEAR(TODAY()))*$J$2))</f>
        <v>0</v>
      </c>
      <c r="K305" s="67">
        <f>SUM(INDEX(ExtComp['# to Replace],1):ExtComp[[#This Row],['# to Replace]])</f>
        <v>0</v>
      </c>
      <c r="L305" s="67">
        <f>ROUNDDOWN(ExtComp[[#This Row],[Count]]/50,0)+$L$1</f>
        <v>2020</v>
      </c>
      <c r="M305" s="81">
        <f t="shared" ca="1" si="4"/>
        <v>0</v>
      </c>
      <c r="N305" s="81" t="str">
        <f>IFERROR(VLOOKUP(ExtComp[[#This Row],[DEVELOPMENT]],Data[],22,FALSE),"")</f>
        <v/>
      </c>
      <c r="O305" s="88" t="str">
        <f>IFERROR(VLOOKUP(ExtComp[[#This Row],[DEVELOPMENT]],Data[],23,FALSE),"")</f>
        <v/>
      </c>
    </row>
    <row r="306" spans="1:15" x14ac:dyDescent="0.25">
      <c r="A306" s="13" t="s">
        <v>172</v>
      </c>
      <c r="B306" s="1" t="str">
        <f>VLOOKUP(A306,Data[],2,FALSE)</f>
        <v>BROOKLYN</v>
      </c>
      <c r="C306" s="9" t="s">
        <v>68</v>
      </c>
      <c r="D306" s="66" t="str">
        <f>VLOOKUP(ExtComp[[#This Row],[DEVELOPMENT]],Data[],8,FALSE)</f>
        <v>Zone 1</v>
      </c>
      <c r="E306" s="9" t="str">
        <f>VLOOKUP(ExtComp[[#This Row],[DEVELOPMENT]],Data[],9,FALSE)</f>
        <v>$</v>
      </c>
      <c r="F306" s="66" t="str">
        <f>IFERROR(VLOOKUP(ExtComp[[#This Row],[DEVELOPMENT]],Data[],4,FALSE),"")</f>
        <v/>
      </c>
      <c r="G306" s="66" t="str">
        <f>IF(ExtComp[[#This Row],[RAD/PACT]]="","",IF(ExtComp[[#This Row],[RAD/PACT]]&lt;=2025,"Yes",""))</f>
        <v/>
      </c>
      <c r="H306" s="67" t="str">
        <f ca="1">IF(VLOOKUP(ExtComp[[#This Row],[DEVELOPMENT]],Data[],11,FALSE)=0,"",DATEDIF(VLOOKUP(ExtComp[[#This Row],[DEVELOPMENT]],Data[],13,FALSE),TODAY(),"Y"))</f>
        <v/>
      </c>
      <c r="I306" s="67">
        <f>IF(ExtComp[[#This Row],[RAD/PACT]]="",VLOOKUP(ExtComp[[#This Row],[DEVELOPMENT]],Data[],11,FALSE),IF(ExtComp[[#This Row],[RAD/PACT by 2025]]="yes",0,VLOOKUP(ExtComp[[#This Row],[DEVELOPMENT]],Data[],11,FALSE)))</f>
        <v>0</v>
      </c>
      <c r="J306" s="63">
        <f ca="1">(ExtComp[[#This Row],['# to Replace]]*'Unit Costs'!$B$6)*(1+((ExtComp[[#This Row],[est. Year]]-YEAR(TODAY()))*$J$2))</f>
        <v>0</v>
      </c>
      <c r="K306" s="67">
        <f>SUM(INDEX(ExtComp['# to Replace],1):ExtComp[[#This Row],['# to Replace]])</f>
        <v>0</v>
      </c>
      <c r="L306" s="67">
        <f>ROUNDDOWN(ExtComp[[#This Row],[Count]]/50,0)+$L$1</f>
        <v>2020</v>
      </c>
      <c r="M306" s="81">
        <f t="shared" ca="1" si="4"/>
        <v>0</v>
      </c>
      <c r="N306" s="81" t="str">
        <f>IFERROR(VLOOKUP(ExtComp[[#This Row],[DEVELOPMENT]],Data[],22,FALSE),"")</f>
        <v/>
      </c>
      <c r="O306" s="67" t="str">
        <f>IFERROR(VLOOKUP(ExtComp[[#This Row],[DEVELOPMENT]],Data[],23,FALSE),"")</f>
        <v/>
      </c>
    </row>
    <row r="307" spans="1:15" x14ac:dyDescent="0.25">
      <c r="A307" s="13" t="s">
        <v>171</v>
      </c>
      <c r="B307" s="1" t="str">
        <f>VLOOKUP(A307,Data[],2,FALSE)</f>
        <v>BROOKLYN</v>
      </c>
      <c r="C307" s="9" t="s">
        <v>68</v>
      </c>
      <c r="D307" s="66" t="str">
        <f>VLOOKUP(ExtComp[[#This Row],[DEVELOPMENT]],Data[],8,FALSE)</f>
        <v>Zone 1</v>
      </c>
      <c r="E307" s="9" t="str">
        <f>VLOOKUP(ExtComp[[#This Row],[DEVELOPMENT]],Data[],9,FALSE)</f>
        <v>$</v>
      </c>
      <c r="F307" s="66" t="str">
        <f>IFERROR(VLOOKUP(ExtComp[[#This Row],[DEVELOPMENT]],Data[],4,FALSE),"")</f>
        <v/>
      </c>
      <c r="G307" s="66" t="str">
        <f>IF(ExtComp[[#This Row],[RAD/PACT]]="","",IF(ExtComp[[#This Row],[RAD/PACT]]&lt;=2025,"Yes",""))</f>
        <v/>
      </c>
      <c r="H307" s="67" t="str">
        <f ca="1">IF(VLOOKUP(ExtComp[[#This Row],[DEVELOPMENT]],Data[],11,FALSE)=0,"",DATEDIF(VLOOKUP(ExtComp[[#This Row],[DEVELOPMENT]],Data[],13,FALSE),TODAY(),"Y"))</f>
        <v/>
      </c>
      <c r="I307" s="67">
        <f>IF(ExtComp[[#This Row],[RAD/PACT]]="",VLOOKUP(ExtComp[[#This Row],[DEVELOPMENT]],Data[],11,FALSE),IF(ExtComp[[#This Row],[RAD/PACT by 2025]]="yes",0,VLOOKUP(ExtComp[[#This Row],[DEVELOPMENT]],Data[],11,FALSE)))</f>
        <v>0</v>
      </c>
      <c r="J307" s="63">
        <f ca="1">(ExtComp[[#This Row],['# to Replace]]*'Unit Costs'!$B$6)*(1+((ExtComp[[#This Row],[est. Year]]-YEAR(TODAY()))*$J$2))</f>
        <v>0</v>
      </c>
      <c r="K307" s="67">
        <f>SUM(INDEX(ExtComp['# to Replace],1):ExtComp[[#This Row],['# to Replace]])</f>
        <v>0</v>
      </c>
      <c r="L307" s="67">
        <f>ROUNDDOWN(ExtComp[[#This Row],[Count]]/50,0)+$L$1</f>
        <v>2020</v>
      </c>
      <c r="M307" s="81">
        <f t="shared" ca="1" si="4"/>
        <v>0</v>
      </c>
      <c r="N307" s="81" t="str">
        <f>IFERROR(VLOOKUP(ExtComp[[#This Row],[DEVELOPMENT]],Data[],22,FALSE),"")</f>
        <v/>
      </c>
      <c r="O307" s="67" t="str">
        <f>IFERROR(VLOOKUP(ExtComp[[#This Row],[DEVELOPMENT]],Data[],23,FALSE),"")</f>
        <v/>
      </c>
    </row>
    <row r="308" spans="1:15" x14ac:dyDescent="0.25">
      <c r="A308" s="13" t="s">
        <v>170</v>
      </c>
      <c r="B308" s="9" t="str">
        <f>VLOOKUP(A308,Data[],2,FALSE)</f>
        <v>MANHATTAN</v>
      </c>
      <c r="C308" s="9" t="s">
        <v>68</v>
      </c>
      <c r="D308" s="66">
        <f>VLOOKUP(ExtComp[[#This Row],[DEVELOPMENT]],Data[],8,FALSE)</f>
        <v>0</v>
      </c>
      <c r="E308" s="66">
        <f>VLOOKUP(ExtComp[[#This Row],[DEVELOPMENT]],Data[],9,FALSE)</f>
        <v>0</v>
      </c>
      <c r="F308" s="66" t="str">
        <f>IFERROR(VLOOKUP(ExtComp[[#This Row],[DEVELOPMENT]],Data[],4,FALSE),"")</f>
        <v/>
      </c>
      <c r="G308" s="66" t="str">
        <f>IF(ExtComp[[#This Row],[RAD/PACT]]="","",IF(ExtComp[[#This Row],[RAD/PACT]]&lt;=2025,"Yes",""))</f>
        <v/>
      </c>
      <c r="H308" s="67" t="str">
        <f ca="1">IF(VLOOKUP(ExtComp[[#This Row],[DEVELOPMENT]],Data[],11,FALSE)=0,"",DATEDIF(VLOOKUP(ExtComp[[#This Row],[DEVELOPMENT]],Data[],13,FALSE),TODAY(),"Y"))</f>
        <v/>
      </c>
      <c r="I308" s="67">
        <f>IF(ExtComp[[#This Row],[RAD/PACT]]="",VLOOKUP(ExtComp[[#This Row],[DEVELOPMENT]],Data[],11,FALSE),IF(ExtComp[[#This Row],[RAD/PACT by 2025]]="yes",0,VLOOKUP(ExtComp[[#This Row],[DEVELOPMENT]],Data[],11,FALSE)))</f>
        <v>0</v>
      </c>
      <c r="J308" s="63">
        <f ca="1">(ExtComp[[#This Row],['# to Replace]]*'Unit Costs'!$B$6)*(1+((ExtComp[[#This Row],[est. Year]]-YEAR(TODAY()))*$J$2))</f>
        <v>0</v>
      </c>
      <c r="K308" s="67">
        <f>SUM(INDEX(ExtComp['# to Replace],1):ExtComp[[#This Row],['# to Replace]])</f>
        <v>0</v>
      </c>
      <c r="L308" s="67">
        <f>ROUNDDOWN(ExtComp[[#This Row],[Count]]/50,0)+$L$1</f>
        <v>2020</v>
      </c>
      <c r="M308" s="81">
        <f t="shared" ca="1" si="4"/>
        <v>0</v>
      </c>
      <c r="N308" s="81" t="str">
        <f>IFERROR(VLOOKUP(ExtComp[[#This Row],[DEVELOPMENT]],Data[],22,FALSE),"")</f>
        <v/>
      </c>
      <c r="O308" s="67" t="str">
        <f>IFERROR(VLOOKUP(ExtComp[[#This Row],[DEVELOPMENT]],Data[],23,FALSE),"")</f>
        <v/>
      </c>
    </row>
    <row r="309" spans="1:15" x14ac:dyDescent="0.25">
      <c r="A309" s="13" t="s">
        <v>169</v>
      </c>
      <c r="B309" s="9" t="str">
        <f>VLOOKUP(A309,Data[],2,FALSE)</f>
        <v>MANHATTAN</v>
      </c>
      <c r="C309" s="9" t="s">
        <v>68</v>
      </c>
      <c r="D309" s="66" t="str">
        <f>VLOOKUP(ExtComp[[#This Row],[DEVELOPMENT]],Data[],8,FALSE)</f>
        <v>Zone 4</v>
      </c>
      <c r="E309" s="66">
        <f>VLOOKUP(ExtComp[[#This Row],[DEVELOPMENT]],Data[],9,FALSE)</f>
        <v>0</v>
      </c>
      <c r="F309" s="66" t="str">
        <f>IFERROR(VLOOKUP(ExtComp[[#This Row],[DEVELOPMENT]],Data[],4,FALSE),"")</f>
        <v/>
      </c>
      <c r="G309" s="66" t="str">
        <f>IF(ExtComp[[#This Row],[RAD/PACT]]="","",IF(ExtComp[[#This Row],[RAD/PACT]]&lt;=2025,"Yes",""))</f>
        <v/>
      </c>
      <c r="H309" s="67" t="str">
        <f ca="1">IF(VLOOKUP(ExtComp[[#This Row],[DEVELOPMENT]],Data[],11,FALSE)=0,"",DATEDIF(VLOOKUP(ExtComp[[#This Row],[DEVELOPMENT]],Data[],13,FALSE),TODAY(),"Y"))</f>
        <v/>
      </c>
      <c r="I309" s="67">
        <f>IF(ExtComp[[#This Row],[RAD/PACT]]="",VLOOKUP(ExtComp[[#This Row],[DEVELOPMENT]],Data[],11,FALSE),IF(ExtComp[[#This Row],[RAD/PACT by 2025]]="yes",0,VLOOKUP(ExtComp[[#This Row],[DEVELOPMENT]],Data[],11,FALSE)))</f>
        <v>0</v>
      </c>
      <c r="J309" s="63">
        <f ca="1">(ExtComp[[#This Row],['# to Replace]]*'Unit Costs'!$B$6)*(1+((ExtComp[[#This Row],[est. Year]]-YEAR(TODAY()))*$J$2))</f>
        <v>0</v>
      </c>
      <c r="K309" s="67">
        <f>SUM(INDEX(ExtComp['# to Replace],1):ExtComp[[#This Row],['# to Replace]])</f>
        <v>0</v>
      </c>
      <c r="L309" s="67">
        <f>ROUNDDOWN(ExtComp[[#This Row],[Count]]/50,0)+$L$1</f>
        <v>2020</v>
      </c>
      <c r="M309" s="81">
        <f t="shared" ca="1" si="4"/>
        <v>0</v>
      </c>
      <c r="N309" s="81" t="str">
        <f>IFERROR(VLOOKUP(ExtComp[[#This Row],[DEVELOPMENT]],Data[],22,FALSE),"")</f>
        <v/>
      </c>
      <c r="O309" s="88" t="str">
        <f>IFERROR(VLOOKUP(ExtComp[[#This Row],[DEVELOPMENT]],Data[],23,FALSE),"")</f>
        <v/>
      </c>
    </row>
    <row r="310" spans="1:15" x14ac:dyDescent="0.25">
      <c r="A310" s="13" t="s">
        <v>168</v>
      </c>
      <c r="B310" s="9" t="str">
        <f>VLOOKUP(A310,Data[],2,FALSE)</f>
        <v>BROOKLYN</v>
      </c>
      <c r="C310" s="9" t="s">
        <v>68</v>
      </c>
      <c r="D310" s="66">
        <f>VLOOKUP(ExtComp[[#This Row],[DEVELOPMENT]],Data[],8,FALSE)</f>
        <v>0</v>
      </c>
      <c r="E310" s="66">
        <f>VLOOKUP(ExtComp[[#This Row],[DEVELOPMENT]],Data[],9,FALSE)</f>
        <v>0</v>
      </c>
      <c r="F310" s="66">
        <f>IFERROR(VLOOKUP(ExtComp[[#This Row],[DEVELOPMENT]],Data[],4,FALSE),"")</f>
        <v>2025</v>
      </c>
      <c r="G310" s="66" t="str">
        <f>IF(ExtComp[[#This Row],[RAD/PACT]]="","",IF(ExtComp[[#This Row],[RAD/PACT]]&lt;=2025,"Yes",""))</f>
        <v>Yes</v>
      </c>
      <c r="H310" s="67" t="str">
        <f ca="1">IF(VLOOKUP(ExtComp[[#This Row],[DEVELOPMENT]],Data[],11,FALSE)=0,"",DATEDIF(VLOOKUP(ExtComp[[#This Row],[DEVELOPMENT]],Data[],13,FALSE),TODAY(),"Y"))</f>
        <v/>
      </c>
      <c r="I310" s="67">
        <f>IF(ExtComp[[#This Row],[RAD/PACT]]="",VLOOKUP(ExtComp[[#This Row],[DEVELOPMENT]],Data[],11,FALSE),IF(ExtComp[[#This Row],[RAD/PACT by 2025]]="yes",0,VLOOKUP(ExtComp[[#This Row],[DEVELOPMENT]],Data[],11,FALSE)))</f>
        <v>0</v>
      </c>
      <c r="J310" s="63">
        <f ca="1">(ExtComp[[#This Row],['# to Replace]]*'Unit Costs'!$B$6)*(1+((ExtComp[[#This Row],[est. Year]]-YEAR(TODAY()))*$J$2))</f>
        <v>0</v>
      </c>
      <c r="K310" s="67">
        <f>SUM(INDEX(ExtComp['# to Replace],1):ExtComp[[#This Row],['# to Replace]])</f>
        <v>0</v>
      </c>
      <c r="L310" s="67">
        <f>ROUNDDOWN(ExtComp[[#This Row],[Count]]/50,0)+$L$1</f>
        <v>2020</v>
      </c>
      <c r="M310" s="81">
        <f t="shared" ca="1" si="4"/>
        <v>0</v>
      </c>
      <c r="N310" s="81" t="str">
        <f>IFERROR(VLOOKUP(ExtComp[[#This Row],[DEVELOPMENT]],Data[],22,FALSE),"")</f>
        <v/>
      </c>
      <c r="O310" s="67" t="str">
        <f>IFERROR(VLOOKUP(ExtComp[[#This Row],[DEVELOPMENT]],Data[],23,FALSE),"")</f>
        <v/>
      </c>
    </row>
    <row r="311" spans="1:15" x14ac:dyDescent="0.25">
      <c r="A311" s="13" t="s">
        <v>167</v>
      </c>
      <c r="B311" s="9" t="str">
        <f>VLOOKUP(A311,Data[],2,FALSE)</f>
        <v>BROOKLYN</v>
      </c>
      <c r="C311" s="9" t="s">
        <v>68</v>
      </c>
      <c r="D311" s="66">
        <f>VLOOKUP(ExtComp[[#This Row],[DEVELOPMENT]],Data[],8,FALSE)</f>
        <v>0</v>
      </c>
      <c r="E311" s="66">
        <f>VLOOKUP(ExtComp[[#This Row],[DEVELOPMENT]],Data[],9,FALSE)</f>
        <v>0</v>
      </c>
      <c r="F311" s="66">
        <f>IFERROR(VLOOKUP(ExtComp[[#This Row],[DEVELOPMENT]],Data[],4,FALSE),"")</f>
        <v>2025</v>
      </c>
      <c r="G311" s="66" t="str">
        <f>IF(ExtComp[[#This Row],[RAD/PACT]]="","",IF(ExtComp[[#This Row],[RAD/PACT]]&lt;=2025,"Yes",""))</f>
        <v>Yes</v>
      </c>
      <c r="H311" s="67" t="str">
        <f ca="1">IF(VLOOKUP(ExtComp[[#This Row],[DEVELOPMENT]],Data[],11,FALSE)=0,"",DATEDIF(VLOOKUP(ExtComp[[#This Row],[DEVELOPMENT]],Data[],13,FALSE),TODAY(),"Y"))</f>
        <v/>
      </c>
      <c r="I311" s="67">
        <f>IF(ExtComp[[#This Row],[RAD/PACT]]="",VLOOKUP(ExtComp[[#This Row],[DEVELOPMENT]],Data[],11,FALSE),IF(ExtComp[[#This Row],[RAD/PACT by 2025]]="yes",0,VLOOKUP(ExtComp[[#This Row],[DEVELOPMENT]],Data[],11,FALSE)))</f>
        <v>0</v>
      </c>
      <c r="J311" s="63">
        <f ca="1">(ExtComp[[#This Row],['# to Replace]]*'Unit Costs'!$B$6)*(1+((ExtComp[[#This Row],[est. Year]]-YEAR(TODAY()))*$J$2))</f>
        <v>0</v>
      </c>
      <c r="K311" s="67">
        <f>SUM(INDEX(ExtComp['# to Replace],1):ExtComp[[#This Row],['# to Replace]])</f>
        <v>0</v>
      </c>
      <c r="L311" s="67">
        <f>ROUNDDOWN(ExtComp[[#This Row],[Count]]/50,0)+$L$1</f>
        <v>2020</v>
      </c>
      <c r="M311" s="81">
        <f t="shared" ca="1" si="4"/>
        <v>0</v>
      </c>
      <c r="N311" s="81" t="str">
        <f>IFERROR(VLOOKUP(ExtComp[[#This Row],[DEVELOPMENT]],Data[],22,FALSE),"")</f>
        <v/>
      </c>
      <c r="O311" s="88" t="str">
        <f>IFERROR(VLOOKUP(ExtComp[[#This Row],[DEVELOPMENT]],Data[],23,FALSE),"")</f>
        <v/>
      </c>
    </row>
    <row r="312" spans="1:15" x14ac:dyDescent="0.25">
      <c r="A312" s="13" t="s">
        <v>166</v>
      </c>
      <c r="B312" s="9" t="str">
        <f>VLOOKUP(A312,Data[],2,FALSE)</f>
        <v>BRONX</v>
      </c>
      <c r="C312" s="9" t="s">
        <v>68</v>
      </c>
      <c r="D312" s="66">
        <f>VLOOKUP(ExtComp[[#This Row],[DEVELOPMENT]],Data[],8,FALSE)</f>
        <v>0</v>
      </c>
      <c r="E312" s="66">
        <f>VLOOKUP(ExtComp[[#This Row],[DEVELOPMENT]],Data[],9,FALSE)</f>
        <v>0</v>
      </c>
      <c r="F312" s="66" t="str">
        <f>IFERROR(VLOOKUP(ExtComp[[#This Row],[DEVELOPMENT]],Data[],4,FALSE),"")</f>
        <v/>
      </c>
      <c r="G312" s="66" t="str">
        <f>IF(ExtComp[[#This Row],[RAD/PACT]]="","",IF(ExtComp[[#This Row],[RAD/PACT]]&lt;=2025,"Yes",""))</f>
        <v/>
      </c>
      <c r="H312" s="67" t="str">
        <f ca="1">IF(VLOOKUP(ExtComp[[#This Row],[DEVELOPMENT]],Data[],11,FALSE)=0,"",DATEDIF(VLOOKUP(ExtComp[[#This Row],[DEVELOPMENT]],Data[],13,FALSE),TODAY(),"Y"))</f>
        <v/>
      </c>
      <c r="I312" s="67">
        <f>IF(ExtComp[[#This Row],[RAD/PACT]]="",VLOOKUP(ExtComp[[#This Row],[DEVELOPMENT]],Data[],11,FALSE),IF(ExtComp[[#This Row],[RAD/PACT by 2025]]="yes",0,VLOOKUP(ExtComp[[#This Row],[DEVELOPMENT]],Data[],11,FALSE)))</f>
        <v>0</v>
      </c>
      <c r="J312" s="63">
        <f ca="1">(ExtComp[[#This Row],['# to Replace]]*'Unit Costs'!$B$6)*(1+((ExtComp[[#This Row],[est. Year]]-YEAR(TODAY()))*$J$2))</f>
        <v>0</v>
      </c>
      <c r="K312" s="67">
        <f>SUM(INDEX(ExtComp['# to Replace],1):ExtComp[[#This Row],['# to Replace]])</f>
        <v>0</v>
      </c>
      <c r="L312" s="67">
        <f>ROUNDDOWN(ExtComp[[#This Row],[Count]]/50,0)+$L$1</f>
        <v>2020</v>
      </c>
      <c r="M312" s="81">
        <f t="shared" ca="1" si="4"/>
        <v>0</v>
      </c>
      <c r="N312" s="81" t="str">
        <f>IFERROR(VLOOKUP(ExtComp[[#This Row],[DEVELOPMENT]],Data[],22,FALSE),"")</f>
        <v/>
      </c>
      <c r="O312" s="88" t="str">
        <f>IFERROR(VLOOKUP(ExtComp[[#This Row],[DEVELOPMENT]],Data[],23,FALSE),"")</f>
        <v/>
      </c>
    </row>
    <row r="313" spans="1:15" x14ac:dyDescent="0.25">
      <c r="A313" s="13" t="s">
        <v>165</v>
      </c>
      <c r="B313" s="9" t="str">
        <f>VLOOKUP(A313,Data[],2,FALSE)</f>
        <v>MANHATTAN</v>
      </c>
      <c r="C313" s="9" t="s">
        <v>68</v>
      </c>
      <c r="D313" s="66">
        <f>VLOOKUP(ExtComp[[#This Row],[DEVELOPMENT]],Data[],8,FALSE)</f>
        <v>0</v>
      </c>
      <c r="E313" s="66">
        <f>VLOOKUP(ExtComp[[#This Row],[DEVELOPMENT]],Data[],9,FALSE)</f>
        <v>0</v>
      </c>
      <c r="F313" s="66" t="str">
        <f>IFERROR(VLOOKUP(ExtComp[[#This Row],[DEVELOPMENT]],Data[],4,FALSE),"")</f>
        <v/>
      </c>
      <c r="G313" s="66" t="str">
        <f>IF(ExtComp[[#This Row],[RAD/PACT]]="","",IF(ExtComp[[#This Row],[RAD/PACT]]&lt;=2025,"Yes",""))</f>
        <v/>
      </c>
      <c r="H313" s="67" t="str">
        <f ca="1">IF(VLOOKUP(ExtComp[[#This Row],[DEVELOPMENT]],Data[],11,FALSE)=0,"",DATEDIF(VLOOKUP(ExtComp[[#This Row],[DEVELOPMENT]],Data[],13,FALSE),TODAY(),"Y"))</f>
        <v/>
      </c>
      <c r="I313" s="67">
        <f>IF(ExtComp[[#This Row],[RAD/PACT]]="",VLOOKUP(ExtComp[[#This Row],[DEVELOPMENT]],Data[],11,FALSE),IF(ExtComp[[#This Row],[RAD/PACT by 2025]]="yes",0,VLOOKUP(ExtComp[[#This Row],[DEVELOPMENT]],Data[],11,FALSE)))</f>
        <v>0</v>
      </c>
      <c r="J313" s="63">
        <f ca="1">(ExtComp[[#This Row],['# to Replace]]*'Unit Costs'!$B$6)*(1+((ExtComp[[#This Row],[est. Year]]-YEAR(TODAY()))*$J$2))</f>
        <v>0</v>
      </c>
      <c r="K313" s="67">
        <f>SUM(INDEX(ExtComp['# to Replace],1):ExtComp[[#This Row],['# to Replace]])</f>
        <v>0</v>
      </c>
      <c r="L313" s="67">
        <f>ROUNDDOWN(ExtComp[[#This Row],[Count]]/50,0)+$L$1</f>
        <v>2020</v>
      </c>
      <c r="M313" s="81">
        <f t="shared" ca="1" si="4"/>
        <v>0</v>
      </c>
      <c r="N313" s="81" t="str">
        <f>IFERROR(VLOOKUP(ExtComp[[#This Row],[DEVELOPMENT]],Data[],22,FALSE),"")</f>
        <v/>
      </c>
      <c r="O313" s="67" t="str">
        <f>IFERROR(VLOOKUP(ExtComp[[#This Row],[DEVELOPMENT]],Data[],23,FALSE),"")</f>
        <v/>
      </c>
    </row>
    <row r="314" spans="1:15" x14ac:dyDescent="0.25">
      <c r="A314" s="13" t="s">
        <v>164</v>
      </c>
      <c r="B314" s="9" t="str">
        <f>VLOOKUP(A314,Data[],2,FALSE)</f>
        <v>BROOKLYN</v>
      </c>
      <c r="C314" s="9" t="s">
        <v>68</v>
      </c>
      <c r="D314" s="66">
        <f>VLOOKUP(ExtComp[[#This Row],[DEVELOPMENT]],Data[],8,FALSE)</f>
        <v>0</v>
      </c>
      <c r="E314" s="66">
        <f>VLOOKUP(ExtComp[[#This Row],[DEVELOPMENT]],Data[],9,FALSE)</f>
        <v>0</v>
      </c>
      <c r="F314" s="66" t="str">
        <f>IFERROR(VLOOKUP(ExtComp[[#This Row],[DEVELOPMENT]],Data[],4,FALSE),"")</f>
        <v/>
      </c>
      <c r="G314" s="66" t="str">
        <f>IF(ExtComp[[#This Row],[RAD/PACT]]="","",IF(ExtComp[[#This Row],[RAD/PACT]]&lt;=2025,"Yes",""))</f>
        <v/>
      </c>
      <c r="H314" s="67" t="str">
        <f ca="1">IF(VLOOKUP(ExtComp[[#This Row],[DEVELOPMENT]],Data[],11,FALSE)=0,"",DATEDIF(VLOOKUP(ExtComp[[#This Row],[DEVELOPMENT]],Data[],13,FALSE),TODAY(),"Y"))</f>
        <v/>
      </c>
      <c r="I314" s="67">
        <f>IF(ExtComp[[#This Row],[RAD/PACT]]="",VLOOKUP(ExtComp[[#This Row],[DEVELOPMENT]],Data[],11,FALSE),IF(ExtComp[[#This Row],[RAD/PACT by 2025]]="yes",0,VLOOKUP(ExtComp[[#This Row],[DEVELOPMENT]],Data[],11,FALSE)))</f>
        <v>0</v>
      </c>
      <c r="J314" s="63">
        <f ca="1">(ExtComp[[#This Row],['# to Replace]]*'Unit Costs'!$B$6)*(1+((ExtComp[[#This Row],[est. Year]]-YEAR(TODAY()))*$J$2))</f>
        <v>0</v>
      </c>
      <c r="K314" s="67">
        <f>SUM(INDEX(ExtComp['# to Replace],1):ExtComp[[#This Row],['# to Replace]])</f>
        <v>0</v>
      </c>
      <c r="L314" s="67">
        <f>ROUNDDOWN(ExtComp[[#This Row],[Count]]/50,0)+$L$1</f>
        <v>2020</v>
      </c>
      <c r="M314" s="81">
        <f t="shared" ca="1" si="4"/>
        <v>0</v>
      </c>
      <c r="N314" s="81" t="str">
        <f>IFERROR(VLOOKUP(ExtComp[[#This Row],[DEVELOPMENT]],Data[],22,FALSE),"")</f>
        <v/>
      </c>
      <c r="O314" s="67" t="str">
        <f>IFERROR(VLOOKUP(ExtComp[[#This Row],[DEVELOPMENT]],Data[],23,FALSE),"")</f>
        <v/>
      </c>
    </row>
    <row r="315" spans="1:15" x14ac:dyDescent="0.25">
      <c r="A315" s="83" t="s">
        <v>57</v>
      </c>
      <c r="B315" s="1" t="str">
        <f>VLOOKUP(A315,Data[],2,FALSE)</f>
        <v>MANHATTAN</v>
      </c>
      <c r="C315" s="9" t="s">
        <v>68</v>
      </c>
      <c r="D315" s="9" t="str">
        <f>VLOOKUP(ExtComp[[#This Row],[DEVELOPMENT]],Data[],8,FALSE)</f>
        <v>Zone 1</v>
      </c>
      <c r="E315" s="9" t="str">
        <f>VLOOKUP(ExtComp[[#This Row],[DEVELOPMENT]],Data[],9,FALSE)</f>
        <v>$$</v>
      </c>
      <c r="F315" s="9" t="str">
        <f>IFERROR(VLOOKUP(ExtComp[[#This Row],[DEVELOPMENT]],Data[],4,FALSE),"")</f>
        <v/>
      </c>
      <c r="G315" s="9" t="str">
        <f>IF(ExtComp[[#This Row],[RAD/PACT]]="","",IF(ExtComp[[#This Row],[RAD/PACT]]&lt;=2025,"Yes",""))</f>
        <v/>
      </c>
      <c r="H315" s="1" t="str">
        <f ca="1">IF(VLOOKUP(ExtComp[[#This Row],[DEVELOPMENT]],Data[],11,FALSE)=0,"",DATEDIF(VLOOKUP(ExtComp[[#This Row],[DEVELOPMENT]],Data[],13,FALSE),TODAY(),"Y"))</f>
        <v/>
      </c>
      <c r="I315" s="1">
        <f>IF(ExtComp[[#This Row],[RAD/PACT]]="",VLOOKUP(ExtComp[[#This Row],[DEVELOPMENT]],Data[],11,FALSE),IF(ExtComp[[#This Row],[RAD/PACT by 2025]]="yes",0,VLOOKUP(ExtComp[[#This Row],[DEVELOPMENT]],Data[],11,FALSE)))</f>
        <v>0</v>
      </c>
      <c r="J315" s="63">
        <f ca="1">(ExtComp[[#This Row],['# to Replace]]*'Unit Costs'!$B$6)*(1+((ExtComp[[#This Row],[est. Year]]-YEAR(TODAY()))*$J$2))</f>
        <v>0</v>
      </c>
      <c r="K315" s="1">
        <f>SUM(INDEX(ExtComp['# to Replace],1):ExtComp[[#This Row],['# to Replace]])</f>
        <v>0</v>
      </c>
      <c r="L315" s="1">
        <f>ROUNDDOWN(ExtComp[[#This Row],[Count]]/50,0)+$L$1</f>
        <v>2020</v>
      </c>
      <c r="M315" s="81">
        <f t="shared" ca="1" si="4"/>
        <v>0</v>
      </c>
      <c r="N315" s="81" t="str">
        <f>IFERROR(VLOOKUP(ExtComp[[#This Row],[DEVELOPMENT]],Data[],22,FALSE),"")</f>
        <v/>
      </c>
      <c r="O315" s="67" t="str">
        <f>IFERROR(VLOOKUP(ExtComp[[#This Row],[DEVELOPMENT]],Data[],23,FALSE),"")</f>
        <v/>
      </c>
    </row>
    <row r="316" spans="1:15" x14ac:dyDescent="0.25">
      <c r="A316" s="13" t="s">
        <v>163</v>
      </c>
      <c r="B316" s="9" t="str">
        <f>VLOOKUP(A316,Data[],2,FALSE)</f>
        <v>MANHATTAN</v>
      </c>
      <c r="C316" s="9" t="s">
        <v>68</v>
      </c>
      <c r="D316" s="66">
        <f>VLOOKUP(ExtComp[[#This Row],[DEVELOPMENT]],Data[],8,FALSE)</f>
        <v>0</v>
      </c>
      <c r="E316" s="66">
        <f>VLOOKUP(ExtComp[[#This Row],[DEVELOPMENT]],Data[],9,FALSE)</f>
        <v>0</v>
      </c>
      <c r="F316" s="66" t="str">
        <f>IFERROR(VLOOKUP(ExtComp[[#This Row],[DEVELOPMENT]],Data[],4,FALSE),"")</f>
        <v/>
      </c>
      <c r="G316" s="66" t="str">
        <f>IF(ExtComp[[#This Row],[RAD/PACT]]="","",IF(ExtComp[[#This Row],[RAD/PACT]]&lt;=2025,"Yes",""))</f>
        <v/>
      </c>
      <c r="H316" s="67" t="str">
        <f ca="1">IF(VLOOKUP(ExtComp[[#This Row],[DEVELOPMENT]],Data[],11,FALSE)=0,"",DATEDIF(VLOOKUP(ExtComp[[#This Row],[DEVELOPMENT]],Data[],13,FALSE),TODAY(),"Y"))</f>
        <v/>
      </c>
      <c r="I316" s="67">
        <f>IF(ExtComp[[#This Row],[RAD/PACT]]="",VLOOKUP(ExtComp[[#This Row],[DEVELOPMENT]],Data[],11,FALSE),IF(ExtComp[[#This Row],[RAD/PACT by 2025]]="yes",0,VLOOKUP(ExtComp[[#This Row],[DEVELOPMENT]],Data[],11,FALSE)))</f>
        <v>0</v>
      </c>
      <c r="J316" s="63">
        <f ca="1">(ExtComp[[#This Row],['# to Replace]]*'Unit Costs'!$B$6)*(1+((ExtComp[[#This Row],[est. Year]]-YEAR(TODAY()))*$J$2))</f>
        <v>0</v>
      </c>
      <c r="K316" s="67">
        <f>SUM(INDEX(ExtComp['# to Replace],1):ExtComp[[#This Row],['# to Replace]])</f>
        <v>0</v>
      </c>
      <c r="L316" s="67">
        <f>ROUNDDOWN(ExtComp[[#This Row],[Count]]/50,0)+$L$1</f>
        <v>2020</v>
      </c>
      <c r="M316" s="81">
        <f t="shared" ca="1" si="4"/>
        <v>0</v>
      </c>
      <c r="N316" s="81" t="str">
        <f>IFERROR(VLOOKUP(ExtComp[[#This Row],[DEVELOPMENT]],Data[],22,FALSE),"")</f>
        <v/>
      </c>
      <c r="O316" s="67" t="str">
        <f>IFERROR(VLOOKUP(ExtComp[[#This Row],[DEVELOPMENT]],Data[],23,FALSE),"")</f>
        <v/>
      </c>
    </row>
    <row r="317" spans="1:15" x14ac:dyDescent="0.25">
      <c r="A317" s="13" t="s">
        <v>69</v>
      </c>
      <c r="B317" s="1" t="str">
        <f>VLOOKUP(A317,Data[],2,FALSE)</f>
        <v>MANHATTAN</v>
      </c>
      <c r="C317" s="9" t="s">
        <v>68</v>
      </c>
      <c r="D317" s="9" t="str">
        <f>VLOOKUP(ExtComp[[#This Row],[DEVELOPMENT]],Data[],8,FALSE)</f>
        <v>Zone 3</v>
      </c>
      <c r="E317" s="9" t="str">
        <f>VLOOKUP(ExtComp[[#This Row],[DEVELOPMENT]],Data[],9,FALSE)</f>
        <v>$</v>
      </c>
      <c r="F317" s="9" t="str">
        <f>IFERROR(VLOOKUP(ExtComp[[#This Row],[DEVELOPMENT]],Data[],4,FALSE),"")</f>
        <v/>
      </c>
      <c r="G317" s="9" t="str">
        <f>IF(ExtComp[[#This Row],[RAD/PACT]]="","",IF(ExtComp[[#This Row],[RAD/PACT]]&lt;=2025,"Yes",""))</f>
        <v/>
      </c>
      <c r="H317" s="1" t="str">
        <f ca="1">IF(VLOOKUP(ExtComp[[#This Row],[DEVELOPMENT]],Data[],11,FALSE)=0,"",DATEDIF(VLOOKUP(ExtComp[[#This Row],[DEVELOPMENT]],Data[],13,FALSE),TODAY(),"Y"))</f>
        <v/>
      </c>
      <c r="I317" s="1">
        <f>IF(ExtComp[[#This Row],[RAD/PACT]]="",VLOOKUP(ExtComp[[#This Row],[DEVELOPMENT]],Data[],11,FALSE),IF(ExtComp[[#This Row],[RAD/PACT by 2025]]="yes",0,VLOOKUP(ExtComp[[#This Row],[DEVELOPMENT]],Data[],11,FALSE)))</f>
        <v>0</v>
      </c>
      <c r="J317" s="63">
        <f ca="1">(ExtComp[[#This Row],['# to Replace]]*'Unit Costs'!$B$6)*(1+((ExtComp[[#This Row],[est. Year]]-YEAR(TODAY()))*$J$2))</f>
        <v>0</v>
      </c>
      <c r="K317" s="1">
        <f>SUM(INDEX(ExtComp['# to Replace],1):ExtComp[[#This Row],['# to Replace]])</f>
        <v>0</v>
      </c>
      <c r="L317" s="1">
        <f>ROUNDDOWN(ExtComp[[#This Row],[Count]]/50,0)+$L$1</f>
        <v>2020</v>
      </c>
      <c r="M317" s="81">
        <f t="shared" ca="1" si="4"/>
        <v>0</v>
      </c>
      <c r="N317" s="81" t="str">
        <f>IFERROR(VLOOKUP(ExtComp[[#This Row],[DEVELOPMENT]],Data[],22,FALSE),"")</f>
        <v/>
      </c>
      <c r="O317" s="67" t="str">
        <f>IFERROR(VLOOKUP(ExtComp[[#This Row],[DEVELOPMENT]],Data[],23,FALSE),"")</f>
        <v/>
      </c>
    </row>
    <row r="318" spans="1:15" x14ac:dyDescent="0.25">
      <c r="A318" s="82" t="s">
        <v>118</v>
      </c>
      <c r="B318" s="1" t="str">
        <f>VLOOKUP(A318,Data[],2,FALSE)</f>
        <v>BROOKLYN</v>
      </c>
      <c r="C318" s="9" t="s">
        <v>68</v>
      </c>
      <c r="D318" s="9" t="str">
        <f>VLOOKUP(ExtComp[[#This Row],[DEVELOPMENT]],Data[],8,FALSE)</f>
        <v>Zone 1</v>
      </c>
      <c r="E318" s="9" t="str">
        <f>VLOOKUP(ExtComp[[#This Row],[DEVELOPMENT]],Data[],9,FALSE)</f>
        <v>$</v>
      </c>
      <c r="F318" s="9" t="str">
        <f>IFERROR(VLOOKUP(ExtComp[[#This Row],[DEVELOPMENT]],Data[],4,FALSE),"")</f>
        <v/>
      </c>
      <c r="G318" s="9" t="str">
        <f>IF(ExtComp[[#This Row],[RAD/PACT]]="","",IF(ExtComp[[#This Row],[RAD/PACT]]&lt;=2025,"Yes",""))</f>
        <v/>
      </c>
      <c r="H318" s="1" t="str">
        <f ca="1">IF(VLOOKUP(ExtComp[[#This Row],[DEVELOPMENT]],Data[],11,FALSE)=0,"",DATEDIF(VLOOKUP(ExtComp[[#This Row],[DEVELOPMENT]],Data[],13,FALSE),TODAY(),"Y"))</f>
        <v/>
      </c>
      <c r="I318" s="1">
        <f>IF(ExtComp[[#This Row],[RAD/PACT]]="",VLOOKUP(ExtComp[[#This Row],[DEVELOPMENT]],Data[],11,FALSE),IF(ExtComp[[#This Row],[RAD/PACT by 2025]]="yes",0,VLOOKUP(ExtComp[[#This Row],[DEVELOPMENT]],Data[],11,FALSE)))</f>
        <v>0</v>
      </c>
      <c r="J318" s="63">
        <f ca="1">(ExtComp[[#This Row],['# to Replace]]*'Unit Costs'!$B$6)*(1+((ExtComp[[#This Row],[est. Year]]-YEAR(TODAY()))*$J$2))</f>
        <v>0</v>
      </c>
      <c r="K318" s="1">
        <f>SUM(INDEX(ExtComp['# to Replace],1):ExtComp[[#This Row],['# to Replace]])</f>
        <v>0</v>
      </c>
      <c r="L318" s="1">
        <f>ROUNDDOWN(ExtComp[[#This Row],[Count]]/50,0)+$L$1</f>
        <v>2020</v>
      </c>
      <c r="M318" s="81">
        <f t="shared" ca="1" si="4"/>
        <v>0</v>
      </c>
      <c r="N318" s="81" t="str">
        <f>IFERROR(VLOOKUP(ExtComp[[#This Row],[DEVELOPMENT]],Data[],22,FALSE),"")</f>
        <v/>
      </c>
      <c r="O318" s="88" t="str">
        <f>IFERROR(VLOOKUP(ExtComp[[#This Row],[DEVELOPMENT]],Data[],23,FALSE),"")</f>
        <v/>
      </c>
    </row>
    <row r="319" spans="1:15" x14ac:dyDescent="0.25">
      <c r="A319" s="13" t="s">
        <v>162</v>
      </c>
      <c r="B319" s="9" t="str">
        <f>VLOOKUP(A319,Data[],2,FALSE)</f>
        <v>MANHATTAN</v>
      </c>
      <c r="C319" s="9" t="s">
        <v>68</v>
      </c>
      <c r="D319" s="66">
        <f>VLOOKUP(ExtComp[[#This Row],[DEVELOPMENT]],Data[],8,FALSE)</f>
        <v>0</v>
      </c>
      <c r="E319" s="66">
        <f>VLOOKUP(ExtComp[[#This Row],[DEVELOPMENT]],Data[],9,FALSE)</f>
        <v>0</v>
      </c>
      <c r="F319" s="66" t="str">
        <f>IFERROR(VLOOKUP(ExtComp[[#This Row],[DEVELOPMENT]],Data[],4,FALSE),"")</f>
        <v/>
      </c>
      <c r="G319" s="66" t="str">
        <f>IF(ExtComp[[#This Row],[RAD/PACT]]="","",IF(ExtComp[[#This Row],[RAD/PACT]]&lt;=2025,"Yes",""))</f>
        <v/>
      </c>
      <c r="H319" s="67" t="str">
        <f ca="1">IF(VLOOKUP(ExtComp[[#This Row],[DEVELOPMENT]],Data[],11,FALSE)=0,"",DATEDIF(VLOOKUP(ExtComp[[#This Row],[DEVELOPMENT]],Data[],13,FALSE),TODAY(),"Y"))</f>
        <v/>
      </c>
      <c r="I319" s="67">
        <f>IF(ExtComp[[#This Row],[RAD/PACT]]="",VLOOKUP(ExtComp[[#This Row],[DEVELOPMENT]],Data[],11,FALSE),IF(ExtComp[[#This Row],[RAD/PACT by 2025]]="yes",0,VLOOKUP(ExtComp[[#This Row],[DEVELOPMENT]],Data[],11,FALSE)))</f>
        <v>0</v>
      </c>
      <c r="J319" s="63">
        <f ca="1">(ExtComp[[#This Row],['# to Replace]]*'Unit Costs'!$B$6)*(1+((ExtComp[[#This Row],[est. Year]]-YEAR(TODAY()))*$J$2))</f>
        <v>0</v>
      </c>
      <c r="K319" s="67">
        <f>SUM(INDEX(ExtComp['# to Replace],1):ExtComp[[#This Row],['# to Replace]])</f>
        <v>0</v>
      </c>
      <c r="L319" s="67">
        <f>ROUNDDOWN(ExtComp[[#This Row],[Count]]/50,0)+$L$1</f>
        <v>2020</v>
      </c>
      <c r="M319" s="81">
        <f t="shared" ca="1" si="4"/>
        <v>0</v>
      </c>
      <c r="N319" s="81" t="str">
        <f>IFERROR(VLOOKUP(ExtComp[[#This Row],[DEVELOPMENT]],Data[],22,FALSE),"")</f>
        <v/>
      </c>
      <c r="O319" s="67" t="str">
        <f>IFERROR(VLOOKUP(ExtComp[[#This Row],[DEVELOPMENT]],Data[],23,FALSE),"")</f>
        <v/>
      </c>
    </row>
    <row r="320" spans="1:15" x14ac:dyDescent="0.25">
      <c r="A320" s="13" t="s">
        <v>161</v>
      </c>
      <c r="B320" s="9" t="str">
        <f>VLOOKUP(A320,Data[],2,FALSE)</f>
        <v>BRONX</v>
      </c>
      <c r="C320" s="9"/>
      <c r="D320" s="66">
        <f>VLOOKUP(ExtComp[[#This Row],[DEVELOPMENT]],Data[],8,FALSE)</f>
        <v>0</v>
      </c>
      <c r="E320" s="66">
        <f>VLOOKUP(ExtComp[[#This Row],[DEVELOPMENT]],Data[],9,FALSE)</f>
        <v>0</v>
      </c>
      <c r="F320" s="66">
        <f>IFERROR(VLOOKUP(ExtComp[[#This Row],[DEVELOPMENT]],Data[],4,FALSE),"")</f>
        <v>2021</v>
      </c>
      <c r="G320" s="66" t="str">
        <f>IF(ExtComp[[#This Row],[RAD/PACT]]="","",IF(ExtComp[[#This Row],[RAD/PACT]]&lt;=2025,"Yes",""))</f>
        <v>Yes</v>
      </c>
      <c r="H320" s="67" t="str">
        <f ca="1">IF(VLOOKUP(ExtComp[[#This Row],[DEVELOPMENT]],Data[],11,FALSE)=0,"",DATEDIF(VLOOKUP(ExtComp[[#This Row],[DEVELOPMENT]],Data[],13,FALSE),TODAY(),"Y"))</f>
        <v/>
      </c>
      <c r="I320" s="67">
        <f>IF(ExtComp[[#This Row],[RAD/PACT]]="",VLOOKUP(ExtComp[[#This Row],[DEVELOPMENT]],Data[],11,FALSE),IF(ExtComp[[#This Row],[RAD/PACT by 2025]]="yes",0,VLOOKUP(ExtComp[[#This Row],[DEVELOPMENT]],Data[],11,FALSE)))</f>
        <v>0</v>
      </c>
      <c r="J320" s="63">
        <f ca="1">(ExtComp[[#This Row],['# to Replace]]*'Unit Costs'!$B$6)*(1+((ExtComp[[#This Row],[est. Year]]-YEAR(TODAY()))*$J$2))</f>
        <v>0</v>
      </c>
      <c r="K320" s="67">
        <f>SUM(INDEX(ExtComp['# to Replace],1):ExtComp[[#This Row],['# to Replace]])</f>
        <v>0</v>
      </c>
      <c r="L320" s="67">
        <f>ROUNDDOWN(ExtComp[[#This Row],[Count]]/50,0)+$L$1</f>
        <v>2020</v>
      </c>
      <c r="M320" s="81">
        <f t="shared" ca="1" si="4"/>
        <v>0</v>
      </c>
      <c r="N320" s="81" t="str">
        <f>IFERROR(VLOOKUP(ExtComp[[#This Row],[DEVELOPMENT]],Data[],22,FALSE),"")</f>
        <v/>
      </c>
      <c r="O320" s="67" t="str">
        <f>IFERROR(VLOOKUP(ExtComp[[#This Row],[DEVELOPMENT]],Data[],23,FALSE),"")</f>
        <v/>
      </c>
    </row>
    <row r="321" spans="1:15" x14ac:dyDescent="0.25">
      <c r="A321" s="13" t="s">
        <v>67</v>
      </c>
      <c r="B321" s="1" t="str">
        <f>VLOOKUP(A321,Data[],2,FALSE)</f>
        <v>MANHATTAN</v>
      </c>
      <c r="C321" s="9" t="s">
        <v>68</v>
      </c>
      <c r="D321" s="9" t="str">
        <f>VLOOKUP(ExtComp[[#This Row],[DEVELOPMENT]],Data[],8,FALSE)</f>
        <v>Zone 2</v>
      </c>
      <c r="E321" s="9" t="str">
        <f>VLOOKUP(ExtComp[[#This Row],[DEVELOPMENT]],Data[],9,FALSE)</f>
        <v>$</v>
      </c>
      <c r="F321" s="9" t="str">
        <f>IFERROR(VLOOKUP(ExtComp[[#This Row],[DEVELOPMENT]],Data[],4,FALSE),"")</f>
        <v/>
      </c>
      <c r="G321" s="9" t="str">
        <f>IF(ExtComp[[#This Row],[RAD/PACT]]="","",IF(ExtComp[[#This Row],[RAD/PACT]]&lt;=2025,"Yes",""))</f>
        <v/>
      </c>
      <c r="H321" s="1" t="str">
        <f ca="1">IF(VLOOKUP(ExtComp[[#This Row],[DEVELOPMENT]],Data[],11,FALSE)=0,"",DATEDIF(VLOOKUP(ExtComp[[#This Row],[DEVELOPMENT]],Data[],13,FALSE),TODAY(),"Y"))</f>
        <v/>
      </c>
      <c r="I321" s="1">
        <f>IF(ExtComp[[#This Row],[RAD/PACT]]="",VLOOKUP(ExtComp[[#This Row],[DEVELOPMENT]],Data[],11,FALSE),IF(ExtComp[[#This Row],[RAD/PACT by 2025]]="yes",0,VLOOKUP(ExtComp[[#This Row],[DEVELOPMENT]],Data[],11,FALSE)))</f>
        <v>0</v>
      </c>
      <c r="J321" s="63">
        <f ca="1">(ExtComp[[#This Row],['# to Replace]]*'Unit Costs'!$B$6)*(1+((ExtComp[[#This Row],[est. Year]]-YEAR(TODAY()))*$J$2))</f>
        <v>0</v>
      </c>
      <c r="K321" s="1">
        <f>SUM(INDEX(ExtComp['# to Replace],1):ExtComp[[#This Row],['# to Replace]])</f>
        <v>0</v>
      </c>
      <c r="L321" s="1">
        <f>ROUNDDOWN(ExtComp[[#This Row],[Count]]/50,0)+$L$1</f>
        <v>2020</v>
      </c>
      <c r="M321" s="81">
        <f t="shared" ca="1" si="4"/>
        <v>0</v>
      </c>
      <c r="N321" s="81" t="str">
        <f>IFERROR(VLOOKUP(ExtComp[[#This Row],[DEVELOPMENT]],Data[],22,FALSE),"")</f>
        <v/>
      </c>
      <c r="O321" s="67" t="str">
        <f>IFERROR(VLOOKUP(ExtComp[[#This Row],[DEVELOPMENT]],Data[],23,FALSE),"")</f>
        <v/>
      </c>
    </row>
    <row r="322" spans="1:15" x14ac:dyDescent="0.25">
      <c r="A322" s="13" t="s">
        <v>160</v>
      </c>
      <c r="B322" s="9" t="str">
        <f>VLOOKUP(A322,Data[],2,FALSE)</f>
        <v>BRONX</v>
      </c>
      <c r="C322" s="9" t="s">
        <v>68</v>
      </c>
      <c r="D322" s="66">
        <f>VLOOKUP(ExtComp[[#This Row],[DEVELOPMENT]],Data[],8,FALSE)</f>
        <v>0</v>
      </c>
      <c r="E322" s="66">
        <f>VLOOKUP(ExtComp[[#This Row],[DEVELOPMENT]],Data[],9,FALSE)</f>
        <v>0</v>
      </c>
      <c r="F322" s="66">
        <f>IFERROR(VLOOKUP(ExtComp[[#This Row],[DEVELOPMENT]],Data[],4,FALSE),"")</f>
        <v>2025</v>
      </c>
      <c r="G322" s="66" t="str">
        <f>IF(ExtComp[[#This Row],[RAD/PACT]]="","",IF(ExtComp[[#This Row],[RAD/PACT]]&lt;=2025,"Yes",""))</f>
        <v>Yes</v>
      </c>
      <c r="H322" s="67" t="str">
        <f ca="1">IF(VLOOKUP(ExtComp[[#This Row],[DEVELOPMENT]],Data[],11,FALSE)=0,"",DATEDIF(VLOOKUP(ExtComp[[#This Row],[DEVELOPMENT]],Data[],13,FALSE),TODAY(),"Y"))</f>
        <v/>
      </c>
      <c r="I322" s="67">
        <f>IF(ExtComp[[#This Row],[RAD/PACT]]="",VLOOKUP(ExtComp[[#This Row],[DEVELOPMENT]],Data[],11,FALSE),IF(ExtComp[[#This Row],[RAD/PACT by 2025]]="yes",0,VLOOKUP(ExtComp[[#This Row],[DEVELOPMENT]],Data[],11,FALSE)))</f>
        <v>0</v>
      </c>
      <c r="J322" s="63">
        <f ca="1">(ExtComp[[#This Row],['# to Replace]]*'Unit Costs'!$B$6)*(1+((ExtComp[[#This Row],[est. Year]]-YEAR(TODAY()))*$J$2))</f>
        <v>0</v>
      </c>
      <c r="K322" s="67">
        <f>SUM(INDEX(ExtComp['# to Replace],1):ExtComp[[#This Row],['# to Replace]])</f>
        <v>0</v>
      </c>
      <c r="L322" s="67">
        <f>ROUNDDOWN(ExtComp[[#This Row],[Count]]/50,0)+$L$1</f>
        <v>2020</v>
      </c>
      <c r="M322" s="81">
        <f t="shared" ca="1" si="4"/>
        <v>0</v>
      </c>
      <c r="N322" s="81" t="str">
        <f>IFERROR(VLOOKUP(ExtComp[[#This Row],[DEVELOPMENT]],Data[],22,FALSE),"")</f>
        <v/>
      </c>
      <c r="O322" s="67" t="str">
        <f>IFERROR(VLOOKUP(ExtComp[[#This Row],[DEVELOPMENT]],Data[],23,FALSE),"")</f>
        <v/>
      </c>
    </row>
    <row r="323" spans="1:15" x14ac:dyDescent="0.25">
      <c r="A323" s="13" t="s">
        <v>159</v>
      </c>
      <c r="B323" s="9" t="str">
        <f>VLOOKUP(A323,Data[],2,FALSE)</f>
        <v>BROOKLYN</v>
      </c>
      <c r="C323" s="9"/>
      <c r="D323" s="66">
        <f>VLOOKUP(ExtComp[[#This Row],[DEVELOPMENT]],Data[],8,FALSE)</f>
        <v>0</v>
      </c>
      <c r="E323" s="66">
        <f>VLOOKUP(ExtComp[[#This Row],[DEVELOPMENT]],Data[],9,FALSE)</f>
        <v>0</v>
      </c>
      <c r="F323" s="66">
        <f>IFERROR(VLOOKUP(ExtComp[[#This Row],[DEVELOPMENT]],Data[],4,FALSE),"")</f>
        <v>2021</v>
      </c>
      <c r="G323" s="66" t="str">
        <f>IF(ExtComp[[#This Row],[RAD/PACT]]="","",IF(ExtComp[[#This Row],[RAD/PACT]]&lt;=2025,"Yes",""))</f>
        <v>Yes</v>
      </c>
      <c r="H323" s="67" t="str">
        <f ca="1">IF(VLOOKUP(ExtComp[[#This Row],[DEVELOPMENT]],Data[],11,FALSE)=0,"",DATEDIF(VLOOKUP(ExtComp[[#This Row],[DEVELOPMENT]],Data[],13,FALSE),TODAY(),"Y"))</f>
        <v/>
      </c>
      <c r="I323" s="67">
        <f>IF(ExtComp[[#This Row],[RAD/PACT]]="",VLOOKUP(ExtComp[[#This Row],[DEVELOPMENT]],Data[],11,FALSE),IF(ExtComp[[#This Row],[RAD/PACT by 2025]]="yes",0,VLOOKUP(ExtComp[[#This Row],[DEVELOPMENT]],Data[],11,FALSE)))</f>
        <v>0</v>
      </c>
      <c r="J323" s="63">
        <f ca="1">(ExtComp[[#This Row],['# to Replace]]*'Unit Costs'!$B$6)*(1+((ExtComp[[#This Row],[est. Year]]-YEAR(TODAY()))*$J$2))</f>
        <v>0</v>
      </c>
      <c r="K323" s="67">
        <f>SUM(INDEX(ExtComp['# to Replace],1):ExtComp[[#This Row],['# to Replace]])</f>
        <v>0</v>
      </c>
      <c r="L323" s="67">
        <f>ROUNDDOWN(ExtComp[[#This Row],[Count]]/50,0)+$L$1</f>
        <v>2020</v>
      </c>
      <c r="M323" s="81">
        <f t="shared" ca="1" si="4"/>
        <v>0</v>
      </c>
      <c r="N323" s="81" t="str">
        <f>IFERROR(VLOOKUP(ExtComp[[#This Row],[DEVELOPMENT]],Data[],22,FALSE),"")</f>
        <v/>
      </c>
      <c r="O323" s="67" t="str">
        <f>IFERROR(VLOOKUP(ExtComp[[#This Row],[DEVELOPMENT]],Data[],23,FALSE),"")</f>
        <v/>
      </c>
    </row>
    <row r="324" spans="1:15" x14ac:dyDescent="0.25">
      <c r="A324" s="64" t="s">
        <v>158</v>
      </c>
      <c r="B324" s="39" t="str">
        <f>VLOOKUP(A324,Data[],2,FALSE)</f>
        <v>BRONX</v>
      </c>
      <c r="C324" s="9" t="s">
        <v>68</v>
      </c>
      <c r="D324" s="68">
        <f>VLOOKUP(ExtComp[[#This Row],[DEVELOPMENT]],Data[],8,FALSE)</f>
        <v>0</v>
      </c>
      <c r="E324" s="68">
        <f>VLOOKUP(ExtComp[[#This Row],[DEVELOPMENT]],Data[],9,FALSE)</f>
        <v>0</v>
      </c>
      <c r="F324" s="68" t="str">
        <f>IFERROR(VLOOKUP(ExtComp[[#This Row],[DEVELOPMENT]],Data[],4,FALSE),"")</f>
        <v/>
      </c>
      <c r="G324" s="68" t="str">
        <f>IF(ExtComp[[#This Row],[RAD/PACT]]="","",IF(ExtComp[[#This Row],[RAD/PACT]]&lt;=2025,"Yes",""))</f>
        <v/>
      </c>
      <c r="H324" s="79" t="str">
        <f ca="1">IF(VLOOKUP(ExtComp[[#This Row],[DEVELOPMENT]],Data[],11,FALSE)=0,"",DATEDIF(VLOOKUP(ExtComp[[#This Row],[DEVELOPMENT]],Data[],13,FALSE),TODAY(),"Y"))</f>
        <v/>
      </c>
      <c r="I324" s="79">
        <f>IF(ExtComp[[#This Row],[RAD/PACT]]="",VLOOKUP(ExtComp[[#This Row],[DEVELOPMENT]],Data[],11,FALSE),IF(ExtComp[[#This Row],[RAD/PACT by 2025]]="yes",0,VLOOKUP(ExtComp[[#This Row],[DEVELOPMENT]],Data[],11,FALSE)))</f>
        <v>0</v>
      </c>
      <c r="J324" s="69">
        <f ca="1">(ExtComp[[#This Row],['# to Replace]]*'Unit Costs'!$B$6)*(1+((ExtComp[[#This Row],[est. Year]]-YEAR(TODAY()))*$J$2))</f>
        <v>0</v>
      </c>
      <c r="K324" s="79">
        <f>SUM(INDEX(ExtComp['# to Replace],1):ExtComp[[#This Row],['# to Replace]])</f>
        <v>0</v>
      </c>
      <c r="L324" s="79">
        <f>ROUNDDOWN(ExtComp[[#This Row],[Count]]/50,0)+$L$1</f>
        <v>2020</v>
      </c>
      <c r="M324" s="85">
        <f t="shared" ref="M324" ca="1" si="5">IF(L324=L323,J324+M323,J324)</f>
        <v>0</v>
      </c>
      <c r="N324" s="85" t="str">
        <f>IFERROR(VLOOKUP(ExtComp[[#This Row],[DEVELOPMENT]],Data[],22,FALSE),"")</f>
        <v/>
      </c>
      <c r="O324" s="79" t="str">
        <f>IFERROR(VLOOKUP(ExtComp[[#This Row],[DEVELOPMENT]],Data[],23,FALSE),"")</f>
        <v/>
      </c>
    </row>
  </sheetData>
  <conditionalFormatting sqref="A1:XFD1048576">
    <cfRule type="containsErrors" dxfId="4" priority="8">
      <formula>ISERROR(A1)</formula>
    </cfRule>
  </conditionalFormatting>
  <conditionalFormatting sqref="M1:M1048576">
    <cfRule type="expression" dxfId="3" priority="1">
      <formula>M1&gt;M2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78CB-FFBC-4A73-8394-613BA22C6BFB}">
  <dimension ref="A1:J30"/>
  <sheetViews>
    <sheetView workbookViewId="0">
      <selection activeCell="D19" sqref="D19"/>
    </sheetView>
  </sheetViews>
  <sheetFormatPr defaultColWidth="21.28515625" defaultRowHeight="15" x14ac:dyDescent="0.25"/>
  <cols>
    <col min="1" max="1" width="10.5703125" style="30" bestFit="1" customWidth="1"/>
    <col min="2" max="2" width="19" style="30" bestFit="1" customWidth="1"/>
    <col min="3" max="3" width="24.5703125" style="30" bestFit="1" customWidth="1"/>
    <col min="4" max="4" width="33.140625" style="30" bestFit="1" customWidth="1"/>
    <col min="5" max="5" width="15.5703125" style="30" bestFit="1" customWidth="1"/>
    <col min="6" max="6" width="11.85546875" style="30" bestFit="1" customWidth="1"/>
    <col min="7" max="7" width="18.42578125" style="30" bestFit="1" customWidth="1"/>
    <col min="8" max="8" width="14.28515625" style="30" bestFit="1" customWidth="1"/>
    <col min="9" max="9" width="15.28515625" style="30" bestFit="1" customWidth="1"/>
    <col min="10" max="10" width="26.7109375" style="30" bestFit="1" customWidth="1"/>
    <col min="11" max="16384" width="21.28515625" style="30"/>
  </cols>
  <sheetData>
    <row r="1" spans="1:10" x14ac:dyDescent="0.25">
      <c r="A1" s="29" t="s">
        <v>5</v>
      </c>
      <c r="B1" s="29" t="s">
        <v>6</v>
      </c>
      <c r="C1" s="29" t="s">
        <v>7</v>
      </c>
      <c r="D1" s="29" t="s">
        <v>11</v>
      </c>
      <c r="E1" s="29" t="s">
        <v>17</v>
      </c>
      <c r="F1" s="29" t="s">
        <v>18</v>
      </c>
      <c r="G1" s="29" t="s">
        <v>19</v>
      </c>
      <c r="H1" s="29" t="s">
        <v>21</v>
      </c>
      <c r="I1" s="29" t="s">
        <v>22</v>
      </c>
      <c r="J1" s="29" t="s">
        <v>23</v>
      </c>
    </row>
    <row r="2" spans="1:10" x14ac:dyDescent="0.25">
      <c r="A2" s="28" t="s">
        <v>408</v>
      </c>
      <c r="B2" s="31" t="s">
        <v>427</v>
      </c>
      <c r="C2" s="24" t="s">
        <v>65</v>
      </c>
      <c r="D2" s="25" t="s">
        <v>106</v>
      </c>
      <c r="E2" s="31">
        <v>2017</v>
      </c>
      <c r="F2" s="31">
        <v>2018</v>
      </c>
      <c r="G2" s="32" t="s">
        <v>20</v>
      </c>
      <c r="H2" s="33">
        <v>120000</v>
      </c>
      <c r="I2" s="34"/>
      <c r="J2" s="31" t="s">
        <v>428</v>
      </c>
    </row>
    <row r="3" spans="1:10" x14ac:dyDescent="0.25">
      <c r="A3" s="35" t="s">
        <v>408</v>
      </c>
      <c r="B3" s="31" t="s">
        <v>427</v>
      </c>
      <c r="C3" s="24" t="s">
        <v>58</v>
      </c>
      <c r="D3" s="26" t="s">
        <v>429</v>
      </c>
      <c r="E3" s="31">
        <v>2019</v>
      </c>
      <c r="F3" s="31">
        <v>2020</v>
      </c>
      <c r="G3" s="36" t="s">
        <v>53</v>
      </c>
      <c r="H3" s="37"/>
      <c r="I3" s="33">
        <v>750000</v>
      </c>
      <c r="J3" s="31" t="s">
        <v>428</v>
      </c>
    </row>
    <row r="4" spans="1:10" x14ac:dyDescent="0.25">
      <c r="A4" s="35" t="s">
        <v>408</v>
      </c>
      <c r="B4" s="31" t="s">
        <v>427</v>
      </c>
      <c r="C4" s="24" t="s">
        <v>44</v>
      </c>
      <c r="D4" s="26" t="s">
        <v>429</v>
      </c>
      <c r="E4" s="31">
        <v>2019</v>
      </c>
      <c r="F4" s="31">
        <v>2020</v>
      </c>
      <c r="G4" s="36" t="s">
        <v>53</v>
      </c>
      <c r="H4" s="37"/>
      <c r="I4" s="33">
        <v>750000</v>
      </c>
      <c r="J4" s="31" t="s">
        <v>428</v>
      </c>
    </row>
    <row r="5" spans="1:10" x14ac:dyDescent="0.25">
      <c r="A5" s="35" t="s">
        <v>408</v>
      </c>
      <c r="B5" s="31" t="s">
        <v>427</v>
      </c>
      <c r="C5" s="24" t="s">
        <v>66</v>
      </c>
      <c r="D5" s="26" t="s">
        <v>429</v>
      </c>
      <c r="E5" s="31">
        <v>2019</v>
      </c>
      <c r="F5" s="31">
        <v>2020</v>
      </c>
      <c r="G5" s="36" t="s">
        <v>53</v>
      </c>
      <c r="H5" s="37"/>
      <c r="I5" s="33">
        <v>750000</v>
      </c>
      <c r="J5" s="31" t="s">
        <v>428</v>
      </c>
    </row>
    <row r="6" spans="1:10" x14ac:dyDescent="0.25">
      <c r="A6" s="28" t="s">
        <v>408</v>
      </c>
      <c r="B6" s="31" t="s">
        <v>427</v>
      </c>
      <c r="C6" s="24" t="s">
        <v>56</v>
      </c>
      <c r="D6" s="26" t="s">
        <v>430</v>
      </c>
      <c r="E6" s="31">
        <v>2019</v>
      </c>
      <c r="F6" s="31">
        <v>2020</v>
      </c>
      <c r="G6" s="32" t="s">
        <v>53</v>
      </c>
      <c r="H6" s="33"/>
      <c r="I6" s="38">
        <v>868792.39</v>
      </c>
      <c r="J6" s="31" t="s">
        <v>428</v>
      </c>
    </row>
    <row r="7" spans="1:10" x14ac:dyDescent="0.25">
      <c r="A7" s="28" t="s">
        <v>408</v>
      </c>
      <c r="B7" s="31" t="s">
        <v>427</v>
      </c>
      <c r="C7" s="24" t="s">
        <v>58</v>
      </c>
      <c r="D7" s="26" t="s">
        <v>431</v>
      </c>
      <c r="E7" s="31">
        <v>2019</v>
      </c>
      <c r="F7" s="31">
        <v>2020</v>
      </c>
      <c r="G7" s="32" t="s">
        <v>53</v>
      </c>
      <c r="H7" s="33"/>
      <c r="I7" s="38">
        <v>1297554</v>
      </c>
      <c r="J7" s="31" t="s">
        <v>428</v>
      </c>
    </row>
    <row r="8" spans="1:10" x14ac:dyDescent="0.25">
      <c r="A8" s="28" t="s">
        <v>408</v>
      </c>
      <c r="B8" s="31" t="s">
        <v>427</v>
      </c>
      <c r="C8" s="24" t="s">
        <v>55</v>
      </c>
      <c r="D8" s="26" t="s">
        <v>431</v>
      </c>
      <c r="E8" s="31">
        <v>2019</v>
      </c>
      <c r="F8" s="31">
        <v>2019</v>
      </c>
      <c r="G8" s="31" t="s">
        <v>29</v>
      </c>
      <c r="H8" s="38">
        <v>456600</v>
      </c>
      <c r="I8" s="37"/>
      <c r="J8" s="31" t="s">
        <v>428</v>
      </c>
    </row>
    <row r="9" spans="1:10" x14ac:dyDescent="0.25">
      <c r="A9" s="28" t="s">
        <v>408</v>
      </c>
      <c r="B9" s="31" t="s">
        <v>427</v>
      </c>
      <c r="C9" s="24" t="s">
        <v>43</v>
      </c>
      <c r="D9" s="26" t="s">
        <v>431</v>
      </c>
      <c r="E9" s="31">
        <v>2019</v>
      </c>
      <c r="F9" s="31">
        <v>2020</v>
      </c>
      <c r="G9" s="32" t="s">
        <v>53</v>
      </c>
      <c r="H9" s="33"/>
      <c r="I9" s="38">
        <v>152200</v>
      </c>
      <c r="J9" s="31" t="s">
        <v>428</v>
      </c>
    </row>
    <row r="10" spans="1:10" x14ac:dyDescent="0.25">
      <c r="A10" s="28" t="s">
        <v>408</v>
      </c>
      <c r="B10" s="31" t="s">
        <v>427</v>
      </c>
      <c r="C10" s="24" t="s">
        <v>44</v>
      </c>
      <c r="D10" s="26" t="s">
        <v>431</v>
      </c>
      <c r="E10" s="31">
        <v>2019</v>
      </c>
      <c r="F10" s="31">
        <v>2020</v>
      </c>
      <c r="G10" s="32" t="s">
        <v>53</v>
      </c>
      <c r="H10" s="33"/>
      <c r="I10" s="38">
        <v>1297554</v>
      </c>
      <c r="J10" s="31" t="s">
        <v>428</v>
      </c>
    </row>
    <row r="11" spans="1:10" x14ac:dyDescent="0.25">
      <c r="A11" s="28" t="s">
        <v>408</v>
      </c>
      <c r="B11" s="31" t="s">
        <v>427</v>
      </c>
      <c r="C11" s="24" t="s">
        <v>66</v>
      </c>
      <c r="D11" s="26" t="s">
        <v>431</v>
      </c>
      <c r="E11" s="31">
        <v>2019</v>
      </c>
      <c r="F11" s="31">
        <v>2020</v>
      </c>
      <c r="G11" s="32" t="s">
        <v>53</v>
      </c>
      <c r="H11" s="33"/>
      <c r="I11" s="38">
        <v>1297554</v>
      </c>
      <c r="J11" s="31" t="s">
        <v>428</v>
      </c>
    </row>
    <row r="12" spans="1:10" x14ac:dyDescent="0.25">
      <c r="A12" s="28" t="s">
        <v>408</v>
      </c>
      <c r="B12" s="31" t="s">
        <v>427</v>
      </c>
      <c r="C12" s="24" t="s">
        <v>231</v>
      </c>
      <c r="D12" s="25" t="s">
        <v>106</v>
      </c>
      <c r="E12" s="31">
        <v>2019</v>
      </c>
      <c r="F12" s="31">
        <v>2020</v>
      </c>
      <c r="G12" s="32" t="s">
        <v>53</v>
      </c>
      <c r="H12" s="33">
        <v>405596.06</v>
      </c>
      <c r="I12" s="37"/>
      <c r="J12" s="31" t="s">
        <v>428</v>
      </c>
    </row>
    <row r="13" spans="1:10" x14ac:dyDescent="0.25">
      <c r="A13" s="28" t="s">
        <v>408</v>
      </c>
      <c r="B13" s="31" t="s">
        <v>427</v>
      </c>
      <c r="C13" s="24" t="s">
        <v>61</v>
      </c>
      <c r="D13" s="25" t="s">
        <v>106</v>
      </c>
      <c r="E13" s="31">
        <v>2019</v>
      </c>
      <c r="F13" s="31">
        <v>2020</v>
      </c>
      <c r="G13" s="32" t="s">
        <v>53</v>
      </c>
      <c r="H13" s="33">
        <v>188531.9</v>
      </c>
      <c r="I13" s="37"/>
      <c r="J13" s="31" t="s">
        <v>428</v>
      </c>
    </row>
    <row r="14" spans="1:10" x14ac:dyDescent="0.25">
      <c r="A14" s="28" t="s">
        <v>408</v>
      </c>
      <c r="B14" s="31" t="s">
        <v>427</v>
      </c>
      <c r="C14" s="24" t="s">
        <v>246</v>
      </c>
      <c r="D14" s="25" t="s">
        <v>106</v>
      </c>
      <c r="E14" s="31">
        <v>2019</v>
      </c>
      <c r="F14" s="31">
        <v>2020</v>
      </c>
      <c r="G14" s="32" t="s">
        <v>53</v>
      </c>
      <c r="H14" s="33">
        <v>58806.74</v>
      </c>
      <c r="I14" s="37"/>
      <c r="J14" s="31" t="s">
        <v>428</v>
      </c>
    </row>
    <row r="15" spans="1:10" x14ac:dyDescent="0.25">
      <c r="A15" s="28" t="s">
        <v>408</v>
      </c>
      <c r="B15" s="31" t="s">
        <v>427</v>
      </c>
      <c r="C15" s="24" t="s">
        <v>36</v>
      </c>
      <c r="D15" s="25" t="s">
        <v>106</v>
      </c>
      <c r="E15" s="31">
        <v>2019</v>
      </c>
      <c r="F15" s="31">
        <v>2020</v>
      </c>
      <c r="G15" s="32" t="s">
        <v>53</v>
      </c>
      <c r="H15" s="33">
        <v>472885.23</v>
      </c>
      <c r="I15" s="37"/>
      <c r="J15" s="31" t="s">
        <v>428</v>
      </c>
    </row>
    <row r="16" spans="1:10" x14ac:dyDescent="0.25">
      <c r="A16" s="28" t="s">
        <v>408</v>
      </c>
      <c r="B16" s="31" t="s">
        <v>427</v>
      </c>
      <c r="C16" s="24" t="s">
        <v>103</v>
      </c>
      <c r="D16" s="25" t="s">
        <v>106</v>
      </c>
      <c r="E16" s="31">
        <v>2019</v>
      </c>
      <c r="F16" s="31">
        <v>2020</v>
      </c>
      <c r="G16" s="32" t="s">
        <v>53</v>
      </c>
      <c r="H16" s="33">
        <v>45923.96</v>
      </c>
      <c r="I16" s="37"/>
      <c r="J16" s="31" t="s">
        <v>428</v>
      </c>
    </row>
    <row r="17" spans="1:10" x14ac:dyDescent="0.25">
      <c r="A17" s="28" t="s">
        <v>408</v>
      </c>
      <c r="B17" s="31" t="s">
        <v>427</v>
      </c>
      <c r="C17" s="24" t="s">
        <v>43</v>
      </c>
      <c r="D17" s="25" t="s">
        <v>106</v>
      </c>
      <c r="E17" s="31">
        <v>2019</v>
      </c>
      <c r="F17" s="31">
        <v>2020</v>
      </c>
      <c r="G17" s="32" t="s">
        <v>53</v>
      </c>
      <c r="H17" s="33">
        <v>260485.58</v>
      </c>
      <c r="I17" s="37"/>
      <c r="J17" s="31" t="s">
        <v>428</v>
      </c>
    </row>
    <row r="18" spans="1:10" x14ac:dyDescent="0.25">
      <c r="A18" s="28" t="s">
        <v>408</v>
      </c>
      <c r="B18" s="31" t="s">
        <v>427</v>
      </c>
      <c r="C18" s="24" t="s">
        <v>44</v>
      </c>
      <c r="D18" s="25" t="s">
        <v>106</v>
      </c>
      <c r="E18" s="31">
        <v>2019</v>
      </c>
      <c r="F18" s="31">
        <v>2019</v>
      </c>
      <c r="G18" s="32" t="s">
        <v>29</v>
      </c>
      <c r="H18" s="33">
        <v>568561.86</v>
      </c>
      <c r="I18" s="37"/>
      <c r="J18" s="31" t="s">
        <v>428</v>
      </c>
    </row>
    <row r="19" spans="1:10" x14ac:dyDescent="0.25">
      <c r="A19" s="28" t="s">
        <v>408</v>
      </c>
      <c r="B19" s="31" t="s">
        <v>427</v>
      </c>
      <c r="C19" s="24" t="s">
        <v>51</v>
      </c>
      <c r="D19" s="25" t="s">
        <v>106</v>
      </c>
      <c r="E19" s="31">
        <v>2019</v>
      </c>
      <c r="F19" s="31">
        <v>2020</v>
      </c>
      <c r="G19" s="32" t="s">
        <v>53</v>
      </c>
      <c r="H19" s="33">
        <v>84803.79</v>
      </c>
      <c r="I19" s="37"/>
      <c r="J19" s="31" t="s">
        <v>428</v>
      </c>
    </row>
    <row r="20" spans="1:10" x14ac:dyDescent="0.25">
      <c r="A20" s="28" t="s">
        <v>408</v>
      </c>
      <c r="B20" s="31" t="s">
        <v>427</v>
      </c>
      <c r="C20" s="24" t="s">
        <v>66</v>
      </c>
      <c r="D20" s="25" t="s">
        <v>106</v>
      </c>
      <c r="E20" s="31">
        <v>2019</v>
      </c>
      <c r="F20" s="31">
        <v>2019</v>
      </c>
      <c r="G20" s="32" t="s">
        <v>29</v>
      </c>
      <c r="H20" s="33">
        <v>763941.26</v>
      </c>
      <c r="I20" s="37"/>
      <c r="J20" s="31" t="s">
        <v>428</v>
      </c>
    </row>
    <row r="21" spans="1:10" x14ac:dyDescent="0.25">
      <c r="A21" s="28" t="s">
        <v>408</v>
      </c>
      <c r="B21" s="31" t="s">
        <v>427</v>
      </c>
      <c r="C21" s="24" t="s">
        <v>61</v>
      </c>
      <c r="D21" s="26" t="s">
        <v>431</v>
      </c>
      <c r="E21" s="31">
        <v>2020</v>
      </c>
      <c r="F21" s="31">
        <v>2020</v>
      </c>
      <c r="G21" s="32" t="s">
        <v>53</v>
      </c>
      <c r="H21" s="33"/>
      <c r="I21" s="38">
        <v>152200</v>
      </c>
      <c r="J21" s="31" t="s">
        <v>428</v>
      </c>
    </row>
    <row r="22" spans="1:10" x14ac:dyDescent="0.25">
      <c r="A22" s="28" t="s">
        <v>408</v>
      </c>
      <c r="B22" s="31" t="s">
        <v>427</v>
      </c>
      <c r="C22" s="27" t="s">
        <v>57</v>
      </c>
      <c r="D22" s="25" t="s">
        <v>106</v>
      </c>
      <c r="E22" s="31">
        <v>2020</v>
      </c>
      <c r="F22" s="31">
        <v>2020</v>
      </c>
      <c r="G22" s="32" t="s">
        <v>53</v>
      </c>
      <c r="H22" s="33">
        <v>52249.29</v>
      </c>
      <c r="I22" s="37"/>
      <c r="J22" s="31" t="s">
        <v>428</v>
      </c>
    </row>
    <row r="23" spans="1:10" x14ac:dyDescent="0.25">
      <c r="A23" s="28" t="s">
        <v>408</v>
      </c>
      <c r="B23" s="31" t="s">
        <v>427</v>
      </c>
      <c r="C23" s="24" t="s">
        <v>59</v>
      </c>
      <c r="D23" s="25" t="s">
        <v>106</v>
      </c>
      <c r="E23" s="31">
        <v>2020</v>
      </c>
      <c r="F23" s="31">
        <v>2020</v>
      </c>
      <c r="G23" s="32" t="s">
        <v>53</v>
      </c>
      <c r="H23" s="33">
        <v>93596.23</v>
      </c>
      <c r="I23" s="37"/>
      <c r="J23" s="31" t="s">
        <v>428</v>
      </c>
    </row>
    <row r="24" spans="1:10" x14ac:dyDescent="0.25">
      <c r="A24" s="28" t="s">
        <v>408</v>
      </c>
      <c r="B24" s="31" t="s">
        <v>427</v>
      </c>
      <c r="C24" s="24" t="s">
        <v>432</v>
      </c>
      <c r="D24" s="25" t="s">
        <v>106</v>
      </c>
      <c r="E24" s="31">
        <v>2020</v>
      </c>
      <c r="F24" s="31">
        <v>2020</v>
      </c>
      <c r="G24" s="32" t="s">
        <v>53</v>
      </c>
      <c r="H24" s="33">
        <v>48867.93</v>
      </c>
      <c r="I24" s="37"/>
      <c r="J24" s="31" t="s">
        <v>428</v>
      </c>
    </row>
    <row r="25" spans="1:10" x14ac:dyDescent="0.25">
      <c r="A25" s="28" t="s">
        <v>408</v>
      </c>
      <c r="B25" s="31" t="s">
        <v>427</v>
      </c>
      <c r="C25" s="28" t="s">
        <v>62</v>
      </c>
      <c r="D25" s="25" t="s">
        <v>106</v>
      </c>
      <c r="E25" s="31">
        <v>2020</v>
      </c>
      <c r="F25" s="31">
        <v>2020</v>
      </c>
      <c r="G25" s="32" t="s">
        <v>53</v>
      </c>
      <c r="H25" s="33"/>
      <c r="I25" s="33">
        <v>74191</v>
      </c>
      <c r="J25" s="31" t="s">
        <v>428</v>
      </c>
    </row>
    <row r="26" spans="1:10" x14ac:dyDescent="0.25">
      <c r="A26" s="28" t="s">
        <v>408</v>
      </c>
      <c r="B26" s="31" t="s">
        <v>427</v>
      </c>
      <c r="C26" s="24" t="s">
        <v>50</v>
      </c>
      <c r="D26" s="25" t="s">
        <v>106</v>
      </c>
      <c r="E26" s="31">
        <v>2020</v>
      </c>
      <c r="F26" s="31">
        <v>2020</v>
      </c>
      <c r="G26" s="32" t="s">
        <v>53</v>
      </c>
      <c r="H26" s="33">
        <v>55348.639999999999</v>
      </c>
      <c r="I26" s="37"/>
      <c r="J26" s="31" t="s">
        <v>428</v>
      </c>
    </row>
    <row r="27" spans="1:10" x14ac:dyDescent="0.25">
      <c r="A27" s="28" t="s">
        <v>408</v>
      </c>
      <c r="B27" s="31" t="s">
        <v>427</v>
      </c>
      <c r="C27" s="24" t="s">
        <v>56</v>
      </c>
      <c r="D27" s="25" t="s">
        <v>106</v>
      </c>
      <c r="E27" s="31">
        <v>2020</v>
      </c>
      <c r="F27" s="31">
        <v>2020</v>
      </c>
      <c r="G27" s="32" t="s">
        <v>53</v>
      </c>
      <c r="H27" s="33"/>
      <c r="I27" s="33">
        <v>3412786</v>
      </c>
      <c r="J27" s="31" t="s">
        <v>428</v>
      </c>
    </row>
    <row r="28" spans="1:10" x14ac:dyDescent="0.25">
      <c r="A28" s="28" t="s">
        <v>408</v>
      </c>
      <c r="B28" s="31" t="s">
        <v>427</v>
      </c>
      <c r="C28" s="24" t="s">
        <v>108</v>
      </c>
      <c r="D28" s="25" t="s">
        <v>106</v>
      </c>
      <c r="E28" s="31">
        <v>2020</v>
      </c>
      <c r="F28" s="31">
        <v>2020</v>
      </c>
      <c r="G28" s="32" t="s">
        <v>53</v>
      </c>
      <c r="H28" s="33"/>
      <c r="I28" s="33">
        <v>593528</v>
      </c>
      <c r="J28" s="31" t="s">
        <v>428</v>
      </c>
    </row>
    <row r="29" spans="1:10" x14ac:dyDescent="0.25">
      <c r="H29" s="23">
        <f>SUM(H2:H28)</f>
        <v>3676198.47</v>
      </c>
      <c r="I29" s="23">
        <f>SUM(I2:I28)</f>
        <v>11396359.390000001</v>
      </c>
    </row>
    <row r="30" spans="1:10" x14ac:dyDescent="0.25">
      <c r="H30"/>
      <c r="I30" s="22">
        <f>I29+H29</f>
        <v>15072557.860000001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47D-B4B6-474D-A16B-00A8D036A3A7}">
  <dimension ref="A1:D19"/>
  <sheetViews>
    <sheetView workbookViewId="0">
      <selection activeCell="B8" sqref="B8"/>
    </sheetView>
  </sheetViews>
  <sheetFormatPr defaultRowHeight="15" x14ac:dyDescent="0.25"/>
  <cols>
    <col min="1" max="1" width="24.85546875" bestFit="1" customWidth="1"/>
    <col min="2" max="2" width="14.28515625" style="5" bestFit="1" customWidth="1"/>
    <col min="3" max="3" width="11.85546875" style="5" bestFit="1" customWidth="1"/>
  </cols>
  <sheetData>
    <row r="1" spans="1:4" x14ac:dyDescent="0.25">
      <c r="A1" s="49" t="s">
        <v>433</v>
      </c>
      <c r="B1" s="23" t="s">
        <v>434</v>
      </c>
      <c r="C1" s="23" t="s">
        <v>435</v>
      </c>
    </row>
    <row r="2" spans="1:4" x14ac:dyDescent="0.25">
      <c r="A2" t="s">
        <v>109</v>
      </c>
      <c r="B2" s="5">
        <f>INDEX([1]!Table1[#Data],MATCH(UnitCosts[[#This Row],[Work Type]],[1]!Table1[Work Type],0),12)</f>
        <v>1307070</v>
      </c>
      <c r="C2" s="5" t="s">
        <v>436</v>
      </c>
    </row>
    <row r="3" spans="1:4" x14ac:dyDescent="0.25">
      <c r="A3" s="50" t="s">
        <v>52</v>
      </c>
      <c r="B3" s="5">
        <f>INDEX([1]!Table1[#Data],MATCH(UnitCosts[[#This Row],[Work Type]],[1]!Table1[Work Type],0),12)</f>
        <v>38885.4</v>
      </c>
      <c r="C3" s="5" t="s">
        <v>436</v>
      </c>
    </row>
    <row r="4" spans="1:4" x14ac:dyDescent="0.25">
      <c r="A4" s="52" t="s">
        <v>141</v>
      </c>
      <c r="B4" s="5">
        <f>INDEX([1]!Table1[#Data],MATCH(UnitCosts[[#This Row],[Work Type]],[1]!Table1[Work Type],0),12)</f>
        <v>37000</v>
      </c>
      <c r="C4" s="5" t="s">
        <v>436</v>
      </c>
    </row>
    <row r="5" spans="1:4" x14ac:dyDescent="0.25">
      <c r="A5" s="50" t="s">
        <v>27</v>
      </c>
      <c r="B5" s="5">
        <f>INDEX([1]!Table1[#Data],MATCH(UnitCosts[[#This Row],[Work Type]],[1]!Table1[Work Type],0),12)</f>
        <v>7435.6435000000001</v>
      </c>
      <c r="C5" s="5" t="s">
        <v>437</v>
      </c>
    </row>
    <row r="6" spans="1:4" x14ac:dyDescent="0.25">
      <c r="A6" s="50" t="s">
        <v>68</v>
      </c>
      <c r="B6" s="5">
        <f>INDEX([1]!Table1[#Data],MATCH(UnitCosts[[#This Row],[Work Type]],[1]!Table1[Work Type],0),12)</f>
        <v>188799</v>
      </c>
      <c r="C6" s="5" t="s">
        <v>436</v>
      </c>
    </row>
    <row r="7" spans="1:4" x14ac:dyDescent="0.25">
      <c r="A7" t="s">
        <v>49</v>
      </c>
      <c r="B7" s="5">
        <f>INDEX([1]!Table1[#Data],MATCH(UnitCosts[[#This Row],[Work Type]],[1]!Table1[Work Type],0),12)</f>
        <v>1718.735947394297</v>
      </c>
      <c r="C7" s="5" t="s">
        <v>437</v>
      </c>
    </row>
    <row r="8" spans="1:4" x14ac:dyDescent="0.25">
      <c r="A8" s="50" t="s">
        <v>106</v>
      </c>
      <c r="B8" s="5">
        <f>INDEX([1]!Table1[#Data],MATCH(UnitCosts[[#This Row],[Work Type]],[1]!Table1[Work Type],0),12)</f>
        <v>71162.7</v>
      </c>
      <c r="C8" s="5" t="s">
        <v>436</v>
      </c>
    </row>
    <row r="9" spans="1:4" x14ac:dyDescent="0.25">
      <c r="A9" s="52" t="s">
        <v>150</v>
      </c>
      <c r="B9" s="5">
        <f>INDEX([1]!Table1[#Data],MATCH(UnitCosts[[#This Row],[Work Type]],[1]!Table1[Work Type],0),12)</f>
        <v>13656</v>
      </c>
      <c r="C9" s="5" t="s">
        <v>437</v>
      </c>
      <c r="D9" t="s">
        <v>438</v>
      </c>
    </row>
    <row r="10" spans="1:4" x14ac:dyDescent="0.25">
      <c r="A10" s="50" t="s">
        <v>151</v>
      </c>
      <c r="B10" s="5">
        <f>INDEX([1]!Table1[#Data],MATCH(UnitCosts[[#This Row],[Work Type]],[1]!Table1[Work Type],0),12)</f>
        <v>133611.6</v>
      </c>
      <c r="C10" s="5" t="s">
        <v>437</v>
      </c>
    </row>
    <row r="11" spans="1:4" x14ac:dyDescent="0.25">
      <c r="A11" t="s">
        <v>439</v>
      </c>
      <c r="B11" s="5">
        <f>INDEX([1]!Table1[#Data],MATCH(UnitCosts[[#This Row],[Work Type]],[1]!Table1[Work Type],0),12)</f>
        <v>1000</v>
      </c>
      <c r="C11" s="5" t="s">
        <v>437</v>
      </c>
    </row>
    <row r="12" spans="1:4" x14ac:dyDescent="0.25">
      <c r="A12" t="s">
        <v>440</v>
      </c>
      <c r="B12" s="5">
        <f>INDEX([1]!Table1[#Data],MATCH(UnitCosts[[#This Row],[Work Type]],[1]!Table1[Work Type],0),12)</f>
        <v>300</v>
      </c>
      <c r="C12" s="5" t="s">
        <v>437</v>
      </c>
    </row>
    <row r="13" spans="1:4" x14ac:dyDescent="0.25">
      <c r="A13" t="s">
        <v>441</v>
      </c>
      <c r="B13" s="5">
        <f>INDEX([1]!Table1[#Data],MATCH(UnitCosts[[#This Row],[Work Type]],[1]!Table1[Work Type],0),12)</f>
        <v>1159792.78</v>
      </c>
      <c r="C13" s="5" t="s">
        <v>436</v>
      </c>
      <c r="D13" t="s">
        <v>442</v>
      </c>
    </row>
    <row r="14" spans="1:4" x14ac:dyDescent="0.25">
      <c r="A14" t="s">
        <v>443</v>
      </c>
      <c r="B14" s="5">
        <f>INDEX([1]!Table1[#Data],MATCH(UnitCosts[[#This Row],[Work Type]],[1]!Table1[Work Type],0),12)</f>
        <v>728535.54</v>
      </c>
      <c r="C14" s="5" t="s">
        <v>436</v>
      </c>
      <c r="D14" t="s">
        <v>444</v>
      </c>
    </row>
    <row r="15" spans="1:4" x14ac:dyDescent="0.25">
      <c r="A15" t="s">
        <v>445</v>
      </c>
      <c r="B15" s="5">
        <f>INDEX([1]!Table1[#Data],MATCH(UnitCosts[[#This Row],[Work Type]],[1]!Table1[Work Type],0),12)</f>
        <v>1591050.0199999998</v>
      </c>
      <c r="C15" s="5" t="s">
        <v>436</v>
      </c>
      <c r="D15" t="s">
        <v>446</v>
      </c>
    </row>
    <row r="16" spans="1:4" x14ac:dyDescent="0.25">
      <c r="A16" t="s">
        <v>447</v>
      </c>
      <c r="B16" s="5">
        <f>INDEX([1]!Table1[#Data],MATCH(UnitCosts[[#This Row],[Work Type]],[1]!Table1[Work Type],0),12)</f>
        <v>2022307.2600000005</v>
      </c>
      <c r="C16" s="5" t="s">
        <v>436</v>
      </c>
      <c r="D16" t="s">
        <v>448</v>
      </c>
    </row>
    <row r="17" spans="1:4" x14ac:dyDescent="0.25">
      <c r="A17" t="s">
        <v>449</v>
      </c>
      <c r="B17" s="5">
        <f>INDEX([1]!Table1[#Data],MATCH(UnitCosts[[#This Row],[Work Type]],[1]!Table1[Work Type],0),12)</f>
        <v>2453564.4999999995</v>
      </c>
      <c r="C17" s="5" t="s">
        <v>436</v>
      </c>
      <c r="D17" t="s">
        <v>450</v>
      </c>
    </row>
    <row r="18" spans="1:4" x14ac:dyDescent="0.25">
      <c r="A18" t="s">
        <v>451</v>
      </c>
      <c r="B18" s="5">
        <f>INDEX([1]!Table1[#Data],MATCH(UnitCosts[[#This Row],[Work Type]],[1]!Table1[Work Type],0),12)</f>
        <v>2884821.74</v>
      </c>
      <c r="C18" s="5" t="s">
        <v>436</v>
      </c>
      <c r="D18" t="s">
        <v>452</v>
      </c>
    </row>
    <row r="19" spans="1:4" x14ac:dyDescent="0.25">
      <c r="A19" t="s">
        <v>453</v>
      </c>
      <c r="B19" s="5">
        <f>INDEX([1]!Table1[#Data],MATCH(UnitCosts[[#This Row],[Work Type]],[1]!Table1[Work Type],0),12)</f>
        <v>3316078.9799999995</v>
      </c>
      <c r="C19" s="5" t="s">
        <v>436</v>
      </c>
      <c r="D19" t="s">
        <v>454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8E33-9DF5-46C0-B8C9-A6177357E55D}">
  <dimension ref="A1:AF378"/>
  <sheetViews>
    <sheetView workbookViewId="0">
      <pane xSplit="1" ySplit="2" topLeftCell="W3" activePane="bottomRight" state="frozen"/>
      <selection pane="topRight" activeCell="B1" sqref="B1"/>
      <selection pane="bottomLeft" activeCell="A2" sqref="A2"/>
      <selection pane="bottomRight" activeCell="K284" sqref="K284"/>
    </sheetView>
  </sheetViews>
  <sheetFormatPr defaultRowHeight="15" x14ac:dyDescent="0.25"/>
  <cols>
    <col min="1" max="1" width="57" bestFit="1" customWidth="1"/>
    <col min="2" max="2" width="14.7109375" bestFit="1" customWidth="1"/>
    <col min="3" max="3" width="50" bestFit="1" customWidth="1"/>
    <col min="4" max="4" width="12.42578125" bestFit="1" customWidth="1"/>
    <col min="5" max="5" width="12.85546875" bestFit="1" customWidth="1"/>
    <col min="6" max="6" width="12.85546875" customWidth="1"/>
    <col min="7" max="7" width="6.85546875" bestFit="1" customWidth="1"/>
    <col min="8" max="8" width="7" bestFit="1" customWidth="1"/>
    <col min="9" max="9" width="15" bestFit="1" customWidth="1"/>
    <col min="10" max="10" width="22.5703125" bestFit="1" customWidth="1"/>
    <col min="11" max="11" width="22.85546875" bestFit="1" customWidth="1"/>
    <col min="12" max="12" width="22.42578125" style="42" bestFit="1" customWidth="1"/>
    <col min="13" max="13" width="22.7109375" style="43" bestFit="1" customWidth="1"/>
    <col min="14" max="14" width="21.85546875" bestFit="1" customWidth="1"/>
    <col min="15" max="15" width="14.42578125" bestFit="1" customWidth="1"/>
    <col min="16" max="16" width="17.5703125" bestFit="1" customWidth="1"/>
    <col min="17" max="17" width="20.140625" bestFit="1" customWidth="1"/>
    <col min="18" max="18" width="18.28515625" bestFit="1" customWidth="1"/>
    <col min="19" max="19" width="27.85546875" bestFit="1" customWidth="1"/>
    <col min="20" max="20" width="22.28515625" bestFit="1" customWidth="1"/>
    <col min="21" max="21" width="22.140625" bestFit="1" customWidth="1"/>
    <col min="22" max="22" width="26.140625" bestFit="1" customWidth="1"/>
    <col min="23" max="23" width="14.7109375" bestFit="1" customWidth="1"/>
    <col min="24" max="24" width="8" style="101" bestFit="1" customWidth="1"/>
    <col min="25" max="25" width="17.7109375" bestFit="1" customWidth="1"/>
    <col min="26" max="26" width="10.85546875" bestFit="1" customWidth="1"/>
    <col min="27" max="27" width="10.5703125" bestFit="1" customWidth="1"/>
    <col min="28" max="28" width="16.85546875" bestFit="1" customWidth="1"/>
    <col min="29" max="29" width="17.7109375" bestFit="1" customWidth="1"/>
    <col min="30" max="30" width="14.7109375" bestFit="1" customWidth="1"/>
    <col min="31" max="31" width="14.42578125" bestFit="1" customWidth="1"/>
    <col min="32" max="32" width="57" bestFit="1" customWidth="1"/>
  </cols>
  <sheetData>
    <row r="1" spans="1:32" s="71" customFormat="1" x14ac:dyDescent="0.25">
      <c r="A1" s="71">
        <v>1</v>
      </c>
      <c r="B1" s="71">
        <v>2</v>
      </c>
      <c r="C1" s="71">
        <v>3</v>
      </c>
      <c r="D1" s="71">
        <v>4</v>
      </c>
      <c r="E1" s="71">
        <v>5</v>
      </c>
      <c r="F1" s="71">
        <v>6</v>
      </c>
      <c r="G1" s="71">
        <v>7</v>
      </c>
      <c r="H1" s="71">
        <v>8</v>
      </c>
      <c r="I1" s="71">
        <v>9</v>
      </c>
      <c r="J1" s="71">
        <v>10</v>
      </c>
      <c r="K1" s="71">
        <v>11</v>
      </c>
      <c r="L1" s="71">
        <v>12</v>
      </c>
      <c r="M1" s="71">
        <v>13</v>
      </c>
      <c r="N1" s="71">
        <v>14</v>
      </c>
      <c r="O1" s="71">
        <v>15</v>
      </c>
      <c r="P1" s="71">
        <v>16</v>
      </c>
      <c r="Q1" s="71">
        <v>17</v>
      </c>
      <c r="R1" s="71">
        <v>18</v>
      </c>
      <c r="S1" s="71">
        <v>19</v>
      </c>
      <c r="T1" s="71">
        <v>20</v>
      </c>
      <c r="U1" s="71">
        <v>21</v>
      </c>
      <c r="V1" s="71">
        <v>22</v>
      </c>
      <c r="W1" s="71">
        <v>23</v>
      </c>
      <c r="X1" s="99">
        <v>24</v>
      </c>
      <c r="Y1" s="71">
        <v>25</v>
      </c>
      <c r="Z1" s="71">
        <v>26</v>
      </c>
      <c r="AA1" s="71">
        <v>27</v>
      </c>
      <c r="AB1" s="71">
        <v>28</v>
      </c>
      <c r="AC1" s="71">
        <v>29</v>
      </c>
      <c r="AD1" s="71">
        <v>30</v>
      </c>
      <c r="AE1" s="71">
        <v>31</v>
      </c>
    </row>
    <row r="2" spans="1:32" s="54" customFormat="1" x14ac:dyDescent="0.25">
      <c r="A2" s="54" t="s">
        <v>7</v>
      </c>
      <c r="B2" s="54" t="s">
        <v>5</v>
      </c>
      <c r="C2" s="54" t="s">
        <v>455</v>
      </c>
      <c r="D2" s="54" t="s">
        <v>10</v>
      </c>
      <c r="E2" s="54" t="s">
        <v>367</v>
      </c>
      <c r="F2" s="54" t="s">
        <v>456</v>
      </c>
      <c r="G2" s="54" t="s">
        <v>366</v>
      </c>
      <c r="H2" s="54" t="s">
        <v>8</v>
      </c>
      <c r="I2" s="54" t="s">
        <v>9</v>
      </c>
      <c r="J2" s="54" t="s">
        <v>368</v>
      </c>
      <c r="K2" s="54" t="s">
        <v>370</v>
      </c>
      <c r="L2" s="70" t="s">
        <v>457</v>
      </c>
      <c r="M2" s="70" t="s">
        <v>458</v>
      </c>
      <c r="N2" s="54" t="s">
        <v>27</v>
      </c>
      <c r="O2" s="54" t="s">
        <v>109</v>
      </c>
      <c r="P2" s="54" t="s">
        <v>52</v>
      </c>
      <c r="Q2" s="54" t="s">
        <v>150</v>
      </c>
      <c r="R2" s="54" t="s">
        <v>141</v>
      </c>
      <c r="S2" s="54" t="s">
        <v>459</v>
      </c>
      <c r="T2" s="54" t="s">
        <v>49</v>
      </c>
      <c r="U2" s="54" t="s">
        <v>460</v>
      </c>
      <c r="V2" s="54" t="s">
        <v>461</v>
      </c>
      <c r="W2" s="54" t="s">
        <v>462</v>
      </c>
      <c r="X2" s="100" t="s">
        <v>365</v>
      </c>
      <c r="Y2" s="54" t="s">
        <v>463</v>
      </c>
      <c r="Z2" s="54" t="s">
        <v>464</v>
      </c>
      <c r="AA2" s="54" t="s">
        <v>465</v>
      </c>
      <c r="AB2" s="54" t="s">
        <v>372</v>
      </c>
      <c r="AC2" s="54" t="s">
        <v>466</v>
      </c>
      <c r="AD2" s="54" t="s">
        <v>467</v>
      </c>
      <c r="AE2" s="54" t="s">
        <v>468</v>
      </c>
      <c r="AF2" s="126" t="s">
        <v>469</v>
      </c>
    </row>
    <row r="3" spans="1:32" x14ac:dyDescent="0.25">
      <c r="A3" t="s">
        <v>158</v>
      </c>
      <c r="B3" s="20" t="str">
        <f>VLOOKUP(Data[[#This Row],[DEVELOPMENT]],'[2]NYCHA_Development_Data_Book 201'!$B$2:$AY$324,40,FALSE)</f>
        <v>BRONX</v>
      </c>
      <c r="C3" s="20" t="str">
        <f>VLOOKUP(Data[[#This Row],[DEVELOPMENT]],'[3]Cheat-Sheet'!$D$2:$Q$341,2,FALSE)</f>
        <v>MURPHY</v>
      </c>
      <c r="D3" s="20" t="str">
        <f>IF(VLOOKUP(Data[[#This Row],[DEVELOPMENT]],'[4]IC Categories'!$A$2:$G$325,3,FALSE)=0,"",VLOOKUP(Data[[#This Row],[DEVELOPMENT]],'[4]IC Categories'!$A$2:$G$325,3,FALSE))</f>
        <v/>
      </c>
      <c r="E3" s="20">
        <f>VLOOKUP(Data[[#This Row],[DEVELOPMENT]],'[2]NYCHA_Development_Data_Book 201'!$B$2:$AY$324,21,FALSE)</f>
        <v>1</v>
      </c>
      <c r="F3" s="20">
        <f>VLOOKUP(Data[[#This Row],[DEVELOPMENT]],'[2]NYCHA_Development_Data_Book 201'!$B$2:$AY$324,23,FALSE)</f>
        <v>1</v>
      </c>
      <c r="G3" s="20">
        <f>VLOOKUP(Data[[#This Row],[DEVELOPMENT]],'[2]NYCHA_Development_Data_Book 201'!$B$2:$AY$324,12,FALSE)</f>
        <v>218</v>
      </c>
      <c r="J3">
        <f>IFERROR(VLOOKUP(Data[[#This Row],[DEVELOPMENT]],[5]!Table1[[DEVELOPMENTS]:[Installation Date of Exterior Compactor]],4,FALSE),0)</f>
        <v>0</v>
      </c>
      <c r="K3" s="20">
        <f>IFERROR(VLOOKUP(Data[[#This Row],[DEVELOPMENT]],[5]!Table1[[DEVELOPMENTS]:[Installation Date of Exterior Compactor]],7,FALSE),0)</f>
        <v>0</v>
      </c>
      <c r="L3" s="42" t="str">
        <f>IF(Data[[#This Row],['# Interior Compactors]]=0,"",VLOOKUP(Data[[#This Row],[DEVELOPMENT]],[5]!Table1[[DEVELOPMENTS]:[Installation Date of Exterior Compactor]],5,FALSE))</f>
        <v/>
      </c>
      <c r="M3" s="43" t="str">
        <f>IF(Data[[#This Row],['# Exterior Compactors]]=0,"",VLOOKUP(Data[[#This Row],[DEVELOPMENT]],[5]!Table1[[DEVELOPMENTS]:[Installation Date of Exterior Compactor]],8,FALSE))</f>
        <v/>
      </c>
      <c r="N3" s="20">
        <f>Data[[#This Row],['# Interior Compactors]]</f>
        <v>0</v>
      </c>
      <c r="O3" s="20">
        <f>1</f>
        <v>1</v>
      </c>
      <c r="P3" s="20">
        <f>1</f>
        <v>1</v>
      </c>
      <c r="Q3" s="20">
        <f>1</f>
        <v>1</v>
      </c>
      <c r="R3" s="20">
        <f>1</f>
        <v>1</v>
      </c>
      <c r="S3" s="20">
        <f>1</f>
        <v>1</v>
      </c>
      <c r="T3" s="20">
        <f>Data[[#This Row],[DUs]]</f>
        <v>218</v>
      </c>
      <c r="U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" s="101">
        <f>VLOOKUP(Data[[#This Row],[DEVELOPMENT]],'[2]NYCHA_Development_Data_Book 201'!$B$2:$E$324,3,FALSE)</f>
        <v>180</v>
      </c>
      <c r="Y3" s="20"/>
      <c r="Z3" s="20">
        <f>IFERROR(VLOOKUP(Data[[#This Row],[TDS]],'[7]Static Ext by TDS'!$A$5:$E$120,2,FALSE),0)</f>
        <v>0</v>
      </c>
      <c r="AA3" s="20">
        <f>IFERROR(VLOOKUP(Data[[#This Row],[TDS]],'[7]Static Int by TDS'!$A$6:$O$305,2,FALSE),0)</f>
        <v>1</v>
      </c>
      <c r="AB3" s="20"/>
      <c r="AC3" s="20"/>
      <c r="AD3" s="20">
        <f>IFERROR(VLOOKUP(Data[[#This Row],[TDS]],'[7]Static Ext by TDS'!$A$5:$P$120,3,FALSE)+VLOOKUP(Data[[#This Row],[TDS]],'[7]Static Ext by TDS'!$A$5:$P$120,6,FALSE),0)</f>
        <v>0</v>
      </c>
      <c r="AE3" s="20">
        <f>IFERROR(VLOOKUP(Data[[#This Row],[TDS]],'[7]Static Int by TDS'!$A$6:$O$305,3,FALSE)+VLOOKUP(Data[[#This Row],[TDS]],'[7]Static Int by TDS'!$A$6:$O$305,6,FALSE),0)</f>
        <v>1</v>
      </c>
      <c r="AF3" s="20" t="str">
        <f>VLOOKUP(Data[[#This Row],[DEVELOPMENT]],[8]Developments!$A$2:$A$312,1,FALSE)</f>
        <v>1010 EAST 178TH STREET</v>
      </c>
    </row>
    <row r="4" spans="1:32" x14ac:dyDescent="0.25">
      <c r="A4" t="s">
        <v>159</v>
      </c>
      <c r="B4" s="20" t="str">
        <f>VLOOKUP(Data[[#This Row],[DEVELOPMENT]],'[2]NYCHA_Development_Data_Book 201'!$B$2:$AY$324,40,FALSE)</f>
        <v>BROOKLYN</v>
      </c>
      <c r="C4" s="20" t="str">
        <f>VLOOKUP(Data[[#This Row],[DEVELOPMENT]],'[3]Cheat-Sheet'!$D$2:$Q$341,2,FALSE)</f>
        <v>REID APARTMENTS</v>
      </c>
      <c r="D4" s="20">
        <f>IF(VLOOKUP(Data[[#This Row],[DEVELOPMENT]],'[4]IC Categories'!$A$2:$G$325,3,FALSE)=0,"",VLOOKUP(Data[[#This Row],[DEVELOPMENT]],'[4]IC Categories'!$A$2:$G$325,3,FALSE))</f>
        <v>2021</v>
      </c>
      <c r="E4" s="20">
        <f>VLOOKUP(Data[[#This Row],[DEVELOPMENT]],'[2]NYCHA_Development_Data_Book 201'!$B$2:$AY$324,21,FALSE)</f>
        <v>1</v>
      </c>
      <c r="F4" s="20">
        <f>VLOOKUP(Data[[#This Row],[DEVELOPMENT]],'[2]NYCHA_Development_Data_Book 201'!$B$2:$AY$324,23,FALSE)</f>
        <v>1</v>
      </c>
      <c r="G4" s="20">
        <f>VLOOKUP(Data[[#This Row],[DEVELOPMENT]],'[2]NYCHA_Development_Data_Book 201'!$B$2:$AY$324,12,FALSE)</f>
        <v>30</v>
      </c>
      <c r="J4">
        <f>IFERROR(VLOOKUP(Data[[#This Row],[DEVELOPMENT]],[5]!Table1[[DEVELOPMENTS]:[Installation Date of Exterior Compactor]],4,FALSE),0)</f>
        <v>0</v>
      </c>
      <c r="K4" s="20">
        <f>IFERROR(VLOOKUP(Data[[#This Row],[DEVELOPMENT]],[5]!Table1[[DEVELOPMENTS]:[Installation Date of Exterior Compactor]],7,FALSE),0)</f>
        <v>0</v>
      </c>
      <c r="L4" s="42" t="str">
        <f>IF(Data[[#This Row],['# Interior Compactors]]=0,"",VLOOKUP(Data[[#This Row],[DEVELOPMENT]],[5]!Table1[[DEVELOPMENTS]:[Installation Date of Exterior Compactor]],5,FALSE))</f>
        <v/>
      </c>
      <c r="M4" s="43" t="str">
        <f>IF(Data[[#This Row],['# Exterior Compactors]]=0,"",VLOOKUP(Data[[#This Row],[DEVELOPMENT]],[5]!Table1[[DEVELOPMENTS]:[Installation Date of Exterior Compactor]],8,FALSE))</f>
        <v/>
      </c>
      <c r="N4" s="20">
        <f>Data[[#This Row],['# Interior Compactors]]</f>
        <v>0</v>
      </c>
      <c r="O4" s="20">
        <f>1</f>
        <v>1</v>
      </c>
      <c r="P4" s="20">
        <f>1</f>
        <v>1</v>
      </c>
      <c r="Q4" s="20">
        <f>1</f>
        <v>1</v>
      </c>
      <c r="R4" s="20">
        <f>1</f>
        <v>1</v>
      </c>
      <c r="S4" s="20">
        <f>1</f>
        <v>1</v>
      </c>
      <c r="T4" s="20">
        <f>Data[[#This Row],[DUs]]</f>
        <v>30</v>
      </c>
      <c r="U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" s="101">
        <f>VLOOKUP(Data[[#This Row],[DEVELOPMENT]],'[2]NYCHA_Development_Data_Book 201'!$B$2:$E$324,3,FALSE)</f>
        <v>242</v>
      </c>
      <c r="Y4" s="20"/>
      <c r="Z4" s="20">
        <f>IFERROR(VLOOKUP(Data[[#This Row],[TDS]],'[7]Static Ext by TDS'!$A$5:$E$120,2,FALSE),0)</f>
        <v>0</v>
      </c>
      <c r="AA4" s="20">
        <f>IFERROR(VLOOKUP(Data[[#This Row],[TDS]],'[7]Static Int by TDS'!$A$6:$O$305,2,FALSE),0)</f>
        <v>2</v>
      </c>
      <c r="AB4" s="20"/>
      <c r="AC4" s="20"/>
      <c r="AD4" s="20">
        <f>IFERROR(VLOOKUP(Data[[#This Row],[TDS]],'[7]Static Ext by TDS'!$A$5:$P$120,3,FALSE)+VLOOKUP(Data[[#This Row],[TDS]],'[7]Static Ext by TDS'!$A$5:$P$120,6,FALSE),0)</f>
        <v>0</v>
      </c>
      <c r="AE4" s="20">
        <f>IFERROR(VLOOKUP(Data[[#This Row],[TDS]],'[7]Static Int by TDS'!$A$6:$O$305,3,FALSE)+VLOOKUP(Data[[#This Row],[TDS]],'[7]Static Int by TDS'!$A$6:$O$305,6,FALSE),0)</f>
        <v>2</v>
      </c>
      <c r="AF4" s="20" t="str">
        <f>VLOOKUP(Data[[#This Row],[DEVELOPMENT]],[8]Developments!$A$2:$A$312,1,FALSE)</f>
        <v>104-14 TAPSCOTT STREET</v>
      </c>
    </row>
    <row r="5" spans="1:32" x14ac:dyDescent="0.25">
      <c r="A5" t="s">
        <v>160</v>
      </c>
      <c r="B5" s="20" t="str">
        <f>VLOOKUP(Data[[#This Row],[DEVELOPMENT]],'[2]NYCHA_Development_Data_Book 201'!$B$2:$AY$324,40,FALSE)</f>
        <v>BRONX</v>
      </c>
      <c r="C5" s="20" t="str">
        <f>VLOOKUP(Data[[#This Row],[DEVELOPMENT]],'[3]Cheat-Sheet'!$D$2:$Q$341,2,FALSE)</f>
        <v>CLAREMONT CONSOLIDATED</v>
      </c>
      <c r="D5" s="20">
        <f>IF(VLOOKUP(Data[[#This Row],[DEVELOPMENT]],'[4]IC Categories'!$A$2:$G$325,3,FALSE)=0,"",VLOOKUP(Data[[#This Row],[DEVELOPMENT]],'[4]IC Categories'!$A$2:$G$325,3,FALSE))</f>
        <v>2025</v>
      </c>
      <c r="E5" s="20">
        <f>VLOOKUP(Data[[#This Row],[DEVELOPMENT]],'[2]NYCHA_Development_Data_Book 201'!$B$2:$AY$324,21,FALSE)</f>
        <v>1</v>
      </c>
      <c r="F5" s="20">
        <f>VLOOKUP(Data[[#This Row],[DEVELOPMENT]],'[2]NYCHA_Development_Data_Book 201'!$B$2:$AY$324,23,FALSE)</f>
        <v>1</v>
      </c>
      <c r="G5" s="20">
        <f>VLOOKUP(Data[[#This Row],[DEVELOPMENT]],'[2]NYCHA_Development_Data_Book 201'!$B$2:$AY$324,12,FALSE)</f>
        <v>65</v>
      </c>
      <c r="J5">
        <f>IFERROR(VLOOKUP(Data[[#This Row],[DEVELOPMENT]],[5]!Table1[[DEVELOPMENTS]:[Installation Date of Exterior Compactor]],4,FALSE),0)</f>
        <v>0</v>
      </c>
      <c r="K5" s="20">
        <f>IFERROR(VLOOKUP(Data[[#This Row],[DEVELOPMENT]],[5]!Table1[[DEVELOPMENTS]:[Installation Date of Exterior Compactor]],7,FALSE),0)</f>
        <v>0</v>
      </c>
      <c r="L5" s="42" t="str">
        <f>IF(Data[[#This Row],['# Interior Compactors]]=0,"",VLOOKUP(Data[[#This Row],[DEVELOPMENT]],[5]!Table1[[DEVELOPMENTS]:[Installation Date of Exterior Compactor]],5,FALSE))</f>
        <v/>
      </c>
      <c r="M5" s="43" t="str">
        <f>IF(Data[[#This Row],['# Exterior Compactors]]=0,"",VLOOKUP(Data[[#This Row],[DEVELOPMENT]],[5]!Table1[[DEVELOPMENTS]:[Installation Date of Exterior Compactor]],8,FALSE))</f>
        <v/>
      </c>
      <c r="N5" s="20">
        <f>Data[[#This Row],['# Interior Compactors]]</f>
        <v>0</v>
      </c>
      <c r="O5" s="20">
        <f>1</f>
        <v>1</v>
      </c>
      <c r="P5" s="20">
        <f>1</f>
        <v>1</v>
      </c>
      <c r="Q5" s="20">
        <f>1</f>
        <v>1</v>
      </c>
      <c r="R5" s="20">
        <f>1</f>
        <v>1</v>
      </c>
      <c r="S5" s="20">
        <f>1</f>
        <v>1</v>
      </c>
      <c r="T5" s="20">
        <f>Data[[#This Row],[DUs]]</f>
        <v>65</v>
      </c>
      <c r="U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" s="101">
        <f>VLOOKUP(Data[[#This Row],[DEVELOPMENT]],'[2]NYCHA_Development_Data_Book 201'!$B$2:$E$324,3,FALSE)</f>
        <v>233</v>
      </c>
      <c r="Y5" s="20"/>
      <c r="Z5" s="20">
        <f>IFERROR(VLOOKUP(Data[[#This Row],[TDS]],'[7]Static Ext by TDS'!$A$5:$E$120,2,FALSE),0)</f>
        <v>0</v>
      </c>
      <c r="AA5" s="20">
        <f>IFERROR(VLOOKUP(Data[[#This Row],[TDS]],'[7]Static Int by TDS'!$A$6:$O$305,2,FALSE),0)</f>
        <v>1</v>
      </c>
      <c r="AB5" s="20"/>
      <c r="AC5" s="20"/>
      <c r="AD5" s="20">
        <f>IFERROR(VLOOKUP(Data[[#This Row],[TDS]],'[7]Static Ext by TDS'!$A$5:$P$120,3,FALSE)+VLOOKUP(Data[[#This Row],[TDS]],'[7]Static Ext by TDS'!$A$5:$P$120,6,FALSE),0)</f>
        <v>0</v>
      </c>
      <c r="AE5" s="20">
        <f>IFERROR(VLOOKUP(Data[[#This Row],[TDS]],'[7]Static Int by TDS'!$A$6:$O$305,3,FALSE)+VLOOKUP(Data[[#This Row],[TDS]],'[7]Static Int by TDS'!$A$6:$O$305,6,FALSE),0)</f>
        <v>1</v>
      </c>
      <c r="AF5" s="20" t="str">
        <f>VLOOKUP(Data[[#This Row],[DEVELOPMENT]],[8]Developments!$A$2:$A$312,1,FALSE)</f>
        <v>1162-1176 WASHINGTON AVENUE</v>
      </c>
    </row>
    <row r="6" spans="1:32" x14ac:dyDescent="0.25">
      <c r="A6" t="s">
        <v>67</v>
      </c>
      <c r="B6" t="str">
        <f>VLOOKUP(Data[[#This Row],[DEVELOPMENT]],'[2]NYCHA_Development_Data_Book 201'!$B$2:$AY$324,40,FALSE)</f>
        <v>MANHATTAN</v>
      </c>
      <c r="C6" t="str">
        <f>VLOOKUP(Data[[#This Row],[DEVELOPMENT]],'[3]Cheat-Sheet'!$D$2:$Q$341,2,FALSE)</f>
        <v>TAFT</v>
      </c>
      <c r="D6" t="str">
        <f>IF(VLOOKUP(Data[[#This Row],[DEVELOPMENT]],'[4]IC Categories'!$A$2:$G$325,3,FALSE)=0,"",VLOOKUP(Data[[#This Row],[DEVELOPMENT]],'[4]IC Categories'!$A$2:$G$325,3,FALSE))</f>
        <v/>
      </c>
      <c r="E6">
        <f>VLOOKUP(Data[[#This Row],[DEVELOPMENT]],'[2]NYCHA_Development_Data_Book 201'!$B$2:$AY$324,21,FALSE)</f>
        <v>1</v>
      </c>
      <c r="F6">
        <f>VLOOKUP(Data[[#This Row],[DEVELOPMENT]],'[2]NYCHA_Development_Data_Book 201'!$B$2:$AY$324,23,FALSE)</f>
        <v>1</v>
      </c>
      <c r="G6">
        <f>VLOOKUP(Data[[#This Row],[DEVELOPMENT]],'[2]NYCHA_Development_Data_Book 201'!$B$2:$AY$324,12,FALSE)</f>
        <v>98</v>
      </c>
      <c r="H6" t="s">
        <v>470</v>
      </c>
      <c r="I6" t="s">
        <v>471</v>
      </c>
      <c r="J6">
        <f>IFERROR(VLOOKUP(Data[[#This Row],[DEVELOPMENT]],[5]!Table1[[DEVELOPMENTS]:[Installation Date of Exterior Compactor]],4,FALSE),0)</f>
        <v>0</v>
      </c>
      <c r="K6">
        <f>IFERROR(VLOOKUP(Data[[#This Row],[DEVELOPMENT]],[5]!Table1[[DEVELOPMENTS]:[Installation Date of Exterior Compactor]],7,FALSE),0)</f>
        <v>0</v>
      </c>
      <c r="L6" s="42" t="str">
        <f>IF(Data[[#This Row],['# Interior Compactors]]=0,"",VLOOKUP(Data[[#This Row],[DEVELOPMENT]],[5]!Table1[[DEVELOPMENTS]:[Installation Date of Exterior Compactor]],5,FALSE))</f>
        <v/>
      </c>
      <c r="M6" s="43" t="str">
        <f>IF(Data[[#This Row],['# Exterior Compactors]]=0,"",VLOOKUP(Data[[#This Row],[DEVELOPMENT]],[5]!Table1[[DEVELOPMENTS]:[Installation Date of Exterior Compactor]],8,FALSE))</f>
        <v/>
      </c>
      <c r="N6">
        <f>Data[[#This Row],['# Interior Compactors]]</f>
        <v>0</v>
      </c>
      <c r="O6" s="20">
        <f>1</f>
        <v>1</v>
      </c>
      <c r="P6" s="20">
        <f>1</f>
        <v>1</v>
      </c>
      <c r="Q6" s="20">
        <f>1</f>
        <v>1</v>
      </c>
      <c r="R6" s="20">
        <f>1</f>
        <v>1</v>
      </c>
      <c r="S6" s="20">
        <f>1</f>
        <v>1</v>
      </c>
      <c r="T6" s="20">
        <f>Data[[#This Row],[DUs]]</f>
        <v>98</v>
      </c>
      <c r="U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" s="101">
        <f>VLOOKUP(Data[[#This Row],[DEVELOPMENT]],'[2]NYCHA_Development_Data_Book 201'!$B$2:$E$324,3,FALSE)</f>
        <v>154</v>
      </c>
      <c r="Y6" s="20"/>
      <c r="Z6" s="20">
        <f>IFERROR(VLOOKUP(Data[[#This Row],[TDS]],'[7]Static Ext by TDS'!$A$5:$E$120,2,FALSE),0)</f>
        <v>0</v>
      </c>
      <c r="AA6" s="20">
        <f>IFERROR(VLOOKUP(Data[[#This Row],[TDS]],'[7]Static Int by TDS'!$A$6:$O$305,2,FALSE),0)</f>
        <v>1</v>
      </c>
      <c r="AB6" s="20"/>
      <c r="AC6" s="20"/>
      <c r="AD6" s="20">
        <f>IFERROR(VLOOKUP(Data[[#This Row],[TDS]],'[7]Static Ext by TDS'!$A$5:$P$120,3,FALSE)+VLOOKUP(Data[[#This Row],[TDS]],'[7]Static Ext by TDS'!$A$5:$P$120,6,FALSE),0)</f>
        <v>0</v>
      </c>
      <c r="AE6" s="20">
        <f>IFERROR(VLOOKUP(Data[[#This Row],[TDS]],'[7]Static Int by TDS'!$A$6:$O$305,3,FALSE)+VLOOKUP(Data[[#This Row],[TDS]],'[7]Static Int by TDS'!$A$6:$O$305,6,FALSE),0)</f>
        <v>1</v>
      </c>
      <c r="AF6" s="20" t="str">
        <f>VLOOKUP(Data[[#This Row],[DEVELOPMENT]],[8]Developments!$A$2:$A$312,1,FALSE)</f>
        <v>131 SAINT NICHOLAS AVENUE</v>
      </c>
    </row>
    <row r="7" spans="1:32" x14ac:dyDescent="0.25">
      <c r="A7" t="s">
        <v>161</v>
      </c>
      <c r="B7" s="20" t="str">
        <f>VLOOKUP(Data[[#This Row],[DEVELOPMENT]],'[2]NYCHA_Development_Data_Book 201'!$B$2:$AY$324,40,FALSE)</f>
        <v>BRONX</v>
      </c>
      <c r="C7" s="20" t="str">
        <f>VLOOKUP(Data[[#This Row],[DEVELOPMENT]],'[3]Cheat-Sheet'!$D$2:$Q$341,2,FALSE)</f>
        <v>SOTOMAYOR HOUSES</v>
      </c>
      <c r="D7" s="20">
        <f>IF(VLOOKUP(Data[[#This Row],[DEVELOPMENT]],'[4]IC Categories'!$A$2:$G$325,3,FALSE)=0,"",VLOOKUP(Data[[#This Row],[DEVELOPMENT]],'[4]IC Categories'!$A$2:$G$325,3,FALSE))</f>
        <v>2021</v>
      </c>
      <c r="E7" s="20">
        <f>VLOOKUP(Data[[#This Row],[DEVELOPMENT]],'[2]NYCHA_Development_Data_Book 201'!$B$2:$AY$324,21,FALSE)</f>
        <v>1</v>
      </c>
      <c r="F7" s="20">
        <f>VLOOKUP(Data[[#This Row],[DEVELOPMENT]],'[2]NYCHA_Development_Data_Book 201'!$B$2:$AY$324,23,FALSE)</f>
        <v>1</v>
      </c>
      <c r="G7" s="20">
        <f>VLOOKUP(Data[[#This Row],[DEVELOPMENT]],'[2]NYCHA_Development_Data_Book 201'!$B$2:$AY$324,12,FALSE)</f>
        <v>96</v>
      </c>
      <c r="J7">
        <f>IFERROR(VLOOKUP(Data[[#This Row],[DEVELOPMENT]],[5]!Table1[[DEVELOPMENTS]:[Installation Date of Exterior Compactor]],4,FALSE),0)</f>
        <v>0</v>
      </c>
      <c r="K7" s="20">
        <f>IFERROR(VLOOKUP(Data[[#This Row],[DEVELOPMENT]],[5]!Table1[[DEVELOPMENTS]:[Installation Date of Exterior Compactor]],7,FALSE),0)</f>
        <v>0</v>
      </c>
      <c r="L7" s="42" t="str">
        <f>IF(Data[[#This Row],['# Interior Compactors]]=0,"",VLOOKUP(Data[[#This Row],[DEVELOPMENT]],[5]!Table1[[DEVELOPMENTS]:[Installation Date of Exterior Compactor]],5,FALSE))</f>
        <v/>
      </c>
      <c r="M7" s="43" t="str">
        <f>IF(Data[[#This Row],['# Exterior Compactors]]=0,"",VLOOKUP(Data[[#This Row],[DEVELOPMENT]],[5]!Table1[[DEVELOPMENTS]:[Installation Date of Exterior Compactor]],8,FALSE))</f>
        <v/>
      </c>
      <c r="N7" s="20">
        <f>Data[[#This Row],['# Interior Compactors]]</f>
        <v>0</v>
      </c>
      <c r="O7" s="20">
        <f>1</f>
        <v>1</v>
      </c>
      <c r="P7" s="20">
        <f>1</f>
        <v>1</v>
      </c>
      <c r="Q7" s="20">
        <f>1</f>
        <v>1</v>
      </c>
      <c r="R7" s="20">
        <f>1</f>
        <v>1</v>
      </c>
      <c r="S7" s="20">
        <f>1</f>
        <v>1</v>
      </c>
      <c r="T7" s="20">
        <f>Data[[#This Row],[DUs]]</f>
        <v>96</v>
      </c>
      <c r="U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" s="101">
        <f>VLOOKUP(Data[[#This Row],[DEVELOPMENT]],'[2]NYCHA_Development_Data_Book 201'!$B$2:$E$324,3,FALSE)</f>
        <v>214</v>
      </c>
      <c r="Y7" s="20"/>
      <c r="Z7" s="20">
        <f>IFERROR(VLOOKUP(Data[[#This Row],[TDS]],'[7]Static Ext by TDS'!$A$5:$E$120,2,FALSE),0)</f>
        <v>0</v>
      </c>
      <c r="AA7" s="20">
        <f>IFERROR(VLOOKUP(Data[[#This Row],[TDS]],'[7]Static Int by TDS'!$A$6:$O$305,2,FALSE),0)</f>
        <v>2</v>
      </c>
      <c r="AB7" s="20"/>
      <c r="AC7" s="20"/>
      <c r="AD7" s="20">
        <f>IFERROR(VLOOKUP(Data[[#This Row],[TDS]],'[7]Static Ext by TDS'!$A$5:$P$120,3,FALSE)+VLOOKUP(Data[[#This Row],[TDS]],'[7]Static Ext by TDS'!$A$5:$P$120,6,FALSE),0)</f>
        <v>0</v>
      </c>
      <c r="AE7" s="20">
        <f>IFERROR(VLOOKUP(Data[[#This Row],[TDS]],'[7]Static Int by TDS'!$A$6:$O$305,3,FALSE)+VLOOKUP(Data[[#This Row],[TDS]],'[7]Static Int by TDS'!$A$6:$O$305,6,FALSE),0)</f>
        <v>2</v>
      </c>
      <c r="AF7" s="20" t="str">
        <f>VLOOKUP(Data[[#This Row],[DEVELOPMENT]],[8]Developments!$A$2:$A$312,1,FALSE)</f>
        <v>1471 WATSON AVENUE</v>
      </c>
    </row>
    <row r="8" spans="1:32" x14ac:dyDescent="0.25">
      <c r="A8" t="s">
        <v>162</v>
      </c>
      <c r="B8" s="20" t="str">
        <f>VLOOKUP(Data[[#This Row],[DEVELOPMENT]],'[2]NYCHA_Development_Data_Book 201'!$B$2:$AY$324,40,FALSE)</f>
        <v>MANHATTAN</v>
      </c>
      <c r="C8" s="20" t="str">
        <f>VLOOKUP(Data[[#This Row],[DEVELOPMENT]],'[3]Cheat-Sheet'!$D$2:$Q$341,2,FALSE)</f>
        <v>KRAUS MANAGEMENT (PRIVATE - M/B 1)</v>
      </c>
      <c r="D8" s="20" t="str">
        <f>IF(VLOOKUP(Data[[#This Row],[DEVELOPMENT]],'[4]IC Categories'!$A$2:$G$325,3,FALSE)=0,"",VLOOKUP(Data[[#This Row],[DEVELOPMENT]],'[4]IC Categories'!$A$2:$G$325,3,FALSE))</f>
        <v/>
      </c>
      <c r="E8" s="20">
        <f>VLOOKUP(Data[[#This Row],[DEVELOPMENT]],'[2]NYCHA_Development_Data_Book 201'!$B$2:$AY$324,21,FALSE)</f>
        <v>1</v>
      </c>
      <c r="F8" s="20">
        <f>VLOOKUP(Data[[#This Row],[DEVELOPMENT]],'[2]NYCHA_Development_Data_Book 201'!$B$2:$AY$324,23,FALSE)</f>
        <v>1</v>
      </c>
      <c r="G8" s="20">
        <f>VLOOKUP(Data[[#This Row],[DEVELOPMENT]],'[2]NYCHA_Development_Data_Book 201'!$B$2:$AY$324,12,FALSE)</f>
        <v>35</v>
      </c>
      <c r="J8">
        <f>IFERROR(VLOOKUP(Data[[#This Row],[DEVELOPMENT]],[5]!Table1[[DEVELOPMENTS]:[Installation Date of Exterior Compactor]],4,FALSE),0)</f>
        <v>0</v>
      </c>
      <c r="K8" s="20">
        <f>IFERROR(VLOOKUP(Data[[#This Row],[DEVELOPMENT]],[5]!Table1[[DEVELOPMENTS]:[Installation Date of Exterior Compactor]],7,FALSE),0)</f>
        <v>0</v>
      </c>
      <c r="L8" s="42" t="str">
        <f>IF(Data[[#This Row],['# Interior Compactors]]=0,"",VLOOKUP(Data[[#This Row],[DEVELOPMENT]],[5]!Table1[[DEVELOPMENTS]:[Installation Date of Exterior Compactor]],5,FALSE))</f>
        <v/>
      </c>
      <c r="M8" s="43" t="str">
        <f>IF(Data[[#This Row],['# Exterior Compactors]]=0,"",VLOOKUP(Data[[#This Row],[DEVELOPMENT]],[5]!Table1[[DEVELOPMENTS]:[Installation Date of Exterior Compactor]],8,FALSE))</f>
        <v/>
      </c>
      <c r="N8" s="20">
        <f>Data[[#This Row],['# Interior Compactors]]</f>
        <v>0</v>
      </c>
      <c r="O8" s="20">
        <f>1</f>
        <v>1</v>
      </c>
      <c r="P8" s="20">
        <f>1</f>
        <v>1</v>
      </c>
      <c r="Q8" s="20">
        <f>1</f>
        <v>1</v>
      </c>
      <c r="R8" s="20">
        <f>1</f>
        <v>1</v>
      </c>
      <c r="S8" s="20">
        <f>1</f>
        <v>1</v>
      </c>
      <c r="T8" s="20">
        <f>Data[[#This Row],[DUs]]</f>
        <v>35</v>
      </c>
      <c r="U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" s="101">
        <f>VLOOKUP(Data[[#This Row],[DEVELOPMENT]],'[2]NYCHA_Development_Data_Book 201'!$B$2:$E$324,3,FALSE)</f>
        <v>359</v>
      </c>
      <c r="Y8" s="20"/>
      <c r="Z8" s="20">
        <f>IFERROR(VLOOKUP(Data[[#This Row],[TDS]],'[7]Static Ext by TDS'!$A$5:$E$120,2,FALSE),0)</f>
        <v>0</v>
      </c>
      <c r="AA8" s="20">
        <f>IFERROR(VLOOKUP(Data[[#This Row],[TDS]],'[7]Static Int by TDS'!$A$6:$O$305,2,FALSE),0)</f>
        <v>1</v>
      </c>
      <c r="AB8" s="20"/>
      <c r="AC8" s="20"/>
      <c r="AD8" s="20">
        <f>IFERROR(VLOOKUP(Data[[#This Row],[TDS]],'[7]Static Ext by TDS'!$A$5:$P$120,3,FALSE)+VLOOKUP(Data[[#This Row],[TDS]],'[7]Static Ext by TDS'!$A$5:$P$120,6,FALSE),0)</f>
        <v>0</v>
      </c>
      <c r="AE8" s="20">
        <f>IFERROR(VLOOKUP(Data[[#This Row],[TDS]],'[7]Static Int by TDS'!$A$6:$O$305,3,FALSE)+VLOOKUP(Data[[#This Row],[TDS]],'[7]Static Int by TDS'!$A$6:$O$305,6,FALSE),0)</f>
        <v>1</v>
      </c>
      <c r="AF8" s="20" t="str">
        <f>VLOOKUP(Data[[#This Row],[DEVELOPMENT]],[8]Developments!$A$2:$A$312,1,FALSE)</f>
        <v>154 WEST 84TH STREET</v>
      </c>
    </row>
    <row r="9" spans="1:32" x14ac:dyDescent="0.25">
      <c r="A9" s="17" t="s">
        <v>118</v>
      </c>
      <c r="B9" s="17" t="str">
        <f>VLOOKUP(Data[[#This Row],[DEVELOPMENT]],'[2]NYCHA_Development_Data_Book 201'!$B$2:$AY$324,40,FALSE)</f>
        <v>BROOKLYN</v>
      </c>
      <c r="C9" t="str">
        <f>VLOOKUP(Data[[#This Row],[DEVELOPMENT]],'[3]Cheat-Sheet'!$D$2:$Q$341,2,FALSE)</f>
        <v>SUMNER</v>
      </c>
      <c r="D9" t="str">
        <f>IF(VLOOKUP(Data[[#This Row],[DEVELOPMENT]],'[4]IC Categories'!$A$2:$G$325,3,FALSE)=0,"",VLOOKUP(Data[[#This Row],[DEVELOPMENT]],'[4]IC Categories'!$A$2:$G$325,3,FALSE))</f>
        <v/>
      </c>
      <c r="E9">
        <f>VLOOKUP(Data[[#This Row],[DEVELOPMENT]],'[2]NYCHA_Development_Data_Book 201'!$B$2:$AY$324,21,FALSE)</f>
        <v>1</v>
      </c>
      <c r="F9">
        <f>VLOOKUP(Data[[#This Row],[DEVELOPMENT]],'[2]NYCHA_Development_Data_Book 201'!$B$2:$AY$324,23,FALSE)</f>
        <v>1</v>
      </c>
      <c r="G9">
        <f>VLOOKUP(Data[[#This Row],[DEVELOPMENT]],'[2]NYCHA_Development_Data_Book 201'!$B$2:$AY$324,12,FALSE)</f>
        <v>234</v>
      </c>
      <c r="H9" t="s">
        <v>472</v>
      </c>
      <c r="I9" t="s">
        <v>471</v>
      </c>
      <c r="J9">
        <f>IFERROR(VLOOKUP(Data[[#This Row],[DEVELOPMENT]],[5]!Table1[[DEVELOPMENTS]:[Installation Date of Exterior Compactor]],4,FALSE),0)</f>
        <v>0</v>
      </c>
      <c r="K9" s="20">
        <f>IFERROR(VLOOKUP(Data[[#This Row],[DEVELOPMENT]],[5]!Table1[[DEVELOPMENTS]:[Installation Date of Exterior Compactor]],7,FALSE),0)</f>
        <v>0</v>
      </c>
      <c r="L9" s="42" t="str">
        <f>IF(Data[[#This Row],['# Interior Compactors]]=0,"",VLOOKUP(Data[[#This Row],[DEVELOPMENT]],[5]!Table1[[DEVELOPMENTS]:[Installation Date of Exterior Compactor]],5,FALSE))</f>
        <v/>
      </c>
      <c r="M9" s="43" t="str">
        <f>IF(Data[[#This Row],['# Exterior Compactors]]=0,"",VLOOKUP(Data[[#This Row],[DEVELOPMENT]],[5]!Table1[[DEVELOPMENTS]:[Installation Date of Exterior Compactor]],8,FALSE))</f>
        <v/>
      </c>
      <c r="N9">
        <f>Data[[#This Row],['# Interior Compactors]]</f>
        <v>0</v>
      </c>
      <c r="O9" s="20">
        <f>1</f>
        <v>1</v>
      </c>
      <c r="P9" s="20">
        <f>1</f>
        <v>1</v>
      </c>
      <c r="Q9" s="20">
        <f>1</f>
        <v>1</v>
      </c>
      <c r="R9" s="20">
        <f>1</f>
        <v>1</v>
      </c>
      <c r="S9" s="20">
        <f>1</f>
        <v>1</v>
      </c>
      <c r="T9" s="20">
        <f>Data[[#This Row],[DUs]]</f>
        <v>234</v>
      </c>
      <c r="U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" s="101">
        <f>VLOOKUP(Data[[#This Row],[DEVELOPMENT]],'[2]NYCHA_Development_Data_Book 201'!$B$2:$E$324,3,FALSE)</f>
        <v>156</v>
      </c>
      <c r="Y9" s="20" t="s">
        <v>473</v>
      </c>
      <c r="Z9" s="20">
        <f>IFERROR(VLOOKUP(Data[[#This Row],[TDS]],'[7]Static Ext by TDS'!$A$5:$E$120,2,FALSE),0)</f>
        <v>0</v>
      </c>
      <c r="AA9" s="20">
        <f>IFERROR(VLOOKUP(Data[[#This Row],[TDS]],'[7]Static Int by TDS'!$A$6:$O$305,2,FALSE),0)</f>
        <v>2</v>
      </c>
      <c r="AB9" s="20"/>
      <c r="AC9" s="20"/>
      <c r="AD9" s="20">
        <f>IFERROR(VLOOKUP(Data[[#This Row],[TDS]],'[7]Static Ext by TDS'!$A$5:$P$120,3,FALSE)+VLOOKUP(Data[[#This Row],[TDS]],'[7]Static Ext by TDS'!$A$5:$P$120,6,FALSE),0)</f>
        <v>0</v>
      </c>
      <c r="AE9" s="20">
        <f>IFERROR(VLOOKUP(Data[[#This Row],[TDS]],'[7]Static Int by TDS'!$A$6:$O$305,3,FALSE)+VLOOKUP(Data[[#This Row],[TDS]],'[7]Static Int by TDS'!$A$6:$O$305,6,FALSE),0)</f>
        <v>2</v>
      </c>
      <c r="AF9" s="20" t="str">
        <f>VLOOKUP(Data[[#This Row],[DEVELOPMENT]],[8]Developments!$A$2:$A$312,1,FALSE)</f>
        <v>303 VERNON AVENUE</v>
      </c>
    </row>
    <row r="10" spans="1:32" x14ac:dyDescent="0.25">
      <c r="A10" t="s">
        <v>69</v>
      </c>
      <c r="B10" t="str">
        <f>VLOOKUP(Data[[#This Row],[DEVELOPMENT]],'[2]NYCHA_Development_Data_Book 201'!$B$2:$AY$324,40,FALSE)</f>
        <v>MANHATTAN</v>
      </c>
      <c r="C10" t="str">
        <f>VLOOKUP(Data[[#This Row],[DEVELOPMENT]],'[3]Cheat-Sheet'!$D$2:$Q$341,2,FALSE)</f>
        <v>JEFFERSON</v>
      </c>
      <c r="D10" t="str">
        <f>IF(VLOOKUP(Data[[#This Row],[DEVELOPMENT]],'[4]IC Categories'!$A$2:$G$325,3,FALSE)=0,"",VLOOKUP(Data[[#This Row],[DEVELOPMENT]],'[4]IC Categories'!$A$2:$G$325,3,FALSE))</f>
        <v/>
      </c>
      <c r="E10">
        <f>VLOOKUP(Data[[#This Row],[DEVELOPMENT]],'[2]NYCHA_Development_Data_Book 201'!$B$2:$AY$324,21,FALSE)</f>
        <v>1</v>
      </c>
      <c r="F10">
        <f>VLOOKUP(Data[[#This Row],[DEVELOPMENT]],'[2]NYCHA_Development_Data_Book 201'!$B$2:$AY$324,23,FALSE)</f>
        <v>1</v>
      </c>
      <c r="G10">
        <f>VLOOKUP(Data[[#This Row],[DEVELOPMENT]],'[2]NYCHA_Development_Data_Book 201'!$B$2:$AY$324,12,FALSE)</f>
        <v>66</v>
      </c>
      <c r="H10" t="s">
        <v>474</v>
      </c>
      <c r="I10" t="s">
        <v>471</v>
      </c>
      <c r="J10">
        <f>IFERROR(VLOOKUP(Data[[#This Row],[DEVELOPMENT]],[5]!Table1[[DEVELOPMENTS]:[Installation Date of Exterior Compactor]],4,FALSE),0)</f>
        <v>0</v>
      </c>
      <c r="K10" s="20">
        <f>IFERROR(VLOOKUP(Data[[#This Row],[DEVELOPMENT]],[5]!Table1[[DEVELOPMENTS]:[Installation Date of Exterior Compactor]],7,FALSE),0)</f>
        <v>0</v>
      </c>
      <c r="L10" s="42" t="str">
        <f>IF(Data[[#This Row],['# Interior Compactors]]=0,"",VLOOKUP(Data[[#This Row],[DEVELOPMENT]],[5]!Table1[[DEVELOPMENTS]:[Installation Date of Exterior Compactor]],5,FALSE))</f>
        <v/>
      </c>
      <c r="M10" s="43" t="str">
        <f>IF(Data[[#This Row],['# Exterior Compactors]]=0,"",VLOOKUP(Data[[#This Row],[DEVELOPMENT]],[5]!Table1[[DEVELOPMENTS]:[Installation Date of Exterior Compactor]],8,FALSE))</f>
        <v/>
      </c>
      <c r="N10">
        <f>Data[[#This Row],['# Interior Compactors]]</f>
        <v>0</v>
      </c>
      <c r="O10" s="20">
        <f>1</f>
        <v>1</v>
      </c>
      <c r="P10" s="20">
        <f>1</f>
        <v>1</v>
      </c>
      <c r="Q10" s="20">
        <f>1</f>
        <v>1</v>
      </c>
      <c r="R10" s="20">
        <f>1</f>
        <v>1</v>
      </c>
      <c r="S10" s="20">
        <f>1</f>
        <v>1</v>
      </c>
      <c r="T10" s="20">
        <f>Data[[#This Row],[DUs]]</f>
        <v>66</v>
      </c>
      <c r="U1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" s="101">
        <f>VLOOKUP(Data[[#This Row],[DEVELOPMENT]],'[2]NYCHA_Development_Data_Book 201'!$B$2:$E$324,3,FALSE)</f>
        <v>203</v>
      </c>
      <c r="Y10" s="20"/>
      <c r="Z10" s="20">
        <f>IFERROR(VLOOKUP(Data[[#This Row],[TDS]],'[7]Static Ext by TDS'!$A$5:$E$120,2,FALSE),0)</f>
        <v>0</v>
      </c>
      <c r="AA10" s="20">
        <f>IFERROR(VLOOKUP(Data[[#This Row],[TDS]],'[7]Static Int by TDS'!$A$6:$O$305,2,FALSE),0)</f>
        <v>1</v>
      </c>
      <c r="AB10" s="20"/>
      <c r="AC10" s="20"/>
      <c r="AD10" s="20">
        <f>IFERROR(VLOOKUP(Data[[#This Row],[TDS]],'[7]Static Ext by TDS'!$A$5:$P$120,3,FALSE)+VLOOKUP(Data[[#This Row],[TDS]],'[7]Static Ext by TDS'!$A$5:$P$120,6,FALSE),0)</f>
        <v>0</v>
      </c>
      <c r="AE10" s="20">
        <f>IFERROR(VLOOKUP(Data[[#This Row],[TDS]],'[7]Static Int by TDS'!$A$6:$O$305,3,FALSE)+VLOOKUP(Data[[#This Row],[TDS]],'[7]Static Int by TDS'!$A$6:$O$305,6,FALSE),0)</f>
        <v>1</v>
      </c>
      <c r="AF10" s="20" t="str">
        <f>VLOOKUP(Data[[#This Row],[DEVELOPMENT]],[8]Developments!$A$2:$A$312,1,FALSE)</f>
        <v>335 EAST 111TH STREET</v>
      </c>
    </row>
    <row r="11" spans="1:32" x14ac:dyDescent="0.25">
      <c r="A11" t="s">
        <v>163</v>
      </c>
      <c r="B11" s="20" t="str">
        <f>VLOOKUP(Data[[#This Row],[DEVELOPMENT]],'[2]NYCHA_Development_Data_Book 201'!$B$2:$AY$324,40,FALSE)</f>
        <v>MANHATTAN</v>
      </c>
      <c r="C11" s="20" t="str">
        <f>VLOOKUP(Data[[#This Row],[DEVELOPMENT]],'[3]Cheat-Sheet'!$D$2:$Q$341,2,FALSE)</f>
        <v>STRAUS</v>
      </c>
      <c r="D11" s="20" t="str">
        <f>IF(VLOOKUP(Data[[#This Row],[DEVELOPMENT]],'[4]IC Categories'!$A$2:$G$325,3,FALSE)=0,"",VLOOKUP(Data[[#This Row],[DEVELOPMENT]],'[4]IC Categories'!$A$2:$G$325,3,FALSE))</f>
        <v/>
      </c>
      <c r="E11" s="20">
        <f>VLOOKUP(Data[[#This Row],[DEVELOPMENT]],'[2]NYCHA_Development_Data_Book 201'!$B$2:$AY$324,21,FALSE)</f>
        <v>1</v>
      </c>
      <c r="F11" s="20">
        <f>VLOOKUP(Data[[#This Row],[DEVELOPMENT]],'[2]NYCHA_Development_Data_Book 201'!$B$2:$AY$324,23,FALSE)</f>
        <v>1</v>
      </c>
      <c r="G11" s="20">
        <f>VLOOKUP(Data[[#This Row],[DEVELOPMENT]],'[2]NYCHA_Development_Data_Book 201'!$B$2:$AY$324,12,FALSE)</f>
        <v>225</v>
      </c>
      <c r="J11">
        <f>IFERROR(VLOOKUP(Data[[#This Row],[DEVELOPMENT]],[5]!Table1[[DEVELOPMENTS]:[Installation Date of Exterior Compactor]],4,FALSE),0)</f>
        <v>0</v>
      </c>
      <c r="K11" s="20">
        <f>IFERROR(VLOOKUP(Data[[#This Row],[DEVELOPMENT]],[5]!Table1[[DEVELOPMENTS]:[Installation Date of Exterior Compactor]],7,FALSE),0)</f>
        <v>0</v>
      </c>
      <c r="L11" s="42" t="str">
        <f>IF(Data[[#This Row],['# Interior Compactors]]=0,"",VLOOKUP(Data[[#This Row],[DEVELOPMENT]],[5]!Table1[[DEVELOPMENTS]:[Installation Date of Exterior Compactor]],5,FALSE))</f>
        <v/>
      </c>
      <c r="M11" s="43" t="str">
        <f>IF(Data[[#This Row],['# Exterior Compactors]]=0,"",VLOOKUP(Data[[#This Row],[DEVELOPMENT]],[5]!Table1[[DEVELOPMENTS]:[Installation Date of Exterior Compactor]],8,FALSE))</f>
        <v/>
      </c>
      <c r="N11" s="20">
        <f>Data[[#This Row],['# Interior Compactors]]</f>
        <v>0</v>
      </c>
      <c r="O11" s="20">
        <f>1</f>
        <v>1</v>
      </c>
      <c r="P11" s="20">
        <f>1</f>
        <v>1</v>
      </c>
      <c r="Q11" s="20">
        <f>1</f>
        <v>1</v>
      </c>
      <c r="R11" s="20">
        <f>1</f>
        <v>1</v>
      </c>
      <c r="S11" s="20">
        <f>1</f>
        <v>1</v>
      </c>
      <c r="T11" s="20">
        <f>Data[[#This Row],[DUs]]</f>
        <v>225</v>
      </c>
      <c r="U1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" s="101">
        <f>VLOOKUP(Data[[#This Row],[DEVELOPMENT]],'[2]NYCHA_Development_Data_Book 201'!$B$2:$E$324,3,FALSE)</f>
        <v>185</v>
      </c>
      <c r="Y11" s="20" t="s">
        <v>473</v>
      </c>
      <c r="Z11" s="20">
        <f>IFERROR(VLOOKUP(Data[[#This Row],[TDS]],'[7]Static Ext by TDS'!$A$5:$E$120,2,FALSE),0)</f>
        <v>0</v>
      </c>
      <c r="AA11" s="20">
        <f>IFERROR(VLOOKUP(Data[[#This Row],[TDS]],'[7]Static Int by TDS'!$A$6:$O$305,2,FALSE),0)</f>
        <v>1</v>
      </c>
      <c r="AB11" s="20"/>
      <c r="AC11" s="20"/>
      <c r="AD11" s="20">
        <f>IFERROR(VLOOKUP(Data[[#This Row],[TDS]],'[7]Static Ext by TDS'!$A$5:$P$120,3,FALSE)+VLOOKUP(Data[[#This Row],[TDS]],'[7]Static Ext by TDS'!$A$5:$P$120,6,FALSE),0)</f>
        <v>0</v>
      </c>
      <c r="AE11" s="20">
        <f>IFERROR(VLOOKUP(Data[[#This Row],[TDS]],'[7]Static Int by TDS'!$A$6:$O$305,3,FALSE)+VLOOKUP(Data[[#This Row],[TDS]],'[7]Static Int by TDS'!$A$6:$O$305,6,FALSE),0)</f>
        <v>1</v>
      </c>
      <c r="AF11" s="20" t="str">
        <f>VLOOKUP(Data[[#This Row],[DEVELOPMENT]],[8]Developments!$A$2:$A$312,1,FALSE)</f>
        <v>344 EAST 28TH STREET</v>
      </c>
    </row>
    <row r="12" spans="1:32" x14ac:dyDescent="0.25">
      <c r="A12" s="17" t="s">
        <v>57</v>
      </c>
      <c r="B12" s="17" t="str">
        <f>VLOOKUP(Data[[#This Row],[DEVELOPMENT]],'[2]NYCHA_Development_Data_Book 201'!$B$2:$AY$324,40,FALSE)</f>
        <v>MANHATTAN</v>
      </c>
      <c r="C12" t="str">
        <f>VLOOKUP(Data[[#This Row],[DEVELOPMENT]],'[3]Cheat-Sheet'!$D$2:$Q$341,2,FALSE)</f>
        <v>GOMPERS</v>
      </c>
      <c r="D12" t="str">
        <f>IF(VLOOKUP(Data[[#This Row],[DEVELOPMENT]],'[4]IC Categories'!$A$2:$G$325,3,FALSE)=0,"",VLOOKUP(Data[[#This Row],[DEVELOPMENT]],'[4]IC Categories'!$A$2:$G$325,3,FALSE))</f>
        <v/>
      </c>
      <c r="E12">
        <f>VLOOKUP(Data[[#This Row],[DEVELOPMENT]],'[2]NYCHA_Development_Data_Book 201'!$B$2:$AY$324,21,FALSE)</f>
        <v>1</v>
      </c>
      <c r="F12">
        <f>VLOOKUP(Data[[#This Row],[DEVELOPMENT]],'[2]NYCHA_Development_Data_Book 201'!$B$2:$AY$324,23,FALSE)</f>
        <v>2</v>
      </c>
      <c r="G12">
        <f>VLOOKUP(Data[[#This Row],[DEVELOPMENT]],'[2]NYCHA_Development_Data_Book 201'!$B$2:$AY$324,12,FALSE)</f>
        <v>107</v>
      </c>
      <c r="H12" t="s">
        <v>472</v>
      </c>
      <c r="I12" t="s">
        <v>475</v>
      </c>
      <c r="J12">
        <f>IFERROR(VLOOKUP(Data[[#This Row],[DEVELOPMENT]],[5]!Table1[[DEVELOPMENTS]:[Installation Date of Exterior Compactor]],4,FALSE),0)</f>
        <v>0</v>
      </c>
      <c r="K12" s="20">
        <f>IFERROR(VLOOKUP(Data[[#This Row],[DEVELOPMENT]],[5]!Table1[[DEVELOPMENTS]:[Installation Date of Exterior Compactor]],7,FALSE),0)</f>
        <v>0</v>
      </c>
      <c r="L12" s="42" t="str">
        <f>IF(Data[[#This Row],['# Interior Compactors]]=0,"",VLOOKUP(Data[[#This Row],[DEVELOPMENT]],[5]!Table1[[DEVELOPMENTS]:[Installation Date of Exterior Compactor]],5,FALSE))</f>
        <v/>
      </c>
      <c r="M12" s="43" t="str">
        <f>IF(Data[[#This Row],['# Exterior Compactors]]=0,"",VLOOKUP(Data[[#This Row],[DEVELOPMENT]],[5]!Table1[[DEVELOPMENTS]:[Installation Date of Exterior Compactor]],8,FALSE))</f>
        <v/>
      </c>
      <c r="N12">
        <f>Data[[#This Row],['# Interior Compactors]]</f>
        <v>0</v>
      </c>
      <c r="O12" s="20">
        <f>1</f>
        <v>1</v>
      </c>
      <c r="P12" s="20">
        <f>1</f>
        <v>1</v>
      </c>
      <c r="Q12" s="20">
        <f>1</f>
        <v>1</v>
      </c>
      <c r="R12" s="20">
        <f>1</f>
        <v>1</v>
      </c>
      <c r="S12" s="20">
        <f>1</f>
        <v>1</v>
      </c>
      <c r="T12" s="20">
        <f>Data[[#This Row],[DUs]]</f>
        <v>107</v>
      </c>
      <c r="U1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" s="101">
        <f>VLOOKUP(Data[[#This Row],[DEVELOPMENT]],'[2]NYCHA_Development_Data_Book 201'!$B$2:$E$324,3,FALSE)</f>
        <v>265</v>
      </c>
      <c r="Y12" s="20" t="s">
        <v>473</v>
      </c>
      <c r="Z12" s="20">
        <f>IFERROR(VLOOKUP(Data[[#This Row],[TDS]],'[7]Static Ext by TDS'!$A$5:$E$120,2,FALSE),0)</f>
        <v>0</v>
      </c>
      <c r="AA12" s="20">
        <f>IFERROR(VLOOKUP(Data[[#This Row],[TDS]],'[7]Static Int by TDS'!$A$6:$O$305,2,FALSE),0)</f>
        <v>1</v>
      </c>
      <c r="AB12" s="20"/>
      <c r="AC12" s="20"/>
      <c r="AD12" s="20">
        <f>IFERROR(VLOOKUP(Data[[#This Row],[TDS]],'[7]Static Ext by TDS'!$A$5:$P$120,3,FALSE)+VLOOKUP(Data[[#This Row],[TDS]],'[7]Static Ext by TDS'!$A$5:$P$120,6,FALSE),0)</f>
        <v>0</v>
      </c>
      <c r="AE12" s="20">
        <f>IFERROR(VLOOKUP(Data[[#This Row],[TDS]],'[7]Static Int by TDS'!$A$6:$O$305,3,FALSE)+VLOOKUP(Data[[#This Row],[TDS]],'[7]Static Int by TDS'!$A$6:$O$305,6,FALSE),0)</f>
        <v>1</v>
      </c>
      <c r="AF12" s="20" t="str">
        <f>VLOOKUP(Data[[#This Row],[DEVELOPMENT]],[8]Developments!$A$2:$A$312,1,FALSE)</f>
        <v>45 ALLEN STREET</v>
      </c>
    </row>
    <row r="13" spans="1:32" x14ac:dyDescent="0.25">
      <c r="A13" t="s">
        <v>164</v>
      </c>
      <c r="B13" s="20" t="str">
        <f>VLOOKUP(Data[[#This Row],[DEVELOPMENT]],'[2]NYCHA_Development_Data_Book 201'!$B$2:$AY$324,40,FALSE)</f>
        <v>BROOKLYN</v>
      </c>
      <c r="C13" s="20" t="str">
        <f>VLOOKUP(Data[[#This Row],[DEVELOPMENT]],'[3]Cheat-Sheet'!$D$2:$Q$341,2,FALSE)</f>
        <v>WYCKOFF GARDENS</v>
      </c>
      <c r="D13" s="20" t="str">
        <f>IF(VLOOKUP(Data[[#This Row],[DEVELOPMENT]],'[4]IC Categories'!$A$2:$G$325,3,FALSE)=0,"",VLOOKUP(Data[[#This Row],[DEVELOPMENT]],'[4]IC Categories'!$A$2:$G$325,3,FALSE))</f>
        <v/>
      </c>
      <c r="E13" s="20">
        <f>VLOOKUP(Data[[#This Row],[DEVELOPMENT]],'[2]NYCHA_Development_Data_Book 201'!$B$2:$AY$324,21,FALSE)</f>
        <v>1</v>
      </c>
      <c r="F13" s="20">
        <f>VLOOKUP(Data[[#This Row],[DEVELOPMENT]],'[2]NYCHA_Development_Data_Book 201'!$B$2:$AY$324,23,FALSE)</f>
        <v>2</v>
      </c>
      <c r="G13" s="20">
        <f>VLOOKUP(Data[[#This Row],[DEVELOPMENT]],'[2]NYCHA_Development_Data_Book 201'!$B$2:$AY$324,12,FALSE)</f>
        <v>200</v>
      </c>
      <c r="J13">
        <f>IFERROR(VLOOKUP(Data[[#This Row],[DEVELOPMENT]],[5]!Table1[[DEVELOPMENTS]:[Installation Date of Exterior Compactor]],4,FALSE),0)</f>
        <v>0</v>
      </c>
      <c r="K13" s="20">
        <f>IFERROR(VLOOKUP(Data[[#This Row],[DEVELOPMENT]],[5]!Table1[[DEVELOPMENTS]:[Installation Date of Exterior Compactor]],7,FALSE),0)</f>
        <v>0</v>
      </c>
      <c r="L13" s="42" t="str">
        <f>IF(Data[[#This Row],['# Interior Compactors]]=0,"",VLOOKUP(Data[[#This Row],[DEVELOPMENT]],[5]!Table1[[DEVELOPMENTS]:[Installation Date of Exterior Compactor]],5,FALSE))</f>
        <v/>
      </c>
      <c r="M13" s="43" t="str">
        <f>IF(Data[[#This Row],['# Exterior Compactors]]=0,"",VLOOKUP(Data[[#This Row],[DEVELOPMENT]],[5]!Table1[[DEVELOPMENTS]:[Installation Date of Exterior Compactor]],8,FALSE))</f>
        <v/>
      </c>
      <c r="N13" s="20">
        <f>Data[[#This Row],['# Interior Compactors]]</f>
        <v>0</v>
      </c>
      <c r="O13" s="20">
        <f>1</f>
        <v>1</v>
      </c>
      <c r="P13" s="20">
        <f>1</f>
        <v>1</v>
      </c>
      <c r="Q13" s="20">
        <f>1</f>
        <v>1</v>
      </c>
      <c r="R13" s="20">
        <f>1</f>
        <v>1</v>
      </c>
      <c r="S13" s="20">
        <f>1</f>
        <v>1</v>
      </c>
      <c r="T13" s="20">
        <f>Data[[#This Row],[DUs]]</f>
        <v>200</v>
      </c>
      <c r="U1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" s="101">
        <f>VLOOKUP(Data[[#This Row],[DEVELOPMENT]],'[2]NYCHA_Development_Data_Book 201'!$B$2:$E$324,3,FALSE)</f>
        <v>196</v>
      </c>
      <c r="Y13" s="20"/>
      <c r="Z13" s="20">
        <f>IFERROR(VLOOKUP(Data[[#This Row],[TDS]],'[7]Static Ext by TDS'!$A$5:$E$120,2,FALSE),0)</f>
        <v>0</v>
      </c>
      <c r="AA13" s="20">
        <f>IFERROR(VLOOKUP(Data[[#This Row],[TDS]],'[7]Static Int by TDS'!$A$6:$O$305,2,FALSE),0)</f>
        <v>2</v>
      </c>
      <c r="AB13" s="20"/>
      <c r="AC13" s="20"/>
      <c r="AD13" s="20">
        <f>IFERROR(VLOOKUP(Data[[#This Row],[TDS]],'[7]Static Ext by TDS'!$A$5:$P$120,3,FALSE)+VLOOKUP(Data[[#This Row],[TDS]],'[7]Static Ext by TDS'!$A$5:$P$120,6,FALSE),0)</f>
        <v>0</v>
      </c>
      <c r="AE13" s="20">
        <f>IFERROR(VLOOKUP(Data[[#This Row],[TDS]],'[7]Static Int by TDS'!$A$6:$O$305,3,FALSE)+VLOOKUP(Data[[#This Row],[TDS]],'[7]Static Int by TDS'!$A$6:$O$305,6,FALSE),0)</f>
        <v>2</v>
      </c>
      <c r="AF13" s="20" t="str">
        <f>VLOOKUP(Data[[#This Row],[DEVELOPMENT]],[8]Developments!$A$2:$A$312,1,FALSE)</f>
        <v>572 WARREN STREET</v>
      </c>
    </row>
    <row r="14" spans="1:32" x14ac:dyDescent="0.25">
      <c r="A14" t="s">
        <v>165</v>
      </c>
      <c r="B14" s="20" t="str">
        <f>VLOOKUP(Data[[#This Row],[DEVELOPMENT]],'[2]NYCHA_Development_Data_Book 201'!$B$2:$AY$324,40,FALSE)</f>
        <v>MANHATTAN</v>
      </c>
      <c r="C14" s="20" t="str">
        <f>VLOOKUP(Data[[#This Row],[DEVELOPMENT]],'[3]Cheat-Sheet'!$D$2:$Q$341,2,FALSE)</f>
        <v>DOUGLASS</v>
      </c>
      <c r="D14" s="20" t="str">
        <f>IF(VLOOKUP(Data[[#This Row],[DEVELOPMENT]],'[4]IC Categories'!$A$2:$G$325,3,FALSE)=0,"",VLOOKUP(Data[[#This Row],[DEVELOPMENT]],'[4]IC Categories'!$A$2:$G$325,3,FALSE))</f>
        <v/>
      </c>
      <c r="E14" s="20">
        <f>VLOOKUP(Data[[#This Row],[DEVELOPMENT]],'[2]NYCHA_Development_Data_Book 201'!$B$2:$AY$324,21,FALSE)</f>
        <v>1</v>
      </c>
      <c r="F14" s="20">
        <f>VLOOKUP(Data[[#This Row],[DEVELOPMENT]],'[2]NYCHA_Development_Data_Book 201'!$B$2:$AY$324,23,FALSE)</f>
        <v>1</v>
      </c>
      <c r="G14" s="20">
        <f>VLOOKUP(Data[[#This Row],[DEVELOPMENT]],'[2]NYCHA_Development_Data_Book 201'!$B$2:$AY$324,12,FALSE)</f>
        <v>158</v>
      </c>
      <c r="J14">
        <f>IFERROR(VLOOKUP(Data[[#This Row],[DEVELOPMENT]],[5]!Table1[[DEVELOPMENTS]:[Installation Date of Exterior Compactor]],4,FALSE),0)</f>
        <v>0</v>
      </c>
      <c r="K14" s="20">
        <f>IFERROR(VLOOKUP(Data[[#This Row],[DEVELOPMENT]],[5]!Table1[[DEVELOPMENTS]:[Installation Date of Exterior Compactor]],7,FALSE),0)</f>
        <v>0</v>
      </c>
      <c r="L14" s="42" t="str">
        <f>IF(Data[[#This Row],['# Interior Compactors]]=0,"",VLOOKUP(Data[[#This Row],[DEVELOPMENT]],[5]!Table1[[DEVELOPMENTS]:[Installation Date of Exterior Compactor]],5,FALSE))</f>
        <v/>
      </c>
      <c r="M14" s="43" t="str">
        <f>IF(Data[[#This Row],['# Exterior Compactors]]=0,"",VLOOKUP(Data[[#This Row],[DEVELOPMENT]],[5]!Table1[[DEVELOPMENTS]:[Installation Date of Exterior Compactor]],8,FALSE))</f>
        <v/>
      </c>
      <c r="N14" s="20">
        <f>Data[[#This Row],['# Interior Compactors]]</f>
        <v>0</v>
      </c>
      <c r="O14" s="20">
        <f>1</f>
        <v>1</v>
      </c>
      <c r="P14" s="20">
        <f>1</f>
        <v>1</v>
      </c>
      <c r="Q14" s="20">
        <f>1</f>
        <v>1</v>
      </c>
      <c r="R14" s="20">
        <f>1</f>
        <v>1</v>
      </c>
      <c r="S14" s="20">
        <f>1</f>
        <v>1</v>
      </c>
      <c r="T14" s="20">
        <f>Data[[#This Row],[DUs]]</f>
        <v>158</v>
      </c>
      <c r="U1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" s="101">
        <f>VLOOKUP(Data[[#This Row],[DEVELOPMENT]],'[2]NYCHA_Development_Data_Book 201'!$B$2:$E$324,3,FALSE)</f>
        <v>150</v>
      </c>
      <c r="Y14" s="20"/>
      <c r="Z14" s="20">
        <f>IFERROR(VLOOKUP(Data[[#This Row],[TDS]],'[7]Static Ext by TDS'!$A$5:$E$120,2,FALSE),0)</f>
        <v>0</v>
      </c>
      <c r="AA14" s="20">
        <f>IFERROR(VLOOKUP(Data[[#This Row],[TDS]],'[7]Static Int by TDS'!$A$6:$O$305,2,FALSE),0)</f>
        <v>2</v>
      </c>
      <c r="AB14" s="20"/>
      <c r="AC14" s="20"/>
      <c r="AD14" s="20">
        <f>IFERROR(VLOOKUP(Data[[#This Row],[TDS]],'[7]Static Ext by TDS'!$A$5:$P$120,3,FALSE)+VLOOKUP(Data[[#This Row],[TDS]],'[7]Static Ext by TDS'!$A$5:$P$120,6,FALSE),0)</f>
        <v>0</v>
      </c>
      <c r="AE14" s="20">
        <f>IFERROR(VLOOKUP(Data[[#This Row],[TDS]],'[7]Static Int by TDS'!$A$6:$O$305,3,FALSE)+VLOOKUP(Data[[#This Row],[TDS]],'[7]Static Int by TDS'!$A$6:$O$305,6,FALSE),0)</f>
        <v>2</v>
      </c>
      <c r="AF14" s="20" t="str">
        <f>VLOOKUP(Data[[#This Row],[DEVELOPMENT]],[8]Developments!$A$2:$A$312,1,FALSE)</f>
        <v>830 AMSTERDAM AVENUE</v>
      </c>
    </row>
    <row r="15" spans="1:32" x14ac:dyDescent="0.25">
      <c r="A15" t="s">
        <v>166</v>
      </c>
      <c r="B15" s="20" t="str">
        <f>VLOOKUP(Data[[#This Row],[DEVELOPMENT]],'[2]NYCHA_Development_Data_Book 201'!$B$2:$AY$324,40,FALSE)</f>
        <v>BRONX</v>
      </c>
      <c r="C15" s="20" t="str">
        <f>VLOOKUP(Data[[#This Row],[DEVELOPMENT]],'[3]Cheat-Sheet'!$D$2:$Q$341,2,FALSE)</f>
        <v>ADAMS</v>
      </c>
      <c r="D15" s="20" t="str">
        <f>IF(VLOOKUP(Data[[#This Row],[DEVELOPMENT]],'[4]IC Categories'!$A$2:$G$325,3,FALSE)=0,"",VLOOKUP(Data[[#This Row],[DEVELOPMENT]],'[4]IC Categories'!$A$2:$G$325,3,FALSE))</f>
        <v/>
      </c>
      <c r="E15" s="20">
        <f>VLOOKUP(Data[[#This Row],[DEVELOPMENT]],'[2]NYCHA_Development_Data_Book 201'!$B$2:$AY$324,21,FALSE)</f>
        <v>7</v>
      </c>
      <c r="F15" s="20">
        <f>VLOOKUP(Data[[#This Row],[DEVELOPMENT]],'[2]NYCHA_Development_Data_Book 201'!$B$2:$AY$324,23,FALSE)</f>
        <v>7</v>
      </c>
      <c r="G15" s="20">
        <f>VLOOKUP(Data[[#This Row],[DEVELOPMENT]],'[2]NYCHA_Development_Data_Book 201'!$B$2:$AY$324,12,FALSE)</f>
        <v>924</v>
      </c>
      <c r="J15">
        <f>IFERROR(VLOOKUP(Data[[#This Row],[DEVELOPMENT]],[5]!Table1[[DEVELOPMENTS]:[Installation Date of Exterior Compactor]],4,FALSE),0)</f>
        <v>0</v>
      </c>
      <c r="K15" s="20">
        <f>IFERROR(VLOOKUP(Data[[#This Row],[DEVELOPMENT]],[5]!Table1[[DEVELOPMENTS]:[Installation Date of Exterior Compactor]],7,FALSE),0)</f>
        <v>0</v>
      </c>
      <c r="L15" s="42" t="str">
        <f>IF(Data[[#This Row],['# Interior Compactors]]=0,"",VLOOKUP(Data[[#This Row],[DEVELOPMENT]],[5]!Table1[[DEVELOPMENTS]:[Installation Date of Exterior Compactor]],5,FALSE))</f>
        <v/>
      </c>
      <c r="M15" s="43" t="str">
        <f>IF(Data[[#This Row],['# Exterior Compactors]]=0,"",VLOOKUP(Data[[#This Row],[DEVELOPMENT]],[5]!Table1[[DEVELOPMENTS]:[Installation Date of Exterior Compactor]],8,FALSE))</f>
        <v/>
      </c>
      <c r="N15" s="20">
        <f>Data[[#This Row],['# Interior Compactors]]</f>
        <v>0</v>
      </c>
      <c r="O15" s="20">
        <f>1</f>
        <v>1</v>
      </c>
      <c r="P15" s="20">
        <f>1</f>
        <v>1</v>
      </c>
      <c r="Q15" s="20">
        <f>1</f>
        <v>1</v>
      </c>
      <c r="R15" s="20">
        <f>1</f>
        <v>1</v>
      </c>
      <c r="S15" s="20">
        <f>1</f>
        <v>1</v>
      </c>
      <c r="T15" s="20">
        <f>Data[[#This Row],[DUs]]</f>
        <v>924</v>
      </c>
      <c r="U1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" s="101">
        <f>VLOOKUP(Data[[#This Row],[DEVELOPMENT]],'[2]NYCHA_Development_Data_Book 201'!$B$2:$E$324,3,FALSE)</f>
        <v>118</v>
      </c>
      <c r="Y15" s="20"/>
      <c r="Z15" s="20">
        <f>IFERROR(VLOOKUP(Data[[#This Row],[TDS]],'[7]Static Ext by TDS'!$A$5:$E$120,2,FALSE),0)</f>
        <v>2</v>
      </c>
      <c r="AA15" s="20">
        <f>IFERROR(VLOOKUP(Data[[#This Row],[TDS]],'[7]Static Int by TDS'!$A$6:$O$305,2,FALSE),0)</f>
        <v>7</v>
      </c>
      <c r="AB15" s="20"/>
      <c r="AC15" s="20"/>
      <c r="AD15" s="20">
        <f>IFERROR(VLOOKUP(Data[[#This Row],[TDS]],'[7]Static Ext by TDS'!$A$5:$P$120,3,FALSE)+VLOOKUP(Data[[#This Row],[TDS]],'[7]Static Ext by TDS'!$A$5:$P$120,6,FALSE),0)</f>
        <v>2</v>
      </c>
      <c r="AE15" s="20">
        <f>IFERROR(VLOOKUP(Data[[#This Row],[TDS]],'[7]Static Int by TDS'!$A$6:$O$305,3,FALSE)+VLOOKUP(Data[[#This Row],[TDS]],'[7]Static Int by TDS'!$A$6:$O$305,6,FALSE),0)</f>
        <v>7</v>
      </c>
      <c r="AF15" s="20" t="str">
        <f>VLOOKUP(Data[[#This Row],[DEVELOPMENT]],[8]Developments!$A$2:$A$312,1,FALSE)</f>
        <v>ADAMS</v>
      </c>
    </row>
    <row r="16" spans="1:32" x14ac:dyDescent="0.25">
      <c r="A16" t="s">
        <v>167</v>
      </c>
      <c r="B16" s="20" t="str">
        <f>VLOOKUP(Data[[#This Row],[DEVELOPMENT]],'[2]NYCHA_Development_Data_Book 201'!$B$2:$AY$324,40,FALSE)</f>
        <v>BROOKLYN</v>
      </c>
      <c r="C16" s="20" t="str">
        <f>VLOOKUP(Data[[#This Row],[DEVELOPMENT]],'[3]Cheat-Sheet'!$D$2:$Q$341,2,FALSE)</f>
        <v>ALBANY</v>
      </c>
      <c r="D16" s="20">
        <f>IF(VLOOKUP(Data[[#This Row],[DEVELOPMENT]],'[4]IC Categories'!$A$2:$G$325,3,FALSE)=0,"",VLOOKUP(Data[[#This Row],[DEVELOPMENT]],'[4]IC Categories'!$A$2:$G$325,3,FALSE))</f>
        <v>2025</v>
      </c>
      <c r="E16" s="20">
        <f>VLOOKUP(Data[[#This Row],[DEVELOPMENT]],'[2]NYCHA_Development_Data_Book 201'!$B$2:$AY$324,21,FALSE)</f>
        <v>6</v>
      </c>
      <c r="F16" s="20">
        <f>VLOOKUP(Data[[#This Row],[DEVELOPMENT]],'[2]NYCHA_Development_Data_Book 201'!$B$2:$AY$324,23,FALSE)</f>
        <v>6</v>
      </c>
      <c r="G16" s="20">
        <f>VLOOKUP(Data[[#This Row],[DEVELOPMENT]],'[2]NYCHA_Development_Data_Book 201'!$B$2:$AY$324,12,FALSE)</f>
        <v>823</v>
      </c>
      <c r="J16">
        <f>IFERROR(VLOOKUP(Data[[#This Row],[DEVELOPMENT]],[5]!Table1[[DEVELOPMENTS]:[Installation Date of Exterior Compactor]],4,FALSE),0)</f>
        <v>0</v>
      </c>
      <c r="K16" s="20">
        <f>IFERROR(VLOOKUP(Data[[#This Row],[DEVELOPMENT]],[5]!Table1[[DEVELOPMENTS]:[Installation Date of Exterior Compactor]],7,FALSE),0)</f>
        <v>0</v>
      </c>
      <c r="L16" s="42" t="str">
        <f>IF(Data[[#This Row],['# Interior Compactors]]=0,"",VLOOKUP(Data[[#This Row],[DEVELOPMENT]],[5]!Table1[[DEVELOPMENTS]:[Installation Date of Exterior Compactor]],5,FALSE))</f>
        <v/>
      </c>
      <c r="M16" s="43" t="str">
        <f>IF(Data[[#This Row],['# Exterior Compactors]]=0,"",VLOOKUP(Data[[#This Row],[DEVELOPMENT]],[5]!Table1[[DEVELOPMENTS]:[Installation Date of Exterior Compactor]],8,FALSE))</f>
        <v/>
      </c>
      <c r="N16" s="20">
        <f>Data[[#This Row],['# Interior Compactors]]</f>
        <v>0</v>
      </c>
      <c r="O16" s="20">
        <f>1</f>
        <v>1</v>
      </c>
      <c r="P16" s="20">
        <f>1</f>
        <v>1</v>
      </c>
      <c r="Q16" s="20">
        <f>1</f>
        <v>1</v>
      </c>
      <c r="R16" s="20">
        <f>1</f>
        <v>1</v>
      </c>
      <c r="S16" s="20">
        <f>1</f>
        <v>1</v>
      </c>
      <c r="T16" s="20">
        <f>Data[[#This Row],[DUs]]</f>
        <v>823</v>
      </c>
      <c r="U1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" s="101">
        <f>VLOOKUP(Data[[#This Row],[DEVELOPMENT]],'[2]NYCHA_Development_Data_Book 201'!$B$2:$E$324,3,FALSE)</f>
        <v>31</v>
      </c>
      <c r="Y16" s="20" t="s">
        <v>473</v>
      </c>
      <c r="Z16" s="20">
        <f>IFERROR(VLOOKUP(Data[[#This Row],[TDS]],'[7]Static Ext by TDS'!$A$5:$E$120,2,FALSE),0)</f>
        <v>0</v>
      </c>
      <c r="AA16" s="20">
        <f>IFERROR(VLOOKUP(Data[[#This Row],[TDS]],'[7]Static Int by TDS'!$A$6:$O$305,2,FALSE),0)</f>
        <v>6</v>
      </c>
      <c r="AB16" s="20"/>
      <c r="AC16" s="20"/>
      <c r="AD16" s="20">
        <f>IFERROR(VLOOKUP(Data[[#This Row],[TDS]],'[7]Static Ext by TDS'!$A$5:$P$120,3,FALSE)+VLOOKUP(Data[[#This Row],[TDS]],'[7]Static Ext by TDS'!$A$5:$P$120,6,FALSE),0)</f>
        <v>0</v>
      </c>
      <c r="AE16" s="20">
        <f>IFERROR(VLOOKUP(Data[[#This Row],[TDS]],'[7]Static Int by TDS'!$A$6:$O$305,3,FALSE)+VLOOKUP(Data[[#This Row],[TDS]],'[7]Static Int by TDS'!$A$6:$O$305,6,FALSE),0)</f>
        <v>6</v>
      </c>
      <c r="AF16" s="20" t="str">
        <f>VLOOKUP(Data[[#This Row],[DEVELOPMENT]],[8]Developments!$A$2:$A$312,1,FALSE)</f>
        <v>ALBANY</v>
      </c>
    </row>
    <row r="17" spans="1:32" x14ac:dyDescent="0.25">
      <c r="A17" t="s">
        <v>168</v>
      </c>
      <c r="B17" s="20" t="str">
        <f>VLOOKUP(Data[[#This Row],[DEVELOPMENT]],'[2]NYCHA_Development_Data_Book 201'!$B$2:$AY$324,40,FALSE)</f>
        <v>BROOKLYN</v>
      </c>
      <c r="C17" s="20" t="str">
        <f>VLOOKUP(Data[[#This Row],[DEVELOPMENT]],'[3]Cheat-Sheet'!$D$2:$Q$341,2,FALSE)</f>
        <v>ALBANY</v>
      </c>
      <c r="D17" s="20">
        <f>IF(VLOOKUP(Data[[#This Row],[DEVELOPMENT]],'[4]IC Categories'!$A$2:$G$325,3,FALSE)=0,"",VLOOKUP(Data[[#This Row],[DEVELOPMENT]],'[4]IC Categories'!$A$2:$G$325,3,FALSE))</f>
        <v>2025</v>
      </c>
      <c r="E17" s="20">
        <f>VLOOKUP(Data[[#This Row],[DEVELOPMENT]],'[2]NYCHA_Development_Data_Book 201'!$B$2:$AY$324,21,FALSE)</f>
        <v>3</v>
      </c>
      <c r="F17" s="20">
        <f>VLOOKUP(Data[[#This Row],[DEVELOPMENT]],'[2]NYCHA_Development_Data_Book 201'!$B$2:$AY$324,23,FALSE)</f>
        <v>3</v>
      </c>
      <c r="G17" s="20">
        <f>VLOOKUP(Data[[#This Row],[DEVELOPMENT]],'[2]NYCHA_Development_Data_Book 201'!$B$2:$AY$324,12,FALSE)</f>
        <v>400</v>
      </c>
      <c r="J17">
        <f>IFERROR(VLOOKUP(Data[[#This Row],[DEVELOPMENT]],[5]!Table1[[DEVELOPMENTS]:[Installation Date of Exterior Compactor]],4,FALSE),0)</f>
        <v>0</v>
      </c>
      <c r="K17" s="20">
        <f>IFERROR(VLOOKUP(Data[[#This Row],[DEVELOPMENT]],[5]!Table1[[DEVELOPMENTS]:[Installation Date of Exterior Compactor]],7,FALSE),0)</f>
        <v>0</v>
      </c>
      <c r="L17" s="42" t="str">
        <f>IF(Data[[#This Row],['# Interior Compactors]]=0,"",VLOOKUP(Data[[#This Row],[DEVELOPMENT]],[5]!Table1[[DEVELOPMENTS]:[Installation Date of Exterior Compactor]],5,FALSE))</f>
        <v/>
      </c>
      <c r="M17" s="43" t="str">
        <f>IF(Data[[#This Row],['# Exterior Compactors]]=0,"",VLOOKUP(Data[[#This Row],[DEVELOPMENT]],[5]!Table1[[DEVELOPMENTS]:[Installation Date of Exterior Compactor]],8,FALSE))</f>
        <v/>
      </c>
      <c r="N17" s="20">
        <f>Data[[#This Row],['# Interior Compactors]]</f>
        <v>0</v>
      </c>
      <c r="O17" s="20">
        <f>1</f>
        <v>1</v>
      </c>
      <c r="P17" s="20">
        <f>1</f>
        <v>1</v>
      </c>
      <c r="Q17" s="20">
        <f>1</f>
        <v>1</v>
      </c>
      <c r="R17" s="20">
        <f>1</f>
        <v>1</v>
      </c>
      <c r="S17" s="20">
        <f>1</f>
        <v>1</v>
      </c>
      <c r="T17" s="20">
        <f>Data[[#This Row],[DUs]]</f>
        <v>400</v>
      </c>
      <c r="U1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" s="101">
        <f>VLOOKUP(Data[[#This Row],[DEVELOPMENT]],'[2]NYCHA_Development_Data_Book 201'!$B$2:$E$324,3,FALSE)</f>
        <v>85</v>
      </c>
      <c r="Y17" s="20" t="s">
        <v>473</v>
      </c>
      <c r="Z17" s="20">
        <f>IFERROR(VLOOKUP(Data[[#This Row],[TDS]],'[7]Static Ext by TDS'!$A$5:$E$120,2,FALSE),0)</f>
        <v>3</v>
      </c>
      <c r="AA17" s="20">
        <f>IFERROR(VLOOKUP(Data[[#This Row],[TDS]],'[7]Static Int by TDS'!$A$6:$O$305,2,FALSE),0)</f>
        <v>3</v>
      </c>
      <c r="AB17" s="20"/>
      <c r="AC17" s="20"/>
      <c r="AD17" s="20">
        <f>IFERROR(VLOOKUP(Data[[#This Row],[TDS]],'[7]Static Ext by TDS'!$A$5:$P$120,3,FALSE)+VLOOKUP(Data[[#This Row],[TDS]],'[7]Static Ext by TDS'!$A$5:$P$120,6,FALSE),0)</f>
        <v>3</v>
      </c>
      <c r="AE17" s="20">
        <f>IFERROR(VLOOKUP(Data[[#This Row],[TDS]],'[7]Static Int by TDS'!$A$6:$O$305,3,FALSE)+VLOOKUP(Data[[#This Row],[TDS]],'[7]Static Int by TDS'!$A$6:$O$305,6,FALSE),0)</f>
        <v>3</v>
      </c>
      <c r="AF17" s="20" t="str">
        <f>VLOOKUP(Data[[#This Row],[DEVELOPMENT]],[8]Developments!$A$2:$A$312,1,FALSE)</f>
        <v>ALBANY II</v>
      </c>
    </row>
    <row r="18" spans="1:32" x14ac:dyDescent="0.25">
      <c r="A18" t="s">
        <v>169</v>
      </c>
      <c r="B18" s="20" t="str">
        <f>VLOOKUP(Data[[#This Row],[DEVELOPMENT]],'[2]NYCHA_Development_Data_Book 201'!$B$2:$AY$324,40,FALSE)</f>
        <v>MANHATTAN</v>
      </c>
      <c r="C18" s="20" t="str">
        <f>VLOOKUP(Data[[#This Row],[DEVELOPMENT]],'[3]Cheat-Sheet'!$D$2:$Q$341,2,FALSE)</f>
        <v>AMSTERDAM</v>
      </c>
      <c r="D18" s="20" t="str">
        <f>IF(VLOOKUP(Data[[#This Row],[DEVELOPMENT]],'[4]IC Categories'!$A$2:$G$325,3,FALSE)=0,"",VLOOKUP(Data[[#This Row],[DEVELOPMENT]],'[4]IC Categories'!$A$2:$G$325,3,FALSE))</f>
        <v/>
      </c>
      <c r="E18" s="20">
        <f>VLOOKUP(Data[[#This Row],[DEVELOPMENT]],'[2]NYCHA_Development_Data_Book 201'!$B$2:$AY$324,21,FALSE)</f>
        <v>13</v>
      </c>
      <c r="F18" s="20">
        <f>VLOOKUP(Data[[#This Row],[DEVELOPMENT]],'[2]NYCHA_Development_Data_Book 201'!$B$2:$AY$324,23,FALSE)</f>
        <v>24</v>
      </c>
      <c r="G18" s="20">
        <f>VLOOKUP(Data[[#This Row],[DEVELOPMENT]],'[2]NYCHA_Development_Data_Book 201'!$B$2:$AY$324,12,FALSE)</f>
        <v>1084</v>
      </c>
      <c r="H18" t="s">
        <v>476</v>
      </c>
      <c r="J18">
        <f>IFERROR(VLOOKUP(Data[[#This Row],[DEVELOPMENT]],[5]!Table1[[DEVELOPMENTS]:[Installation Date of Exterior Compactor]],4,FALSE),0)</f>
        <v>0</v>
      </c>
      <c r="K18" s="20">
        <f>IFERROR(VLOOKUP(Data[[#This Row],[DEVELOPMENT]],[5]!Table1[[DEVELOPMENTS]:[Installation Date of Exterior Compactor]],7,FALSE),0)</f>
        <v>0</v>
      </c>
      <c r="L18" s="42" t="str">
        <f>IF(Data[[#This Row],['# Interior Compactors]]=0,"",VLOOKUP(Data[[#This Row],[DEVELOPMENT]],[5]!Table1[[DEVELOPMENTS]:[Installation Date of Exterior Compactor]],5,FALSE))</f>
        <v/>
      </c>
      <c r="M18" s="43" t="str">
        <f>IF(Data[[#This Row],['# Exterior Compactors]]=0,"",VLOOKUP(Data[[#This Row],[DEVELOPMENT]],[5]!Table1[[DEVELOPMENTS]:[Installation Date of Exterior Compactor]],8,FALSE))</f>
        <v/>
      </c>
      <c r="N18" s="20">
        <f>Data[[#This Row],['# Interior Compactors]]</f>
        <v>0</v>
      </c>
      <c r="O18" s="20">
        <f>1</f>
        <v>1</v>
      </c>
      <c r="P18" s="20">
        <f>1</f>
        <v>1</v>
      </c>
      <c r="Q18" s="20">
        <f>1</f>
        <v>1</v>
      </c>
      <c r="R18" s="20">
        <f>1</f>
        <v>1</v>
      </c>
      <c r="S18" s="20">
        <f>1</f>
        <v>1</v>
      </c>
      <c r="T18" s="20">
        <f>Data[[#This Row],[DUs]]</f>
        <v>1084</v>
      </c>
      <c r="U1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" s="101">
        <f>VLOOKUP(Data[[#This Row],[DEVELOPMENT]],'[2]NYCHA_Development_Data_Book 201'!$B$2:$E$324,3,FALSE)</f>
        <v>22</v>
      </c>
      <c r="Y18" s="20"/>
      <c r="Z18" s="20">
        <f>IFERROR(VLOOKUP(Data[[#This Row],[TDS]],'[7]Static Ext by TDS'!$A$5:$E$120,2,FALSE),0)</f>
        <v>3</v>
      </c>
      <c r="AA18" s="20">
        <f>IFERROR(VLOOKUP(Data[[#This Row],[TDS]],'[7]Static Int by TDS'!$A$6:$O$305,2,FALSE),0)</f>
        <v>24</v>
      </c>
      <c r="AB18" s="20"/>
      <c r="AC18" s="20"/>
      <c r="AD18" s="20">
        <f>IFERROR(VLOOKUP(Data[[#This Row],[TDS]],'[7]Static Ext by TDS'!$A$5:$P$120,3,FALSE)+VLOOKUP(Data[[#This Row],[TDS]],'[7]Static Ext by TDS'!$A$5:$P$120,6,FALSE),0)</f>
        <v>3</v>
      </c>
      <c r="AE18" s="20">
        <f>IFERROR(VLOOKUP(Data[[#This Row],[TDS]],'[7]Static Int by TDS'!$A$6:$O$305,3,FALSE)+VLOOKUP(Data[[#This Row],[TDS]],'[7]Static Int by TDS'!$A$6:$O$305,6,FALSE),0)</f>
        <v>24</v>
      </c>
      <c r="AF18" s="20" t="str">
        <f>VLOOKUP(Data[[#This Row],[DEVELOPMENT]],[8]Developments!$A$2:$A$312,1,FALSE)</f>
        <v>AMSTERDAM</v>
      </c>
    </row>
    <row r="19" spans="1:32" x14ac:dyDescent="0.25">
      <c r="A19" t="s">
        <v>170</v>
      </c>
      <c r="B19" s="20" t="str">
        <f>VLOOKUP(Data[[#This Row],[DEVELOPMENT]],'[2]NYCHA_Development_Data_Book 201'!$B$2:$AY$324,40,FALSE)</f>
        <v>MANHATTAN</v>
      </c>
      <c r="C19" s="20" t="str">
        <f>VLOOKUP(Data[[#This Row],[DEVELOPMENT]],'[3]Cheat-Sheet'!$D$2:$Q$341,2,FALSE)</f>
        <v>AMSTERDAM</v>
      </c>
      <c r="D19" s="20" t="str">
        <f>IF(VLOOKUP(Data[[#This Row],[DEVELOPMENT]],'[4]IC Categories'!$A$2:$G$325,3,FALSE)=0,"",VLOOKUP(Data[[#This Row],[DEVELOPMENT]],'[4]IC Categories'!$A$2:$G$325,3,FALSE))</f>
        <v/>
      </c>
      <c r="E19" s="20">
        <f>VLOOKUP(Data[[#This Row],[DEVELOPMENT]],'[2]NYCHA_Development_Data_Book 201'!$B$2:$AY$324,21,FALSE)</f>
        <v>1</v>
      </c>
      <c r="F19" s="20">
        <f>VLOOKUP(Data[[#This Row],[DEVELOPMENT]],'[2]NYCHA_Development_Data_Book 201'!$B$2:$AY$324,23,FALSE)</f>
        <v>1</v>
      </c>
      <c r="G19" s="20">
        <f>VLOOKUP(Data[[#This Row],[DEVELOPMENT]],'[2]NYCHA_Development_Data_Book 201'!$B$2:$AY$324,12,FALSE)</f>
        <v>175</v>
      </c>
      <c r="J19">
        <f>IFERROR(VLOOKUP(Data[[#This Row],[DEVELOPMENT]],[5]!Table1[[DEVELOPMENTS]:[Installation Date of Exterior Compactor]],4,FALSE),0)</f>
        <v>0</v>
      </c>
      <c r="K19" s="20">
        <f>IFERROR(VLOOKUP(Data[[#This Row],[DEVELOPMENT]],[5]!Table1[[DEVELOPMENTS]:[Installation Date of Exterior Compactor]],7,FALSE),0)</f>
        <v>0</v>
      </c>
      <c r="L19" s="42" t="str">
        <f>IF(Data[[#This Row],['# Interior Compactors]]=0,"",VLOOKUP(Data[[#This Row],[DEVELOPMENT]],[5]!Table1[[DEVELOPMENTS]:[Installation Date of Exterior Compactor]],5,FALSE))</f>
        <v/>
      </c>
      <c r="M19" s="43" t="str">
        <f>IF(Data[[#This Row],['# Exterior Compactors]]=0,"",VLOOKUP(Data[[#This Row],[DEVELOPMENT]],[5]!Table1[[DEVELOPMENTS]:[Installation Date of Exterior Compactor]],8,FALSE))</f>
        <v/>
      </c>
      <c r="N19" s="20">
        <f>Data[[#This Row],['# Interior Compactors]]</f>
        <v>0</v>
      </c>
      <c r="O19" s="20">
        <f>1</f>
        <v>1</v>
      </c>
      <c r="P19" s="20">
        <f>1</f>
        <v>1</v>
      </c>
      <c r="Q19" s="20">
        <f>1</f>
        <v>1</v>
      </c>
      <c r="R19" s="20">
        <f>1</f>
        <v>1</v>
      </c>
      <c r="S19" s="20">
        <f>1</f>
        <v>1</v>
      </c>
      <c r="T19" s="20">
        <f>Data[[#This Row],[DUs]]</f>
        <v>175</v>
      </c>
      <c r="U1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" s="101">
        <f>VLOOKUP(Data[[#This Row],[DEVELOPMENT]],'[2]NYCHA_Development_Data_Book 201'!$B$2:$E$324,3,FALSE)</f>
        <v>187</v>
      </c>
      <c r="Y19" s="20"/>
      <c r="Z19" s="20">
        <f>IFERROR(VLOOKUP(Data[[#This Row],[TDS]],'[7]Static Ext by TDS'!$A$5:$E$120,2,FALSE),0)</f>
        <v>0</v>
      </c>
      <c r="AA19" s="20">
        <f>IFERROR(VLOOKUP(Data[[#This Row],[TDS]],'[7]Static Int by TDS'!$A$6:$O$305,2,FALSE),0)</f>
        <v>2</v>
      </c>
      <c r="AB19" s="20"/>
      <c r="AC19" s="20"/>
      <c r="AD19" s="20">
        <f>IFERROR(VLOOKUP(Data[[#This Row],[TDS]],'[7]Static Ext by TDS'!$A$5:$P$120,3,FALSE)+VLOOKUP(Data[[#This Row],[TDS]],'[7]Static Ext by TDS'!$A$5:$P$120,6,FALSE),0)</f>
        <v>0</v>
      </c>
      <c r="AE19" s="20">
        <f>IFERROR(VLOOKUP(Data[[#This Row],[TDS]],'[7]Static Int by TDS'!$A$6:$O$305,3,FALSE)+VLOOKUP(Data[[#This Row],[TDS]],'[7]Static Int by TDS'!$A$6:$O$305,6,FALSE),0)</f>
        <v>2</v>
      </c>
      <c r="AF19" s="20" t="str">
        <f>VLOOKUP(Data[[#This Row],[DEVELOPMENT]],[8]Developments!$A$2:$A$312,1,FALSE)</f>
        <v>AMSTERDAM ADDITION</v>
      </c>
    </row>
    <row r="20" spans="1:32" x14ac:dyDescent="0.25">
      <c r="A20" s="17" t="s">
        <v>171</v>
      </c>
      <c r="B20" t="str">
        <f>VLOOKUP(Data[[#This Row],[DEVELOPMENT]],'[2]NYCHA_Development_Data_Book 201'!$B$2:$AY$324,40,FALSE)</f>
        <v>BROOKLYN</v>
      </c>
      <c r="C20" t="str">
        <f>VLOOKUP(Data[[#This Row],[DEVELOPMENT]],'[3]Cheat-Sheet'!$D$2:$Q$341,2,FALSE)</f>
        <v>ARMSTRONG I</v>
      </c>
      <c r="D20" t="str">
        <f>IF(VLOOKUP(Data[[#This Row],[DEVELOPMENT]],'[4]IC Categories'!$A$2:$G$325,3,FALSE)=0,"",VLOOKUP(Data[[#This Row],[DEVELOPMENT]],'[4]IC Categories'!$A$2:$G$325,3,FALSE))</f>
        <v/>
      </c>
      <c r="E20">
        <f>VLOOKUP(Data[[#This Row],[DEVELOPMENT]],'[2]NYCHA_Development_Data_Book 201'!$B$2:$AY$324,21,FALSE)</f>
        <v>11</v>
      </c>
      <c r="F20">
        <f>VLOOKUP(Data[[#This Row],[DEVELOPMENT]],'[2]NYCHA_Development_Data_Book 201'!$B$2:$AY$324,23,FALSE)</f>
        <v>58</v>
      </c>
      <c r="G20">
        <f>VLOOKUP(Data[[#This Row],[DEVELOPMENT]],'[2]NYCHA_Development_Data_Book 201'!$B$2:$AY$324,12,FALSE)</f>
        <v>369</v>
      </c>
      <c r="H20" t="s">
        <v>472</v>
      </c>
      <c r="I20" t="s">
        <v>471</v>
      </c>
      <c r="J20">
        <f>IFERROR(VLOOKUP(Data[[#This Row],[DEVELOPMENT]],[5]!Table1[[DEVELOPMENTS]:[Installation Date of Exterior Compactor]],4,FALSE),0)</f>
        <v>0</v>
      </c>
      <c r="K20" s="20">
        <f>IFERROR(VLOOKUP(Data[[#This Row],[DEVELOPMENT]],[5]!Table1[[DEVELOPMENTS]:[Installation Date of Exterior Compactor]],7,FALSE),0)</f>
        <v>0</v>
      </c>
      <c r="L20" s="42" t="str">
        <f>IF(Data[[#This Row],['# Interior Compactors]]=0,"",VLOOKUP(Data[[#This Row],[DEVELOPMENT]],[5]!Table1[[DEVELOPMENTS]:[Installation Date of Exterior Compactor]],5,FALSE))</f>
        <v/>
      </c>
      <c r="M20" s="43" t="str">
        <f>IF(Data[[#This Row],['# Exterior Compactors]]=0,"",VLOOKUP(Data[[#This Row],[DEVELOPMENT]],[5]!Table1[[DEVELOPMENTS]:[Installation Date of Exterior Compactor]],8,FALSE))</f>
        <v/>
      </c>
      <c r="N20">
        <f>Data[[#This Row],['# Interior Compactors]]</f>
        <v>0</v>
      </c>
      <c r="O20" s="20">
        <f>1</f>
        <v>1</v>
      </c>
      <c r="P20" s="20">
        <f>1</f>
        <v>1</v>
      </c>
      <c r="Q20" s="20">
        <f>1</f>
        <v>1</v>
      </c>
      <c r="R20" s="20">
        <f>1</f>
        <v>1</v>
      </c>
      <c r="S20" s="20">
        <f>1</f>
        <v>1</v>
      </c>
      <c r="T20" s="20">
        <f>Data[[#This Row],[DUs]]</f>
        <v>369</v>
      </c>
      <c r="U2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" s="101">
        <f>VLOOKUP(Data[[#This Row],[DEVELOPMENT]],'[2]NYCHA_Development_Data_Book 201'!$B$2:$E$324,3,FALSE)</f>
        <v>210</v>
      </c>
      <c r="Y20" s="20" t="s">
        <v>473</v>
      </c>
      <c r="Z20" s="20">
        <f>IFERROR(VLOOKUP(Data[[#This Row],[TDS]],'[7]Static Ext by TDS'!$A$5:$E$120,2,FALSE),0)</f>
        <v>0</v>
      </c>
      <c r="AA20" s="20">
        <f>IFERROR(VLOOKUP(Data[[#This Row],[TDS]],'[7]Static Int by TDS'!$A$6:$O$305,2,FALSE),0)</f>
        <v>6</v>
      </c>
      <c r="AB20" s="20"/>
      <c r="AC20" s="20"/>
      <c r="AD20" s="20">
        <f>IFERROR(VLOOKUP(Data[[#This Row],[TDS]],'[7]Static Ext by TDS'!$A$5:$P$120,3,FALSE)+VLOOKUP(Data[[#This Row],[TDS]],'[7]Static Ext by TDS'!$A$5:$P$120,6,FALSE),0)</f>
        <v>0</v>
      </c>
      <c r="AE20" s="20">
        <f>IFERROR(VLOOKUP(Data[[#This Row],[TDS]],'[7]Static Int by TDS'!$A$6:$O$305,3,FALSE)+VLOOKUP(Data[[#This Row],[TDS]],'[7]Static Int by TDS'!$A$6:$O$305,6,FALSE),0)</f>
        <v>6</v>
      </c>
      <c r="AF20" s="20" t="str">
        <f>VLOOKUP(Data[[#This Row],[DEVELOPMENT]],[8]Developments!$A$2:$A$312,1,FALSE)</f>
        <v>ARMSTRONG I</v>
      </c>
    </row>
    <row r="21" spans="1:32" x14ac:dyDescent="0.25">
      <c r="A21" s="17" t="s">
        <v>172</v>
      </c>
      <c r="B21" t="str">
        <f>VLOOKUP(Data[[#This Row],[DEVELOPMENT]],'[2]NYCHA_Development_Data_Book 201'!$B$2:$AY$324,40,FALSE)</f>
        <v>BROOKLYN</v>
      </c>
      <c r="C21" t="str">
        <f>VLOOKUP(Data[[#This Row],[DEVELOPMENT]],'[3]Cheat-Sheet'!$D$2:$Q$341,2,FALSE)</f>
        <v>ARMSTRONG I</v>
      </c>
      <c r="D21" t="str">
        <f>IF(VLOOKUP(Data[[#This Row],[DEVELOPMENT]],'[4]IC Categories'!$A$2:$G$325,3,FALSE)=0,"",VLOOKUP(Data[[#This Row],[DEVELOPMENT]],'[4]IC Categories'!$A$2:$G$325,3,FALSE))</f>
        <v/>
      </c>
      <c r="E21">
        <f>VLOOKUP(Data[[#This Row],[DEVELOPMENT]],'[2]NYCHA_Development_Data_Book 201'!$B$2:$AY$324,21,FALSE)</f>
        <v>5</v>
      </c>
      <c r="F21">
        <f>VLOOKUP(Data[[#This Row],[DEVELOPMENT]],'[2]NYCHA_Development_Data_Book 201'!$B$2:$AY$324,23,FALSE)</f>
        <v>17</v>
      </c>
      <c r="G21">
        <f>VLOOKUP(Data[[#This Row],[DEVELOPMENT]],'[2]NYCHA_Development_Data_Book 201'!$B$2:$AY$324,12,FALSE)</f>
        <v>248</v>
      </c>
      <c r="H21" t="s">
        <v>472</v>
      </c>
      <c r="I21" t="s">
        <v>471</v>
      </c>
      <c r="J21">
        <f>IFERROR(VLOOKUP(Data[[#This Row],[DEVELOPMENT]],[5]!Table1[[DEVELOPMENTS]:[Installation Date of Exterior Compactor]],4,FALSE),0)</f>
        <v>0</v>
      </c>
      <c r="K21" s="20">
        <f>IFERROR(VLOOKUP(Data[[#This Row],[DEVELOPMENT]],[5]!Table1[[DEVELOPMENTS]:[Installation Date of Exterior Compactor]],7,FALSE),0)</f>
        <v>0</v>
      </c>
      <c r="L21" s="42" t="str">
        <f>IF(Data[[#This Row],['# Interior Compactors]]=0,"",VLOOKUP(Data[[#This Row],[DEVELOPMENT]],[5]!Table1[[DEVELOPMENTS]:[Installation Date of Exterior Compactor]],5,FALSE))</f>
        <v/>
      </c>
      <c r="M21" s="43" t="str">
        <f>IF(Data[[#This Row],['# Exterior Compactors]]=0,"",VLOOKUP(Data[[#This Row],[DEVELOPMENT]],[5]!Table1[[DEVELOPMENTS]:[Installation Date of Exterior Compactor]],8,FALSE))</f>
        <v/>
      </c>
      <c r="N21">
        <f>Data[[#This Row],['# Interior Compactors]]</f>
        <v>0</v>
      </c>
      <c r="O21" s="20">
        <f>1</f>
        <v>1</v>
      </c>
      <c r="P21" s="20">
        <f>1</f>
        <v>1</v>
      </c>
      <c r="Q21" s="20">
        <f>1</f>
        <v>1</v>
      </c>
      <c r="R21" s="20">
        <f>1</f>
        <v>1</v>
      </c>
      <c r="S21" s="20">
        <f>1</f>
        <v>1</v>
      </c>
      <c r="T21" s="20">
        <f>Data[[#This Row],[DUs]]</f>
        <v>248</v>
      </c>
      <c r="U2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" s="101">
        <f>VLOOKUP(Data[[#This Row],[DEVELOPMENT]],'[2]NYCHA_Development_Data_Book 201'!$B$2:$E$324,3,FALSE)</f>
        <v>228</v>
      </c>
      <c r="Y21" s="20" t="s">
        <v>473</v>
      </c>
      <c r="Z21" s="20">
        <f>IFERROR(VLOOKUP(Data[[#This Row],[TDS]],'[7]Static Ext by TDS'!$A$5:$E$120,2,FALSE),0)</f>
        <v>0</v>
      </c>
      <c r="AA21" s="20">
        <f>IFERROR(VLOOKUP(Data[[#This Row],[TDS]],'[7]Static Int by TDS'!$A$6:$O$305,2,FALSE),0)</f>
        <v>10</v>
      </c>
      <c r="AB21" s="20"/>
      <c r="AC21" s="20"/>
      <c r="AD21" s="20">
        <f>IFERROR(VLOOKUP(Data[[#This Row],[TDS]],'[7]Static Ext by TDS'!$A$5:$P$120,3,FALSE)+VLOOKUP(Data[[#This Row],[TDS]],'[7]Static Ext by TDS'!$A$5:$P$120,6,FALSE),0)</f>
        <v>0</v>
      </c>
      <c r="AE21" s="20">
        <f>IFERROR(VLOOKUP(Data[[#This Row],[TDS]],'[7]Static Int by TDS'!$A$6:$O$305,3,FALSE)+VLOOKUP(Data[[#This Row],[TDS]],'[7]Static Int by TDS'!$A$6:$O$305,6,FALSE),0)</f>
        <v>10</v>
      </c>
      <c r="AF21" s="20" t="str">
        <f>VLOOKUP(Data[[#This Row],[DEVELOPMENT]],[8]Developments!$A$2:$A$312,1,FALSE)</f>
        <v>ARMSTRONG II</v>
      </c>
    </row>
    <row r="22" spans="1:32" x14ac:dyDescent="0.25">
      <c r="A22" t="s">
        <v>173</v>
      </c>
      <c r="B22" s="20" t="str">
        <f>VLOOKUP(Data[[#This Row],[DEVELOPMENT]],'[2]NYCHA_Development_Data_Book 201'!$B$2:$AY$324,40,FALSE)</f>
        <v>QUEENS</v>
      </c>
      <c r="C22" s="20" t="str">
        <f>VLOOKUP(Data[[#This Row],[DEVELOPMENT]],'[3]Cheat-Sheet'!$D$2:$Q$341,2,FALSE)</f>
        <v>ASTORIA</v>
      </c>
      <c r="D22" s="20">
        <f>IF(VLOOKUP(Data[[#This Row],[DEVELOPMENT]],'[4]IC Categories'!$A$2:$G$325,3,FALSE)=0,"",VLOOKUP(Data[[#This Row],[DEVELOPMENT]],'[4]IC Categories'!$A$2:$G$325,3,FALSE))</f>
        <v>2024</v>
      </c>
      <c r="E22" s="20">
        <f>VLOOKUP(Data[[#This Row],[DEVELOPMENT]],'[2]NYCHA_Development_Data_Book 201'!$B$2:$AY$324,21,FALSE)</f>
        <v>22</v>
      </c>
      <c r="F22" s="20">
        <f>VLOOKUP(Data[[#This Row],[DEVELOPMENT]],'[2]NYCHA_Development_Data_Book 201'!$B$2:$AY$324,23,FALSE)</f>
        <v>22</v>
      </c>
      <c r="G22" s="20">
        <f>VLOOKUP(Data[[#This Row],[DEVELOPMENT]],'[2]NYCHA_Development_Data_Book 201'!$B$2:$AY$324,12,FALSE)</f>
        <v>1104</v>
      </c>
      <c r="J22">
        <f>IFERROR(VLOOKUP(Data[[#This Row],[DEVELOPMENT]],[5]!Table1[[DEVELOPMENTS]:[Installation Date of Exterior Compactor]],4,FALSE),0)</f>
        <v>0</v>
      </c>
      <c r="K22" s="20">
        <f>IFERROR(VLOOKUP(Data[[#This Row],[DEVELOPMENT]],[5]!Table1[[DEVELOPMENTS]:[Installation Date of Exterior Compactor]],7,FALSE),0)</f>
        <v>0</v>
      </c>
      <c r="L22" s="42" t="str">
        <f>IF(Data[[#This Row],['# Interior Compactors]]=0,"",VLOOKUP(Data[[#This Row],[DEVELOPMENT]],[5]!Table1[[DEVELOPMENTS]:[Installation Date of Exterior Compactor]],5,FALSE))</f>
        <v/>
      </c>
      <c r="M22" s="43" t="str">
        <f>IF(Data[[#This Row],['# Exterior Compactors]]=0,"",VLOOKUP(Data[[#This Row],[DEVELOPMENT]],[5]!Table1[[DEVELOPMENTS]:[Installation Date of Exterior Compactor]],8,FALSE))</f>
        <v/>
      </c>
      <c r="N22" s="20">
        <f>Data[[#This Row],['# Interior Compactors]]</f>
        <v>0</v>
      </c>
      <c r="O22" s="20">
        <f>1</f>
        <v>1</v>
      </c>
      <c r="P22" s="20">
        <f>1</f>
        <v>1</v>
      </c>
      <c r="Q22" s="20">
        <f>1</f>
        <v>1</v>
      </c>
      <c r="R22" s="20">
        <f>1</f>
        <v>1</v>
      </c>
      <c r="S22" s="20">
        <f>1</f>
        <v>1</v>
      </c>
      <c r="T22" s="20">
        <f>Data[[#This Row],[DUs]]</f>
        <v>1104</v>
      </c>
      <c r="U2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" s="101">
        <f>VLOOKUP(Data[[#This Row],[DEVELOPMENT]],'[2]NYCHA_Development_Data_Book 201'!$B$2:$E$324,3,FALSE)</f>
        <v>26</v>
      </c>
      <c r="Y22" s="20"/>
      <c r="Z22" s="20">
        <f>IFERROR(VLOOKUP(Data[[#This Row],[TDS]],'[7]Static Ext by TDS'!$A$5:$E$120,2,FALSE),0)</f>
        <v>3</v>
      </c>
      <c r="AA22" s="20">
        <f>IFERROR(VLOOKUP(Data[[#This Row],[TDS]],'[7]Static Int by TDS'!$A$6:$O$305,2,FALSE),0)</f>
        <v>22</v>
      </c>
      <c r="AB22" s="20"/>
      <c r="AC22" s="20"/>
      <c r="AD22" s="20">
        <f>IFERROR(VLOOKUP(Data[[#This Row],[TDS]],'[7]Static Ext by TDS'!$A$5:$P$120,3,FALSE)+VLOOKUP(Data[[#This Row],[TDS]],'[7]Static Ext by TDS'!$A$5:$P$120,6,FALSE),0)</f>
        <v>3</v>
      </c>
      <c r="AE22" s="20">
        <f>IFERROR(VLOOKUP(Data[[#This Row],[TDS]],'[7]Static Int by TDS'!$A$6:$O$305,3,FALSE)+VLOOKUP(Data[[#This Row],[TDS]],'[7]Static Int by TDS'!$A$6:$O$305,6,FALSE),0)</f>
        <v>22</v>
      </c>
      <c r="AF22" s="20" t="str">
        <f>VLOOKUP(Data[[#This Row],[DEVELOPMENT]],[8]Developments!$A$2:$A$312,1,FALSE)</f>
        <v>ASTORIA</v>
      </c>
    </row>
    <row r="23" spans="1:32" x14ac:dyDescent="0.25">
      <c r="A23" t="s">
        <v>174</v>
      </c>
      <c r="B23" s="20" t="str">
        <f>VLOOKUP(Data[[#This Row],[DEVELOPMENT]],'[2]NYCHA_Development_Data_Book 201'!$B$2:$AY$324,40,FALSE)</f>
        <v>BROOKLYN</v>
      </c>
      <c r="C23" s="20" t="str">
        <f>VLOOKUP(Data[[#This Row],[DEVELOPMENT]],'[3]Cheat-Sheet'!$D$2:$Q$341,2,FALSE)</f>
        <v>WYCKOFF GARDENS</v>
      </c>
      <c r="D23" s="20" t="str">
        <f>IF(VLOOKUP(Data[[#This Row],[DEVELOPMENT]],'[4]IC Categories'!$A$2:$G$325,3,FALSE)=0,"",VLOOKUP(Data[[#This Row],[DEVELOPMENT]],'[4]IC Categories'!$A$2:$G$325,3,FALSE))</f>
        <v/>
      </c>
      <c r="E23" s="20">
        <f>VLOOKUP(Data[[#This Row],[DEVELOPMENT]],'[2]NYCHA_Development_Data_Book 201'!$B$2:$AY$324,21,FALSE)</f>
        <v>1</v>
      </c>
      <c r="F23" s="20">
        <f>VLOOKUP(Data[[#This Row],[DEVELOPMENT]],'[2]NYCHA_Development_Data_Book 201'!$B$2:$AY$324,23,FALSE)</f>
        <v>1</v>
      </c>
      <c r="G23" s="20">
        <f>VLOOKUP(Data[[#This Row],[DEVELOPMENT]],'[2]NYCHA_Development_Data_Book 201'!$B$2:$AY$324,12,FALSE)</f>
        <v>299</v>
      </c>
      <c r="J23">
        <f>IFERROR(VLOOKUP(Data[[#This Row],[DEVELOPMENT]],[5]!Table1[[DEVELOPMENTS]:[Installation Date of Exterior Compactor]],4,FALSE),0)</f>
        <v>0</v>
      </c>
      <c r="K23" s="20">
        <f>IFERROR(VLOOKUP(Data[[#This Row],[DEVELOPMENT]],[5]!Table1[[DEVELOPMENTS]:[Installation Date of Exterior Compactor]],7,FALSE),0)</f>
        <v>0</v>
      </c>
      <c r="L23" s="42" t="str">
        <f>IF(Data[[#This Row],['# Interior Compactors]]=0,"",VLOOKUP(Data[[#This Row],[DEVELOPMENT]],[5]!Table1[[DEVELOPMENTS]:[Installation Date of Exterior Compactor]],5,FALSE))</f>
        <v/>
      </c>
      <c r="M23" s="43" t="str">
        <f>IF(Data[[#This Row],['# Exterior Compactors]]=0,"",VLOOKUP(Data[[#This Row],[DEVELOPMENT]],[5]!Table1[[DEVELOPMENTS]:[Installation Date of Exterior Compactor]],8,FALSE))</f>
        <v/>
      </c>
      <c r="N23" s="20">
        <f>Data[[#This Row],['# Interior Compactors]]</f>
        <v>0</v>
      </c>
      <c r="O23" s="20">
        <f>1</f>
        <v>1</v>
      </c>
      <c r="P23" s="20">
        <f>1</f>
        <v>1</v>
      </c>
      <c r="Q23" s="20">
        <f>1</f>
        <v>1</v>
      </c>
      <c r="R23" s="20">
        <f>1</f>
        <v>1</v>
      </c>
      <c r="S23" s="20">
        <f>1</f>
        <v>1</v>
      </c>
      <c r="T23" s="20">
        <f>Data[[#This Row],[DUs]]</f>
        <v>299</v>
      </c>
      <c r="U2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" s="101">
        <f>VLOOKUP(Data[[#This Row],[DEVELOPMENT]],'[2]NYCHA_Development_Data_Book 201'!$B$2:$E$324,3,FALSE)</f>
        <v>256</v>
      </c>
      <c r="Y23" s="20"/>
      <c r="Z23" s="20">
        <f>IFERROR(VLOOKUP(Data[[#This Row],[TDS]],'[7]Static Ext by TDS'!$A$5:$E$120,2,FALSE),0)</f>
        <v>1</v>
      </c>
      <c r="AA23" s="20">
        <f>IFERROR(VLOOKUP(Data[[#This Row],[TDS]],'[7]Static Int by TDS'!$A$6:$O$305,2,FALSE),0)</f>
        <v>2</v>
      </c>
      <c r="AB23" s="20"/>
      <c r="AC23" s="20"/>
      <c r="AD23" s="20">
        <f>IFERROR(VLOOKUP(Data[[#This Row],[TDS]],'[7]Static Ext by TDS'!$A$5:$P$120,3,FALSE)+VLOOKUP(Data[[#This Row],[TDS]],'[7]Static Ext by TDS'!$A$5:$P$120,6,FALSE),0)</f>
        <v>1</v>
      </c>
      <c r="AE23" s="20">
        <f>IFERROR(VLOOKUP(Data[[#This Row],[TDS]],'[7]Static Int by TDS'!$A$6:$O$305,3,FALSE)+VLOOKUP(Data[[#This Row],[TDS]],'[7]Static Int by TDS'!$A$6:$O$305,6,FALSE),0)</f>
        <v>2</v>
      </c>
      <c r="AF23" s="20" t="str">
        <f>VLOOKUP(Data[[#This Row],[DEVELOPMENT]],[8]Developments!$A$2:$A$312,1,FALSE)</f>
        <v>ATLANTIC TERMINAL SITE 4B</v>
      </c>
    </row>
    <row r="24" spans="1:32" x14ac:dyDescent="0.25">
      <c r="A24" t="s">
        <v>70</v>
      </c>
      <c r="B24" t="str">
        <f>VLOOKUP(Data[[#This Row],[DEVELOPMENT]],'[2]NYCHA_Development_Data_Book 201'!$B$2:$AY$324,40,FALSE)</f>
        <v>MANHATTAN</v>
      </c>
      <c r="C24" t="str">
        <f>VLOOKUP(Data[[#This Row],[DEVELOPMENT]],'[3]Cheat-Sheet'!$D$2:$Q$341,2,FALSE)</f>
        <v>HARLEM RIVER</v>
      </c>
      <c r="D24">
        <f>IF(VLOOKUP(Data[[#This Row],[DEVELOPMENT]],'[4]IC Categories'!$A$2:$G$325,3,FALSE)=0,"",VLOOKUP(Data[[#This Row],[DEVELOPMENT]],'[4]IC Categories'!$A$2:$G$325,3,FALSE))</f>
        <v>2020</v>
      </c>
      <c r="E24">
        <f>VLOOKUP(Data[[#This Row],[DEVELOPMENT]],'[2]NYCHA_Development_Data_Book 201'!$B$2:$AY$324,21,FALSE)</f>
        <v>1</v>
      </c>
      <c r="F24">
        <f>VLOOKUP(Data[[#This Row],[DEVELOPMENT]],'[2]NYCHA_Development_Data_Book 201'!$B$2:$AY$324,23,FALSE)</f>
        <v>1</v>
      </c>
      <c r="G24">
        <f>VLOOKUP(Data[[#This Row],[DEVELOPMENT]],'[2]NYCHA_Development_Data_Book 201'!$B$2:$AY$324,12,FALSE)</f>
        <v>167</v>
      </c>
      <c r="H24" t="s">
        <v>474</v>
      </c>
      <c r="I24" t="s">
        <v>477</v>
      </c>
      <c r="J24">
        <f>IFERROR(VLOOKUP(Data[[#This Row],[DEVELOPMENT]],[5]!Table1[[DEVELOPMENTS]:[Installation Date of Exterior Compactor]],4,FALSE),0)</f>
        <v>0</v>
      </c>
      <c r="K24" s="20">
        <f>IFERROR(VLOOKUP(Data[[#This Row],[DEVELOPMENT]],[5]!Table1[[DEVELOPMENTS]:[Installation Date of Exterior Compactor]],7,FALSE),0)</f>
        <v>0</v>
      </c>
      <c r="L24" s="42" t="str">
        <f>IF(Data[[#This Row],['# Interior Compactors]]=0,"",VLOOKUP(Data[[#This Row],[DEVELOPMENT]],[5]!Table1[[DEVELOPMENTS]:[Installation Date of Exterior Compactor]],5,FALSE))</f>
        <v/>
      </c>
      <c r="M24" s="43" t="str">
        <f>IF(Data[[#This Row],['# Exterior Compactors]]=0,"",VLOOKUP(Data[[#This Row],[DEVELOPMENT]],[5]!Table1[[DEVELOPMENTS]:[Installation Date of Exterior Compactor]],8,FALSE))</f>
        <v/>
      </c>
      <c r="N24">
        <f>Data[[#This Row],['# Interior Compactors]]</f>
        <v>0</v>
      </c>
      <c r="O24" s="20">
        <f>1</f>
        <v>1</v>
      </c>
      <c r="P24" s="20">
        <f>1</f>
        <v>1</v>
      </c>
      <c r="Q24" s="20">
        <f>1</f>
        <v>1</v>
      </c>
      <c r="R24" s="20">
        <f>1</f>
        <v>1</v>
      </c>
      <c r="S24" s="20">
        <f>1</f>
        <v>1</v>
      </c>
      <c r="T24" s="20">
        <f>Data[[#This Row],[DUs]]</f>
        <v>167</v>
      </c>
      <c r="U2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" s="101">
        <f>VLOOKUP(Data[[#This Row],[DEVELOPMENT]],'[2]NYCHA_Development_Data_Book 201'!$B$2:$E$324,3,FALSE)</f>
        <v>125</v>
      </c>
      <c r="Y24" s="20"/>
      <c r="Z24" s="20">
        <f>IFERROR(VLOOKUP(Data[[#This Row],[TDS]],'[7]Static Ext by TDS'!$A$5:$E$120,2,FALSE),0)</f>
        <v>0</v>
      </c>
      <c r="AA24" s="20">
        <f>IFERROR(VLOOKUP(Data[[#This Row],[TDS]],'[7]Static Int by TDS'!$A$6:$O$305,2,FALSE),0)</f>
        <v>2</v>
      </c>
      <c r="AB24" s="20"/>
      <c r="AC24" s="20"/>
      <c r="AD24" s="20">
        <f>IFERROR(VLOOKUP(Data[[#This Row],[TDS]],'[7]Static Ext by TDS'!$A$5:$P$120,3,FALSE)+VLOOKUP(Data[[#This Row],[TDS]],'[7]Static Ext by TDS'!$A$5:$P$120,6,FALSE),0)</f>
        <v>0</v>
      </c>
      <c r="AE24" s="20">
        <f>IFERROR(VLOOKUP(Data[[#This Row],[TDS]],'[7]Static Int by TDS'!$A$6:$O$305,3,FALSE)+VLOOKUP(Data[[#This Row],[TDS]],'[7]Static Int by TDS'!$A$6:$O$305,6,FALSE),0)</f>
        <v>2</v>
      </c>
      <c r="AF24" s="20" t="str">
        <f>VLOOKUP(Data[[#This Row],[DEVELOPMENT]],[8]Developments!$A$2:$A$312,1,FALSE)</f>
        <v>AUDUBON</v>
      </c>
    </row>
    <row r="25" spans="1:32" x14ac:dyDescent="0.25">
      <c r="A25" t="s">
        <v>175</v>
      </c>
      <c r="B25" s="20" t="str">
        <f>VLOOKUP(Data[[#This Row],[DEVELOPMENT]],'[2]NYCHA_Development_Data_Book 201'!$B$2:$AY$324,40,FALSE)</f>
        <v>BRONX</v>
      </c>
      <c r="C25" s="20" t="str">
        <f>VLOOKUP(Data[[#This Row],[DEVELOPMENT]],'[3]Cheat-Sheet'!$D$2:$Q$341,2,FALSE)</f>
        <v>FORT INDEPENDENCE</v>
      </c>
      <c r="D25" s="20" t="str">
        <f>IF(VLOOKUP(Data[[#This Row],[DEVELOPMENT]],'[4]IC Categories'!$A$2:$G$325,3,FALSE)=0,"",VLOOKUP(Data[[#This Row],[DEVELOPMENT]],'[4]IC Categories'!$A$2:$G$325,3,FALSE))</f>
        <v/>
      </c>
      <c r="E25" s="20">
        <f>VLOOKUP(Data[[#This Row],[DEVELOPMENT]],'[2]NYCHA_Development_Data_Book 201'!$B$2:$AY$324,21,FALSE)</f>
        <v>1</v>
      </c>
      <c r="F25" s="20">
        <f>VLOOKUP(Data[[#This Row],[DEVELOPMENT]],'[2]NYCHA_Development_Data_Book 201'!$B$2:$AY$324,23,FALSE)</f>
        <v>1</v>
      </c>
      <c r="G25" s="20">
        <f>VLOOKUP(Data[[#This Row],[DEVELOPMENT]],'[2]NYCHA_Development_Data_Book 201'!$B$2:$AY$324,12,FALSE)</f>
        <v>232</v>
      </c>
      <c r="J25">
        <f>IFERROR(VLOOKUP(Data[[#This Row],[DEVELOPMENT]],[5]!Table1[[DEVELOPMENTS]:[Installation Date of Exterior Compactor]],4,FALSE),0)</f>
        <v>0</v>
      </c>
      <c r="K25" s="20">
        <f>IFERROR(VLOOKUP(Data[[#This Row],[DEVELOPMENT]],[5]!Table1[[DEVELOPMENTS]:[Installation Date of Exterior Compactor]],7,FALSE),0)</f>
        <v>0</v>
      </c>
      <c r="L25" s="42" t="str">
        <f>IF(Data[[#This Row],['# Interior Compactors]]=0,"",VLOOKUP(Data[[#This Row],[DEVELOPMENT]],[5]!Table1[[DEVELOPMENTS]:[Installation Date of Exterior Compactor]],5,FALSE))</f>
        <v/>
      </c>
      <c r="M25" s="43" t="str">
        <f>IF(Data[[#This Row],['# Exterior Compactors]]=0,"",VLOOKUP(Data[[#This Row],[DEVELOPMENT]],[5]!Table1[[DEVELOPMENTS]:[Installation Date of Exterior Compactor]],8,FALSE))</f>
        <v/>
      </c>
      <c r="N25" s="20">
        <f>Data[[#This Row],['# Interior Compactors]]</f>
        <v>0</v>
      </c>
      <c r="O25" s="20">
        <f>1</f>
        <v>1</v>
      </c>
      <c r="P25" s="20">
        <f>1</f>
        <v>1</v>
      </c>
      <c r="Q25" s="20">
        <f>1</f>
        <v>1</v>
      </c>
      <c r="R25" s="20">
        <f>1</f>
        <v>1</v>
      </c>
      <c r="S25" s="20">
        <f>1</f>
        <v>1</v>
      </c>
      <c r="T25" s="20">
        <f>Data[[#This Row],[DUs]]</f>
        <v>232</v>
      </c>
      <c r="U2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" s="101">
        <f>VLOOKUP(Data[[#This Row],[DEVELOPMENT]],'[2]NYCHA_Development_Data_Book 201'!$B$2:$E$324,3,FALSE)</f>
        <v>202</v>
      </c>
      <c r="Y25" s="20"/>
      <c r="Z25" s="20">
        <f>IFERROR(VLOOKUP(Data[[#This Row],[TDS]],'[7]Static Ext by TDS'!$A$5:$E$120,2,FALSE),0)</f>
        <v>1</v>
      </c>
      <c r="AA25" s="20">
        <f>IFERROR(VLOOKUP(Data[[#This Row],[TDS]],'[7]Static Int by TDS'!$A$6:$O$305,2,FALSE),0)</f>
        <v>1</v>
      </c>
      <c r="AB25" s="20"/>
      <c r="AC25" s="20"/>
      <c r="AD25" s="20">
        <f>IFERROR(VLOOKUP(Data[[#This Row],[TDS]],'[7]Static Ext by TDS'!$A$5:$P$120,3,FALSE)+VLOOKUP(Data[[#This Row],[TDS]],'[7]Static Ext by TDS'!$A$5:$P$120,6,FALSE),0)</f>
        <v>1</v>
      </c>
      <c r="AE25" s="20">
        <f>IFERROR(VLOOKUP(Data[[#This Row],[TDS]],'[7]Static Int by TDS'!$A$6:$O$305,3,FALSE)+VLOOKUP(Data[[#This Row],[TDS]],'[7]Static Int by TDS'!$A$6:$O$305,6,FALSE),0)</f>
        <v>1</v>
      </c>
      <c r="AF25" s="20" t="str">
        <f>VLOOKUP(Data[[#This Row],[DEVELOPMENT]],[8]Developments!$A$2:$A$312,1,FALSE)</f>
        <v>BAILEY AVENUE-WEST 193RD STREET</v>
      </c>
    </row>
    <row r="26" spans="1:32" x14ac:dyDescent="0.25">
      <c r="A26" t="s">
        <v>176</v>
      </c>
      <c r="B26" s="20" t="str">
        <f>VLOOKUP(Data[[#This Row],[DEVELOPMENT]],'[2]NYCHA_Development_Data_Book 201'!$B$2:$AY$324,40,FALSE)</f>
        <v>QUEENS</v>
      </c>
      <c r="C26" s="20" t="str">
        <f>VLOOKUP(Data[[#This Row],[DEVELOPMENT]],'[3]Cheat-Sheet'!$D$2:$Q$341,2,FALSE)</f>
        <v>BAISLEY PARK</v>
      </c>
      <c r="D26" s="20" t="str">
        <f>IF(VLOOKUP(Data[[#This Row],[DEVELOPMENT]],'[4]IC Categories'!$A$2:$G$325,3,FALSE)=0,"",VLOOKUP(Data[[#This Row],[DEVELOPMENT]],'[4]IC Categories'!$A$2:$G$325,3,FALSE))</f>
        <v/>
      </c>
      <c r="E26" s="20">
        <f>VLOOKUP(Data[[#This Row],[DEVELOPMENT]],'[2]NYCHA_Development_Data_Book 201'!$B$2:$AY$324,21,FALSE)</f>
        <v>5</v>
      </c>
      <c r="F26" s="20">
        <f>VLOOKUP(Data[[#This Row],[DEVELOPMENT]],'[2]NYCHA_Development_Data_Book 201'!$B$2:$AY$324,23,FALSE)</f>
        <v>8</v>
      </c>
      <c r="G26" s="20">
        <f>VLOOKUP(Data[[#This Row],[DEVELOPMENT]],'[2]NYCHA_Development_Data_Book 201'!$B$2:$AY$324,12,FALSE)</f>
        <v>381</v>
      </c>
      <c r="J26">
        <f>IFERROR(VLOOKUP(Data[[#This Row],[DEVELOPMENT]],[5]!Table1[[DEVELOPMENTS]:[Installation Date of Exterior Compactor]],4,FALSE),0)</f>
        <v>0</v>
      </c>
      <c r="K26" s="20">
        <f>IFERROR(VLOOKUP(Data[[#This Row],[DEVELOPMENT]],[5]!Table1[[DEVELOPMENTS]:[Installation Date of Exterior Compactor]],7,FALSE),0)</f>
        <v>0</v>
      </c>
      <c r="L26" s="42" t="str">
        <f>IF(Data[[#This Row],['# Interior Compactors]]=0,"",VLOOKUP(Data[[#This Row],[DEVELOPMENT]],[5]!Table1[[DEVELOPMENTS]:[Installation Date of Exterior Compactor]],5,FALSE))</f>
        <v/>
      </c>
      <c r="M26" s="43" t="str">
        <f>IF(Data[[#This Row],['# Exterior Compactors]]=0,"",VLOOKUP(Data[[#This Row],[DEVELOPMENT]],[5]!Table1[[DEVELOPMENTS]:[Installation Date of Exterior Compactor]],8,FALSE))</f>
        <v/>
      </c>
      <c r="N26" s="20">
        <f>Data[[#This Row],['# Interior Compactors]]</f>
        <v>0</v>
      </c>
      <c r="O26" s="20">
        <f>1</f>
        <v>1</v>
      </c>
      <c r="P26" s="20">
        <f>1</f>
        <v>1</v>
      </c>
      <c r="Q26" s="20">
        <f>1</f>
        <v>1</v>
      </c>
      <c r="R26" s="20">
        <f>1</f>
        <v>1</v>
      </c>
      <c r="S26" s="20">
        <f>1</f>
        <v>1</v>
      </c>
      <c r="T26" s="20">
        <f>Data[[#This Row],[DUs]]</f>
        <v>381</v>
      </c>
      <c r="U2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" s="101">
        <f>VLOOKUP(Data[[#This Row],[DEVELOPMENT]],'[2]NYCHA_Development_Data_Book 201'!$B$2:$E$324,3,FALSE)</f>
        <v>91</v>
      </c>
      <c r="Y26" s="20"/>
      <c r="Z26" s="20">
        <f>IFERROR(VLOOKUP(Data[[#This Row],[TDS]],'[7]Static Ext by TDS'!$A$5:$E$120,2,FALSE),0)</f>
        <v>0</v>
      </c>
      <c r="AA26" s="20">
        <f>IFERROR(VLOOKUP(Data[[#This Row],[TDS]],'[7]Static Int by TDS'!$A$6:$O$305,2,FALSE),0)</f>
        <v>5</v>
      </c>
      <c r="AB26" s="20"/>
      <c r="AC26" s="20"/>
      <c r="AD26" s="20">
        <f>IFERROR(VLOOKUP(Data[[#This Row],[TDS]],'[7]Static Ext by TDS'!$A$5:$P$120,3,FALSE)+VLOOKUP(Data[[#This Row],[TDS]],'[7]Static Ext by TDS'!$A$5:$P$120,6,FALSE),0)</f>
        <v>0</v>
      </c>
      <c r="AE26" s="20">
        <f>IFERROR(VLOOKUP(Data[[#This Row],[TDS]],'[7]Static Int by TDS'!$A$6:$O$305,3,FALSE)+VLOOKUP(Data[[#This Row],[TDS]],'[7]Static Int by TDS'!$A$6:$O$305,6,FALSE),0)</f>
        <v>5</v>
      </c>
      <c r="AF26" s="20" t="str">
        <f>VLOOKUP(Data[[#This Row],[DEVELOPMENT]],[8]Developments!$A$2:$A$312,1,FALSE)</f>
        <v>BAISLEY PARK</v>
      </c>
    </row>
    <row r="27" spans="1:32" x14ac:dyDescent="0.25">
      <c r="A27" s="17" t="s">
        <v>58</v>
      </c>
      <c r="B27" s="17" t="str">
        <f>VLOOKUP(Data[[#This Row],[DEVELOPMENT]],'[2]NYCHA_Development_Data_Book 201'!$B$2:$AY$324,40,FALSE)</f>
        <v>MANHATTAN</v>
      </c>
      <c r="C27" t="str">
        <f>VLOOKUP(Data[[#This Row],[DEVELOPMENT]],'[3]Cheat-Sheet'!$D$2:$Q$341,2,FALSE)</f>
        <v>BARUCH</v>
      </c>
      <c r="D27" t="str">
        <f>IF(VLOOKUP(Data[[#This Row],[DEVELOPMENT]],'[4]IC Categories'!$A$2:$G$325,3,FALSE)=0,"",VLOOKUP(Data[[#This Row],[DEVELOPMENT]],'[4]IC Categories'!$A$2:$G$325,3,FALSE))</f>
        <v/>
      </c>
      <c r="E27">
        <f>VLOOKUP(Data[[#This Row],[DEVELOPMENT]],'[2]NYCHA_Development_Data_Book 201'!$B$2:$AY$324,21,FALSE)</f>
        <v>17</v>
      </c>
      <c r="F27">
        <f>VLOOKUP(Data[[#This Row],[DEVELOPMENT]],'[2]NYCHA_Development_Data_Book 201'!$B$2:$AY$324,23,FALSE)</f>
        <v>35</v>
      </c>
      <c r="G27">
        <f>VLOOKUP(Data[[#This Row],[DEVELOPMENT]],'[2]NYCHA_Development_Data_Book 201'!$B$2:$AY$324,12,FALSE)</f>
        <v>2193</v>
      </c>
      <c r="H27" t="s">
        <v>472</v>
      </c>
      <c r="I27" t="s">
        <v>471</v>
      </c>
      <c r="J27">
        <f>IFERROR(VLOOKUP(Data[[#This Row],[DEVELOPMENT]],[5]!Table1[[DEVELOPMENTS]:[Installation Date of Exterior Compactor]],4,FALSE),0)</f>
        <v>0</v>
      </c>
      <c r="K27" s="20">
        <f>IFERROR(VLOOKUP(Data[[#This Row],[DEVELOPMENT]],[5]!Table1[[DEVELOPMENTS]:[Installation Date of Exterior Compactor]],7,FALSE),0)</f>
        <v>0</v>
      </c>
      <c r="L27" s="42" t="str">
        <f>IF(Data[[#This Row],['# Interior Compactors]]=0,"",VLOOKUP(Data[[#This Row],[DEVELOPMENT]],[5]!Table1[[DEVELOPMENTS]:[Installation Date of Exterior Compactor]],5,FALSE))</f>
        <v/>
      </c>
      <c r="M27" s="43" t="str">
        <f>IF(Data[[#This Row],['# Exterior Compactors]]=0,"",VLOOKUP(Data[[#This Row],[DEVELOPMENT]],[5]!Table1[[DEVELOPMENTS]:[Installation Date of Exterior Compactor]],8,FALSE))</f>
        <v/>
      </c>
      <c r="N27">
        <f>Data[[#This Row],['# Interior Compactors]]</f>
        <v>0</v>
      </c>
      <c r="O27" s="20">
        <f>1</f>
        <v>1</v>
      </c>
      <c r="P27" s="20">
        <f>1</f>
        <v>1</v>
      </c>
      <c r="Q27" s="20">
        <f>1</f>
        <v>1</v>
      </c>
      <c r="R27" s="20">
        <f>1</f>
        <v>1</v>
      </c>
      <c r="S27" s="20">
        <f>1</f>
        <v>1</v>
      </c>
      <c r="T27" s="20">
        <f>Data[[#This Row],[DUs]]</f>
        <v>2193</v>
      </c>
      <c r="U2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" s="101">
        <f>VLOOKUP(Data[[#This Row],[DEVELOPMENT]],'[2]NYCHA_Development_Data_Book 201'!$B$2:$E$324,3,FALSE)</f>
        <v>60</v>
      </c>
      <c r="Y27" s="20" t="s">
        <v>473</v>
      </c>
      <c r="Z27" s="20">
        <f>IFERROR(VLOOKUP(Data[[#This Row],[TDS]],'[7]Static Ext by TDS'!$A$5:$E$120,2,FALSE),0)</f>
        <v>0</v>
      </c>
      <c r="AA27" s="20">
        <f>IFERROR(VLOOKUP(Data[[#This Row],[TDS]],'[7]Static Int by TDS'!$A$6:$O$305,2,FALSE),0)</f>
        <v>17</v>
      </c>
      <c r="AB27" s="20"/>
      <c r="AC27" s="20"/>
      <c r="AD27" s="20">
        <f>IFERROR(VLOOKUP(Data[[#This Row],[TDS]],'[7]Static Ext by TDS'!$A$5:$P$120,3,FALSE)+VLOOKUP(Data[[#This Row],[TDS]],'[7]Static Ext by TDS'!$A$5:$P$120,6,FALSE),0)</f>
        <v>0</v>
      </c>
      <c r="AE27" s="20">
        <f>IFERROR(VLOOKUP(Data[[#This Row],[TDS]],'[7]Static Int by TDS'!$A$6:$O$305,3,FALSE)+VLOOKUP(Data[[#This Row],[TDS]],'[7]Static Int by TDS'!$A$6:$O$305,6,FALSE),0)</f>
        <v>0</v>
      </c>
      <c r="AF27" s="20" t="str">
        <f>VLOOKUP(Data[[#This Row],[DEVELOPMENT]],[8]Developments!$A$2:$A$312,1,FALSE)</f>
        <v>BARUCH</v>
      </c>
    </row>
    <row r="28" spans="1:32" x14ac:dyDescent="0.25">
      <c r="A28" s="17" t="s">
        <v>48</v>
      </c>
      <c r="B28" s="17" t="str">
        <f>VLOOKUP(Data[[#This Row],[DEVELOPMENT]],'[2]NYCHA_Development_Data_Book 201'!$B$2:$AY$324,40,FALSE)</f>
        <v>MANHATTAN</v>
      </c>
      <c r="C28" t="str">
        <f>VLOOKUP(Data[[#This Row],[DEVELOPMENT]],'[3]Cheat-Sheet'!$D$2:$Q$341,2,FALSE)</f>
        <v>BARUCH</v>
      </c>
      <c r="D28" t="str">
        <f>IF(VLOOKUP(Data[[#This Row],[DEVELOPMENT]],'[4]IC Categories'!$A$2:$G$325,3,FALSE)=0,"",VLOOKUP(Data[[#This Row],[DEVELOPMENT]],'[4]IC Categories'!$A$2:$G$325,3,FALSE))</f>
        <v/>
      </c>
      <c r="E28">
        <f>VLOOKUP(Data[[#This Row],[DEVELOPMENT]],'[2]NYCHA_Development_Data_Book 201'!$B$2:$AY$324,21,FALSE)</f>
        <v>1</v>
      </c>
      <c r="F28">
        <f>VLOOKUP(Data[[#This Row],[DEVELOPMENT]],'[2]NYCHA_Development_Data_Book 201'!$B$2:$AY$324,23,FALSE)</f>
        <v>1</v>
      </c>
      <c r="G28">
        <f>VLOOKUP(Data[[#This Row],[DEVELOPMENT]],'[2]NYCHA_Development_Data_Book 201'!$B$2:$AY$324,12,FALSE)</f>
        <v>197</v>
      </c>
      <c r="H28" t="s">
        <v>472</v>
      </c>
      <c r="I28" t="s">
        <v>471</v>
      </c>
      <c r="J28">
        <f>IFERROR(VLOOKUP(Data[[#This Row],[DEVELOPMENT]],[5]!Table1[[DEVELOPMENTS]:[Installation Date of Exterior Compactor]],4,FALSE),0)</f>
        <v>0</v>
      </c>
      <c r="K28" s="20">
        <f>IFERROR(VLOOKUP(Data[[#This Row],[DEVELOPMENT]],[5]!Table1[[DEVELOPMENTS]:[Installation Date of Exterior Compactor]],7,FALSE),0)</f>
        <v>0</v>
      </c>
      <c r="L28" s="42" t="str">
        <f>IF(Data[[#This Row],['# Interior Compactors]]=0,"",VLOOKUP(Data[[#This Row],[DEVELOPMENT]],[5]!Table1[[DEVELOPMENTS]:[Installation Date of Exterior Compactor]],5,FALSE))</f>
        <v/>
      </c>
      <c r="M28" s="43" t="str">
        <f>IF(Data[[#This Row],['# Exterior Compactors]]=0,"",VLOOKUP(Data[[#This Row],[DEVELOPMENT]],[5]!Table1[[DEVELOPMENTS]:[Installation Date of Exterior Compactor]],8,FALSE))</f>
        <v/>
      </c>
      <c r="N28">
        <f>Data[[#This Row],['# Interior Compactors]]</f>
        <v>0</v>
      </c>
      <c r="O28" s="20">
        <f>1</f>
        <v>1</v>
      </c>
      <c r="P28" s="20">
        <f>1</f>
        <v>1</v>
      </c>
      <c r="Q28" s="20">
        <f>1</f>
        <v>1</v>
      </c>
      <c r="R28" s="20">
        <f>1</f>
        <v>1</v>
      </c>
      <c r="S28" s="20">
        <f>1</f>
        <v>1</v>
      </c>
      <c r="T28" s="20">
        <f>Data[[#This Row],[DUs]]</f>
        <v>197</v>
      </c>
      <c r="U2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" s="101">
        <f>VLOOKUP(Data[[#This Row],[DEVELOPMENT]],'[2]NYCHA_Development_Data_Book 201'!$B$2:$E$324,3,FALSE)</f>
        <v>198</v>
      </c>
      <c r="Y28" s="20" t="s">
        <v>473</v>
      </c>
      <c r="Z28" s="20">
        <f>IFERROR(VLOOKUP(Data[[#This Row],[TDS]],'[7]Static Ext by TDS'!$A$5:$E$120,2,FALSE),0)</f>
        <v>0</v>
      </c>
      <c r="AA28" s="20">
        <f>IFERROR(VLOOKUP(Data[[#This Row],[TDS]],'[7]Static Int by TDS'!$A$6:$O$305,2,FALSE),0)</f>
        <v>1</v>
      </c>
      <c r="AB28" s="20"/>
      <c r="AC28" s="20"/>
      <c r="AD28" s="20">
        <f>IFERROR(VLOOKUP(Data[[#This Row],[TDS]],'[7]Static Ext by TDS'!$A$5:$P$120,3,FALSE)+VLOOKUP(Data[[#This Row],[TDS]],'[7]Static Ext by TDS'!$A$5:$P$120,6,FALSE),0)</f>
        <v>0</v>
      </c>
      <c r="AE28" s="20">
        <f>IFERROR(VLOOKUP(Data[[#This Row],[TDS]],'[7]Static Int by TDS'!$A$6:$O$305,3,FALSE)+VLOOKUP(Data[[#This Row],[TDS]],'[7]Static Int by TDS'!$A$6:$O$305,6,FALSE),0)</f>
        <v>0</v>
      </c>
      <c r="AF28" s="20" t="str">
        <f>VLOOKUP(Data[[#This Row],[DEVELOPMENT]],[8]Developments!$A$2:$A$312,1,FALSE)</f>
        <v>BARUCH HOUSES ADDITION</v>
      </c>
    </row>
    <row r="29" spans="1:32" x14ac:dyDescent="0.25">
      <c r="A29" t="s">
        <v>177</v>
      </c>
      <c r="B29" s="20" t="str">
        <f>VLOOKUP(Data[[#This Row],[DEVELOPMENT]],'[2]NYCHA_Development_Data_Book 201'!$B$2:$AY$324,40,FALSE)</f>
        <v>BROOKLYN</v>
      </c>
      <c r="C29" s="20" t="str">
        <f>VLOOKUP(Data[[#This Row],[DEVELOPMENT]],'[3]Cheat-Sheet'!$D$2:$Q$341,2,FALSE)</f>
        <v>BAY VIEW</v>
      </c>
      <c r="D29" s="20" t="str">
        <f>IF(VLOOKUP(Data[[#This Row],[DEVELOPMENT]],'[4]IC Categories'!$A$2:$G$325,3,FALSE)=0,"",VLOOKUP(Data[[#This Row],[DEVELOPMENT]],'[4]IC Categories'!$A$2:$G$325,3,FALSE))</f>
        <v/>
      </c>
      <c r="E29" s="20">
        <f>VLOOKUP(Data[[#This Row],[DEVELOPMENT]],'[2]NYCHA_Development_Data_Book 201'!$B$2:$AY$324,21,FALSE)</f>
        <v>23</v>
      </c>
      <c r="F29" s="20">
        <f>VLOOKUP(Data[[#This Row],[DEVELOPMENT]],'[2]NYCHA_Development_Data_Book 201'!$B$2:$AY$324,23,FALSE)</f>
        <v>26</v>
      </c>
      <c r="G29" s="20">
        <f>VLOOKUP(Data[[#This Row],[DEVELOPMENT]],'[2]NYCHA_Development_Data_Book 201'!$B$2:$AY$324,12,FALSE)</f>
        <v>1609</v>
      </c>
      <c r="J29">
        <f>IFERROR(VLOOKUP(Data[[#This Row],[DEVELOPMENT]],[5]!Table1[[DEVELOPMENTS]:[Installation Date of Exterior Compactor]],4,FALSE),0)</f>
        <v>0</v>
      </c>
      <c r="K29" s="20">
        <f>IFERROR(VLOOKUP(Data[[#This Row],[DEVELOPMENT]],[5]!Table1[[DEVELOPMENTS]:[Installation Date of Exterior Compactor]],7,FALSE),0)</f>
        <v>0</v>
      </c>
      <c r="L29" s="42" t="str">
        <f>IF(Data[[#This Row],['# Interior Compactors]]=0,"",VLOOKUP(Data[[#This Row],[DEVELOPMENT]],[5]!Table1[[DEVELOPMENTS]:[Installation Date of Exterior Compactor]],5,FALSE))</f>
        <v/>
      </c>
      <c r="M29" s="43" t="str">
        <f>IF(Data[[#This Row],['# Exterior Compactors]]=0,"",VLOOKUP(Data[[#This Row],[DEVELOPMENT]],[5]!Table1[[DEVELOPMENTS]:[Installation Date of Exterior Compactor]],8,FALSE))</f>
        <v/>
      </c>
      <c r="N29" s="20">
        <f>Data[[#This Row],['# Interior Compactors]]</f>
        <v>0</v>
      </c>
      <c r="O29" s="20">
        <f>1</f>
        <v>1</v>
      </c>
      <c r="P29" s="20">
        <f>1</f>
        <v>1</v>
      </c>
      <c r="Q29" s="20">
        <f>1</f>
        <v>1</v>
      </c>
      <c r="R29" s="20">
        <f>1</f>
        <v>1</v>
      </c>
      <c r="S29" s="20">
        <f>1</f>
        <v>1</v>
      </c>
      <c r="T29" s="20">
        <f>Data[[#This Row],[DUs]]</f>
        <v>1609</v>
      </c>
      <c r="U2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" s="101">
        <f>VLOOKUP(Data[[#This Row],[DEVELOPMENT]],'[2]NYCHA_Development_Data_Book 201'!$B$2:$E$324,3,FALSE)</f>
        <v>92</v>
      </c>
      <c r="Y29" s="20"/>
      <c r="Z29" s="20">
        <f>IFERROR(VLOOKUP(Data[[#This Row],[TDS]],'[7]Static Ext by TDS'!$A$5:$E$120,2,FALSE),0)</f>
        <v>4</v>
      </c>
      <c r="AA29" s="20">
        <f>IFERROR(VLOOKUP(Data[[#This Row],[TDS]],'[7]Static Int by TDS'!$A$6:$O$305,2,FALSE),0)</f>
        <v>23</v>
      </c>
      <c r="AB29" s="20"/>
      <c r="AC29" s="20"/>
      <c r="AD29" s="20">
        <f>IFERROR(VLOOKUP(Data[[#This Row],[TDS]],'[7]Static Ext by TDS'!$A$5:$P$120,3,FALSE)+VLOOKUP(Data[[#This Row],[TDS]],'[7]Static Ext by TDS'!$A$5:$P$120,6,FALSE),0)</f>
        <v>4</v>
      </c>
      <c r="AE29" s="20">
        <f>IFERROR(VLOOKUP(Data[[#This Row],[TDS]],'[7]Static Int by TDS'!$A$6:$O$305,3,FALSE)+VLOOKUP(Data[[#This Row],[TDS]],'[7]Static Int by TDS'!$A$6:$O$305,6,FALSE),0)</f>
        <v>23</v>
      </c>
      <c r="AF29" s="20" t="str">
        <f>VLOOKUP(Data[[#This Row],[DEVELOPMENT]],[8]Developments!$A$2:$A$312,1,FALSE)</f>
        <v>BAY VIEW</v>
      </c>
    </row>
    <row r="30" spans="1:32" x14ac:dyDescent="0.25">
      <c r="A30" t="s">
        <v>178</v>
      </c>
      <c r="B30" s="20" t="str">
        <f>VLOOKUP(Data[[#This Row],[DEVELOPMENT]],'[2]NYCHA_Development_Data_Book 201'!$B$2:$AY$324,40,FALSE)</f>
        <v>QUEENS</v>
      </c>
      <c r="C30" s="20" t="str">
        <f>VLOOKUP(Data[[#This Row],[DEVELOPMENT]],'[3]Cheat-Sheet'!$D$2:$Q$341,2,FALSE)</f>
        <v>BEACH 41ST STREET-BEACH CHANNEL DRIVE</v>
      </c>
      <c r="D30" s="20" t="str">
        <f>IF(VLOOKUP(Data[[#This Row],[DEVELOPMENT]],'[4]IC Categories'!$A$2:$G$325,3,FALSE)=0,"",VLOOKUP(Data[[#This Row],[DEVELOPMENT]],'[4]IC Categories'!$A$2:$G$325,3,FALSE))</f>
        <v/>
      </c>
      <c r="E30" s="20">
        <f>VLOOKUP(Data[[#This Row],[DEVELOPMENT]],'[2]NYCHA_Development_Data_Book 201'!$B$2:$AY$324,21,FALSE)</f>
        <v>4</v>
      </c>
      <c r="F30" s="20">
        <f>VLOOKUP(Data[[#This Row],[DEVELOPMENT]],'[2]NYCHA_Development_Data_Book 201'!$B$2:$AY$324,23,FALSE)</f>
        <v>7</v>
      </c>
      <c r="G30" s="20">
        <f>VLOOKUP(Data[[#This Row],[DEVELOPMENT]],'[2]NYCHA_Development_Data_Book 201'!$B$2:$AY$324,12,FALSE)</f>
        <v>712</v>
      </c>
      <c r="J30">
        <f>IFERROR(VLOOKUP(Data[[#This Row],[DEVELOPMENT]],[5]!Table1[[DEVELOPMENTS]:[Installation Date of Exterior Compactor]],4,FALSE),0)</f>
        <v>0</v>
      </c>
      <c r="K30" s="20">
        <f>IFERROR(VLOOKUP(Data[[#This Row],[DEVELOPMENT]],[5]!Table1[[DEVELOPMENTS]:[Installation Date of Exterior Compactor]],7,FALSE),0)</f>
        <v>0</v>
      </c>
      <c r="L30" s="42" t="str">
        <f>IF(Data[[#This Row],['# Interior Compactors]]=0,"",VLOOKUP(Data[[#This Row],[DEVELOPMENT]],[5]!Table1[[DEVELOPMENTS]:[Installation Date of Exterior Compactor]],5,FALSE))</f>
        <v/>
      </c>
      <c r="M30" s="43" t="str">
        <f>IF(Data[[#This Row],['# Exterior Compactors]]=0,"",VLOOKUP(Data[[#This Row],[DEVELOPMENT]],[5]!Table1[[DEVELOPMENTS]:[Installation Date of Exterior Compactor]],8,FALSE))</f>
        <v/>
      </c>
      <c r="N30" s="20">
        <f>Data[[#This Row],['# Interior Compactors]]</f>
        <v>0</v>
      </c>
      <c r="O30" s="20">
        <f>1</f>
        <v>1</v>
      </c>
      <c r="P30" s="20">
        <f>1</f>
        <v>1</v>
      </c>
      <c r="Q30" s="20">
        <f>1</f>
        <v>1</v>
      </c>
      <c r="R30" s="20">
        <f>1</f>
        <v>1</v>
      </c>
      <c r="S30" s="20">
        <f>1</f>
        <v>1</v>
      </c>
      <c r="T30" s="20">
        <f>Data[[#This Row],[DUs]]</f>
        <v>712</v>
      </c>
      <c r="U3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" s="101">
        <f>VLOOKUP(Data[[#This Row],[DEVELOPMENT]],'[2]NYCHA_Development_Data_Book 201'!$B$2:$E$324,3,FALSE)</f>
        <v>165</v>
      </c>
      <c r="Y30" s="20"/>
      <c r="Z30" s="20">
        <f>IFERROR(VLOOKUP(Data[[#This Row],[TDS]],'[7]Static Ext by TDS'!$A$5:$E$120,2,FALSE),0)</f>
        <v>1</v>
      </c>
      <c r="AA30" s="20">
        <f>IFERROR(VLOOKUP(Data[[#This Row],[TDS]],'[7]Static Int by TDS'!$A$6:$O$305,2,FALSE),0)</f>
        <v>6</v>
      </c>
      <c r="AB30" s="20"/>
      <c r="AC30" s="20"/>
      <c r="AD30" s="20">
        <f>IFERROR(VLOOKUP(Data[[#This Row],[TDS]],'[7]Static Ext by TDS'!$A$5:$P$120,3,FALSE)+VLOOKUP(Data[[#This Row],[TDS]],'[7]Static Ext by TDS'!$A$5:$P$120,6,FALSE),0)</f>
        <v>1</v>
      </c>
      <c r="AE30" s="20">
        <f>IFERROR(VLOOKUP(Data[[#This Row],[TDS]],'[7]Static Int by TDS'!$A$6:$O$305,3,FALSE)+VLOOKUP(Data[[#This Row],[TDS]],'[7]Static Int by TDS'!$A$6:$O$305,6,FALSE),0)</f>
        <v>6</v>
      </c>
      <c r="AF30" s="20" t="str">
        <f>VLOOKUP(Data[[#This Row],[DEVELOPMENT]],[8]Developments!$A$2:$A$312,1,FALSE)</f>
        <v>BEACH 41ST STREET-BEACH CHANNEL DRIVE</v>
      </c>
    </row>
    <row r="31" spans="1:32" x14ac:dyDescent="0.25">
      <c r="A31" s="17" t="s">
        <v>142</v>
      </c>
      <c r="B31" s="17" t="str">
        <f>VLOOKUP(Data[[#This Row],[DEVELOPMENT]],'[2]NYCHA_Development_Data_Book 201'!$B$2:$AY$324,40,FALSE)</f>
        <v>BROOKLYN</v>
      </c>
      <c r="C31" t="str">
        <f>VLOOKUP(Data[[#This Row],[DEVELOPMENT]],'[3]Cheat-Sheet'!$D$2:$Q$341,2,FALSE)</f>
        <v>SUMNER</v>
      </c>
      <c r="D31" t="str">
        <f>IF(VLOOKUP(Data[[#This Row],[DEVELOPMENT]],'[4]IC Categories'!$A$2:$G$325,3,FALSE)=0,"",VLOOKUP(Data[[#This Row],[DEVELOPMENT]],'[4]IC Categories'!$A$2:$G$325,3,FALSE))</f>
        <v/>
      </c>
      <c r="E31">
        <f>VLOOKUP(Data[[#This Row],[DEVELOPMENT]],'[2]NYCHA_Development_Data_Book 201'!$B$2:$AY$324,21,FALSE)</f>
        <v>3</v>
      </c>
      <c r="F31">
        <f>VLOOKUP(Data[[#This Row],[DEVELOPMENT]],'[2]NYCHA_Development_Data_Book 201'!$B$2:$AY$324,23,FALSE)</f>
        <v>5</v>
      </c>
      <c r="G31">
        <f>VLOOKUP(Data[[#This Row],[DEVELOPMENT]],'[2]NYCHA_Development_Data_Book 201'!$B$2:$AY$324,12,FALSE)</f>
        <v>84</v>
      </c>
      <c r="H31" t="s">
        <v>472</v>
      </c>
      <c r="I31" t="s">
        <v>471</v>
      </c>
      <c r="J31">
        <f>IFERROR(VLOOKUP(Data[[#This Row],[DEVELOPMENT]],[5]!Table1[[DEVELOPMENTS]:[Installation Date of Exterior Compactor]],4,FALSE),0)</f>
        <v>0</v>
      </c>
      <c r="K31" s="20">
        <f>IFERROR(VLOOKUP(Data[[#This Row],[DEVELOPMENT]],[5]!Table1[[DEVELOPMENTS]:[Installation Date of Exterior Compactor]],7,FALSE),0)</f>
        <v>0</v>
      </c>
      <c r="L31" s="42" t="str">
        <f>IF(Data[[#This Row],['# Interior Compactors]]=0,"",VLOOKUP(Data[[#This Row],[DEVELOPMENT]],[5]!Table1[[DEVELOPMENTS]:[Installation Date of Exterior Compactor]],5,FALSE))</f>
        <v/>
      </c>
      <c r="M31" s="43" t="str">
        <f>IF(Data[[#This Row],['# Exterior Compactors]]=0,"",VLOOKUP(Data[[#This Row],[DEVELOPMENT]],[5]!Table1[[DEVELOPMENTS]:[Installation Date of Exterior Compactor]],8,FALSE))</f>
        <v/>
      </c>
      <c r="N31">
        <f>Data[[#This Row],['# Interior Compactors]]</f>
        <v>0</v>
      </c>
      <c r="O31" s="20">
        <f>1</f>
        <v>1</v>
      </c>
      <c r="P31" s="20">
        <f>1</f>
        <v>1</v>
      </c>
      <c r="Q31" s="20">
        <f>1</f>
        <v>1</v>
      </c>
      <c r="R31" s="20">
        <f>1</f>
        <v>1</v>
      </c>
      <c r="S31" s="20">
        <f>1</f>
        <v>1</v>
      </c>
      <c r="T31" s="20">
        <f>Data[[#This Row],[DUs]]</f>
        <v>84</v>
      </c>
      <c r="U3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" s="101">
        <f>VLOOKUP(Data[[#This Row],[DEVELOPMENT]],'[2]NYCHA_Development_Data_Book 201'!$B$2:$E$324,3,FALSE)</f>
        <v>311</v>
      </c>
      <c r="Y31" s="20" t="s">
        <v>473</v>
      </c>
      <c r="Z31" s="20">
        <f>IFERROR(VLOOKUP(Data[[#This Row],[TDS]],'[7]Static Ext by TDS'!$A$5:$E$120,2,FALSE),0)</f>
        <v>0</v>
      </c>
      <c r="AA31" s="20">
        <f>IFERROR(VLOOKUP(Data[[#This Row],[TDS]],'[7]Static Int by TDS'!$A$6:$O$305,2,FALSE),0)</f>
        <v>5</v>
      </c>
      <c r="AB31" s="20"/>
      <c r="AC31" s="20"/>
      <c r="AD31" s="20">
        <f>IFERROR(VLOOKUP(Data[[#This Row],[TDS]],'[7]Static Ext by TDS'!$A$5:$P$120,3,FALSE)+VLOOKUP(Data[[#This Row],[TDS]],'[7]Static Ext by TDS'!$A$5:$P$120,6,FALSE),0)</f>
        <v>0</v>
      </c>
      <c r="AE31" s="20">
        <f>IFERROR(VLOOKUP(Data[[#This Row],[TDS]],'[7]Static Int by TDS'!$A$6:$O$305,3,FALSE)+VLOOKUP(Data[[#This Row],[TDS]],'[7]Static Int by TDS'!$A$6:$O$305,6,FALSE),0)</f>
        <v>5</v>
      </c>
      <c r="AF31" s="20" t="str">
        <f>VLOOKUP(Data[[#This Row],[DEVELOPMENT]],[8]Developments!$A$2:$A$312,1,FALSE)</f>
        <v>BEDFORD-STUYVESANT REHAB</v>
      </c>
    </row>
    <row r="32" spans="1:32" x14ac:dyDescent="0.25">
      <c r="A32" t="s">
        <v>179</v>
      </c>
      <c r="B32" s="20" t="str">
        <f>VLOOKUP(Data[[#This Row],[DEVELOPMENT]],'[2]NYCHA_Development_Data_Book 201'!$B$2:$AY$324,40,FALSE)</f>
        <v>BROOKLYN</v>
      </c>
      <c r="C32" s="20" t="str">
        <f>VLOOKUP(Data[[#This Row],[DEVELOPMENT]],'[3]Cheat-Sheet'!$D$2:$Q$341,2,FALSE)</f>
        <v>BOULEVARD</v>
      </c>
      <c r="D32" s="20" t="str">
        <f>IF(VLOOKUP(Data[[#This Row],[DEVELOPMENT]],'[4]IC Categories'!$A$2:$G$325,3,FALSE)=0,"",VLOOKUP(Data[[#This Row],[DEVELOPMENT]],'[4]IC Categories'!$A$2:$G$325,3,FALSE))</f>
        <v/>
      </c>
      <c r="E32" s="20">
        <f>VLOOKUP(Data[[#This Row],[DEVELOPMENT]],'[2]NYCHA_Development_Data_Book 201'!$B$2:$AY$324,21,FALSE)</f>
        <v>3</v>
      </c>
      <c r="F32" s="20">
        <f>VLOOKUP(Data[[#This Row],[DEVELOPMENT]],'[2]NYCHA_Development_Data_Book 201'!$B$2:$AY$324,23,FALSE)</f>
        <v>8</v>
      </c>
      <c r="G32" s="20">
        <f>VLOOKUP(Data[[#This Row],[DEVELOPMENT]],'[2]NYCHA_Development_Data_Book 201'!$B$2:$AY$324,12,FALSE)</f>
        <v>72</v>
      </c>
      <c r="J32">
        <f>IFERROR(VLOOKUP(Data[[#This Row],[DEVELOPMENT]],[5]!Table1[[DEVELOPMENTS]:[Installation Date of Exterior Compactor]],4,FALSE),0)</f>
        <v>0</v>
      </c>
      <c r="K32" s="20">
        <f>IFERROR(VLOOKUP(Data[[#This Row],[DEVELOPMENT]],[5]!Table1[[DEVELOPMENTS]:[Installation Date of Exterior Compactor]],7,FALSE),0)</f>
        <v>0</v>
      </c>
      <c r="L32" s="42" t="str">
        <f>IF(Data[[#This Row],['# Interior Compactors]]=0,"",VLOOKUP(Data[[#This Row],[DEVELOPMENT]],[5]!Table1[[DEVELOPMENTS]:[Installation Date of Exterior Compactor]],5,FALSE))</f>
        <v/>
      </c>
      <c r="M32" s="43" t="str">
        <f>IF(Data[[#This Row],['# Exterior Compactors]]=0,"",VLOOKUP(Data[[#This Row],[DEVELOPMENT]],[5]!Table1[[DEVELOPMENTS]:[Installation Date of Exterior Compactor]],8,FALSE))</f>
        <v/>
      </c>
      <c r="N32" s="20">
        <f>Data[[#This Row],['# Interior Compactors]]</f>
        <v>0</v>
      </c>
      <c r="O32" s="20">
        <f>1</f>
        <v>1</v>
      </c>
      <c r="P32" s="20">
        <f>1</f>
        <v>1</v>
      </c>
      <c r="Q32" s="20">
        <f>1</f>
        <v>1</v>
      </c>
      <c r="R32" s="20">
        <f>1</f>
        <v>1</v>
      </c>
      <c r="S32" s="20">
        <f>1</f>
        <v>1</v>
      </c>
      <c r="T32" s="20">
        <f>Data[[#This Row],[DUs]]</f>
        <v>72</v>
      </c>
      <c r="U3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2" s="101">
        <f>VLOOKUP(Data[[#This Row],[DEVELOPMENT]],'[2]NYCHA_Development_Data_Book 201'!$B$2:$E$324,3,FALSE)</f>
        <v>345</v>
      </c>
      <c r="Y32" s="20"/>
      <c r="Z32" s="20">
        <f>IFERROR(VLOOKUP(Data[[#This Row],[TDS]],'[7]Static Ext by TDS'!$A$5:$E$120,2,FALSE),0)</f>
        <v>0</v>
      </c>
      <c r="AA32" s="20">
        <f>IFERROR(VLOOKUP(Data[[#This Row],[TDS]],'[7]Static Int by TDS'!$A$6:$O$305,2,FALSE),0)</f>
        <v>0</v>
      </c>
      <c r="AB32" s="20"/>
      <c r="AC32" s="20"/>
      <c r="AD32" s="20">
        <f>IFERROR(VLOOKUP(Data[[#This Row],[TDS]],'[7]Static Ext by TDS'!$A$5:$P$120,3,FALSE)+VLOOKUP(Data[[#This Row],[TDS]],'[7]Static Ext by TDS'!$A$5:$P$120,6,FALSE),0)</f>
        <v>0</v>
      </c>
      <c r="AE32" s="20">
        <f>IFERROR(VLOOKUP(Data[[#This Row],[TDS]],'[7]Static Int by TDS'!$A$6:$O$305,3,FALSE)+VLOOKUP(Data[[#This Row],[TDS]],'[7]Static Int by TDS'!$A$6:$O$305,6,FALSE),0)</f>
        <v>0</v>
      </c>
      <c r="AF32" s="20" t="str">
        <f>VLOOKUP(Data[[#This Row],[DEVELOPMENT]],[8]Developments!$A$2:$A$312,1,FALSE)</f>
        <v>BELMONT-SUTTER AREA</v>
      </c>
    </row>
    <row r="33" spans="1:32" x14ac:dyDescent="0.25">
      <c r="A33" t="s">
        <v>180</v>
      </c>
      <c r="B33" s="20" t="str">
        <f>VLOOKUP(Data[[#This Row],[DEVELOPMENT]],'[2]NYCHA_Development_Data_Book 201'!$B$2:$AY$324,40,FALSE)</f>
        <v>STATEN ISLAND</v>
      </c>
      <c r="C33" s="20" t="str">
        <f>VLOOKUP(Data[[#This Row],[DEVELOPMENT]],'[3]Cheat-Sheet'!$D$2:$Q$341,2,FALSE)</f>
        <v>BERRY</v>
      </c>
      <c r="D33" s="20" t="str">
        <f>IF(VLOOKUP(Data[[#This Row],[DEVELOPMENT]],'[4]IC Categories'!$A$2:$G$325,3,FALSE)=0,"",VLOOKUP(Data[[#This Row],[DEVELOPMENT]],'[4]IC Categories'!$A$2:$G$325,3,FALSE))</f>
        <v/>
      </c>
      <c r="E33" s="20">
        <f>VLOOKUP(Data[[#This Row],[DEVELOPMENT]],'[2]NYCHA_Development_Data_Book 201'!$B$2:$AY$324,21,FALSE)</f>
        <v>8</v>
      </c>
      <c r="F33" s="20">
        <f>VLOOKUP(Data[[#This Row],[DEVELOPMENT]],'[2]NYCHA_Development_Data_Book 201'!$B$2:$AY$324,23,FALSE)</f>
        <v>17</v>
      </c>
      <c r="G33" s="20">
        <f>VLOOKUP(Data[[#This Row],[DEVELOPMENT]],'[2]NYCHA_Development_Data_Book 201'!$B$2:$AY$324,12,FALSE)</f>
        <v>506</v>
      </c>
      <c r="J33">
        <f>IFERROR(VLOOKUP(Data[[#This Row],[DEVELOPMENT]],[5]!Table1[[DEVELOPMENTS]:[Installation Date of Exterior Compactor]],4,FALSE),0)</f>
        <v>0</v>
      </c>
      <c r="K33" s="20">
        <f>IFERROR(VLOOKUP(Data[[#This Row],[DEVELOPMENT]],[5]!Table1[[DEVELOPMENTS]:[Installation Date of Exterior Compactor]],7,FALSE),0)</f>
        <v>0</v>
      </c>
      <c r="L33" s="42" t="str">
        <f>IF(Data[[#This Row],['# Interior Compactors]]=0,"",VLOOKUP(Data[[#This Row],[DEVELOPMENT]],[5]!Table1[[DEVELOPMENTS]:[Installation Date of Exterior Compactor]],5,FALSE))</f>
        <v/>
      </c>
      <c r="M33" s="43" t="str">
        <f>IF(Data[[#This Row],['# Exterior Compactors]]=0,"",VLOOKUP(Data[[#This Row],[DEVELOPMENT]],[5]!Table1[[DEVELOPMENTS]:[Installation Date of Exterior Compactor]],8,FALSE))</f>
        <v/>
      </c>
      <c r="N33" s="20">
        <f>Data[[#This Row],['# Interior Compactors]]</f>
        <v>0</v>
      </c>
      <c r="O33" s="20">
        <f>1</f>
        <v>1</v>
      </c>
      <c r="P33" s="20">
        <f>1</f>
        <v>1</v>
      </c>
      <c r="Q33" s="20">
        <f>1</f>
        <v>1</v>
      </c>
      <c r="R33" s="20">
        <f>1</f>
        <v>1</v>
      </c>
      <c r="S33" s="20">
        <f>1</f>
        <v>1</v>
      </c>
      <c r="T33" s="20">
        <f>Data[[#This Row],[DUs]]</f>
        <v>506</v>
      </c>
      <c r="U3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3" s="101">
        <f>VLOOKUP(Data[[#This Row],[DEVELOPMENT]],'[2]NYCHA_Development_Data_Book 201'!$B$2:$E$324,3,FALSE)</f>
        <v>52</v>
      </c>
      <c r="Y33" s="20"/>
      <c r="Z33" s="20">
        <f>IFERROR(VLOOKUP(Data[[#This Row],[TDS]],'[7]Static Ext by TDS'!$A$5:$E$120,2,FALSE),0)</f>
        <v>1</v>
      </c>
      <c r="AA33" s="20">
        <f>IFERROR(VLOOKUP(Data[[#This Row],[TDS]],'[7]Static Int by TDS'!$A$6:$O$305,2,FALSE),0)</f>
        <v>15</v>
      </c>
      <c r="AB33" s="20"/>
      <c r="AC33" s="20"/>
      <c r="AD33" s="20">
        <f>IFERROR(VLOOKUP(Data[[#This Row],[TDS]],'[7]Static Ext by TDS'!$A$5:$P$120,3,FALSE)+VLOOKUP(Data[[#This Row],[TDS]],'[7]Static Ext by TDS'!$A$5:$P$120,6,FALSE),0)</f>
        <v>1</v>
      </c>
      <c r="AE33" s="20">
        <f>IFERROR(VLOOKUP(Data[[#This Row],[TDS]],'[7]Static Int by TDS'!$A$6:$O$305,3,FALSE)+VLOOKUP(Data[[#This Row],[TDS]],'[7]Static Int by TDS'!$A$6:$O$305,6,FALSE),0)</f>
        <v>15</v>
      </c>
      <c r="AF33" s="20" t="str">
        <f>VLOOKUP(Data[[#This Row],[DEVELOPMENT]],[8]Developments!$A$2:$A$312,1,FALSE)</f>
        <v>BERRY</v>
      </c>
    </row>
    <row r="34" spans="1:32" x14ac:dyDescent="0.25">
      <c r="A34" t="s">
        <v>181</v>
      </c>
      <c r="B34" s="20" t="str">
        <f>VLOOKUP(Data[[#This Row],[DEVELOPMENT]],'[2]NYCHA_Development_Data_Book 201'!$B$2:$AY$324,40,FALSE)</f>
        <v>BROOKLYN</v>
      </c>
      <c r="C34" s="20" t="str">
        <f>VLOOKUP(Data[[#This Row],[DEVELOPMENT]],'[3]Cheat-Sheet'!$D$2:$Q$341,2,FALSE)</f>
        <v>TOMPKINS</v>
      </c>
      <c r="D34" s="20" t="str">
        <f>IF(VLOOKUP(Data[[#This Row],[DEVELOPMENT]],'[4]IC Categories'!$A$2:$G$325,3,FALSE)=0,"",VLOOKUP(Data[[#This Row],[DEVELOPMENT]],'[4]IC Categories'!$A$2:$G$325,3,FALSE))</f>
        <v/>
      </c>
      <c r="E34" s="20">
        <f>VLOOKUP(Data[[#This Row],[DEVELOPMENT]],'[2]NYCHA_Development_Data_Book 201'!$B$2:$AY$324,21,FALSE)</f>
        <v>4</v>
      </c>
      <c r="F34" s="20">
        <f>VLOOKUP(Data[[#This Row],[DEVELOPMENT]],'[2]NYCHA_Development_Data_Book 201'!$B$2:$AY$324,23,FALSE)</f>
        <v>15</v>
      </c>
      <c r="G34" s="20">
        <f>VLOOKUP(Data[[#This Row],[DEVELOPMENT]],'[2]NYCHA_Development_Data_Book 201'!$B$2:$AY$324,12,FALSE)</f>
        <v>150</v>
      </c>
      <c r="J34">
        <f>IFERROR(VLOOKUP(Data[[#This Row],[DEVELOPMENT]],[5]!Table1[[DEVELOPMENTS]:[Installation Date of Exterior Compactor]],4,FALSE),0)</f>
        <v>0</v>
      </c>
      <c r="K34" s="20">
        <f>IFERROR(VLOOKUP(Data[[#This Row],[DEVELOPMENT]],[5]!Table1[[DEVELOPMENTS]:[Installation Date of Exterior Compactor]],7,FALSE),0)</f>
        <v>0</v>
      </c>
      <c r="L34" s="42" t="str">
        <f>IF(Data[[#This Row],['# Interior Compactors]]=0,"",VLOOKUP(Data[[#This Row],[DEVELOPMENT]],[5]!Table1[[DEVELOPMENTS]:[Installation Date of Exterior Compactor]],5,FALSE))</f>
        <v/>
      </c>
      <c r="M34" s="43" t="str">
        <f>IF(Data[[#This Row],['# Exterior Compactors]]=0,"",VLOOKUP(Data[[#This Row],[DEVELOPMENT]],[5]!Table1[[DEVELOPMENTS]:[Installation Date of Exterior Compactor]],8,FALSE))</f>
        <v/>
      </c>
      <c r="N34" s="20">
        <f>Data[[#This Row],['# Interior Compactors]]</f>
        <v>0</v>
      </c>
      <c r="O34" s="20">
        <f>1</f>
        <v>1</v>
      </c>
      <c r="P34" s="20">
        <f>1</f>
        <v>1</v>
      </c>
      <c r="Q34" s="20">
        <f>1</f>
        <v>1</v>
      </c>
      <c r="R34" s="20">
        <f>1</f>
        <v>1</v>
      </c>
      <c r="S34" s="20">
        <f>1</f>
        <v>1</v>
      </c>
      <c r="T34" s="20">
        <f>Data[[#This Row],[DUs]]</f>
        <v>150</v>
      </c>
      <c r="U3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4" s="101">
        <f>VLOOKUP(Data[[#This Row],[DEVELOPMENT]],'[2]NYCHA_Development_Data_Book 201'!$B$2:$E$324,3,FALSE)</f>
        <v>357</v>
      </c>
      <c r="Y34" s="20" t="s">
        <v>473</v>
      </c>
      <c r="Z34" s="20">
        <f>IFERROR(VLOOKUP(Data[[#This Row],[TDS]],'[7]Static Ext by TDS'!$A$5:$E$120,2,FALSE),0)</f>
        <v>1</v>
      </c>
      <c r="AA34" s="20">
        <f>IFERROR(VLOOKUP(Data[[#This Row],[TDS]],'[7]Static Int by TDS'!$A$6:$O$305,2,FALSE),0)</f>
        <v>1</v>
      </c>
      <c r="AB34" s="20"/>
      <c r="AC34" s="20"/>
      <c r="AD34" s="20">
        <f>IFERROR(VLOOKUP(Data[[#This Row],[TDS]],'[7]Static Ext by TDS'!$A$5:$P$120,3,FALSE)+VLOOKUP(Data[[#This Row],[TDS]],'[7]Static Ext by TDS'!$A$5:$P$120,6,FALSE),0)</f>
        <v>1</v>
      </c>
      <c r="AE34" s="20">
        <f>IFERROR(VLOOKUP(Data[[#This Row],[TDS]],'[7]Static Int by TDS'!$A$6:$O$305,3,FALSE)+VLOOKUP(Data[[#This Row],[TDS]],'[7]Static Int by TDS'!$A$6:$O$305,6,FALSE),0)</f>
        <v>1</v>
      </c>
      <c r="AF34" s="20" t="str">
        <f>VLOOKUP(Data[[#This Row],[DEVELOPMENT]],[8]Developments!$A$2:$A$312,1,FALSE)</f>
        <v>BERRY STREET-SOUTH 9TH STREET</v>
      </c>
    </row>
    <row r="35" spans="1:32" x14ac:dyDescent="0.25">
      <c r="A35" t="s">
        <v>71</v>
      </c>
      <c r="B35" t="str">
        <f>VLOOKUP(Data[[#This Row],[DEVELOPMENT]],'[2]NYCHA_Development_Data_Book 201'!$B$2:$AY$324,40,FALSE)</f>
        <v>MANHATTAN</v>
      </c>
      <c r="C35" t="str">
        <f>VLOOKUP(Data[[#This Row],[DEVELOPMENT]],'[3]Cheat-Sheet'!$D$2:$Q$341,2,FALSE)</f>
        <v>HARLEM RIVER</v>
      </c>
      <c r="D35">
        <f>IF(VLOOKUP(Data[[#This Row],[DEVELOPMENT]],'[4]IC Categories'!$A$2:$G$325,3,FALSE)=0,"",VLOOKUP(Data[[#This Row],[DEVELOPMENT]],'[4]IC Categories'!$A$2:$G$325,3,FALSE))</f>
        <v>2020</v>
      </c>
      <c r="E35">
        <f>VLOOKUP(Data[[#This Row],[DEVELOPMENT]],'[2]NYCHA_Development_Data_Book 201'!$B$2:$AY$324,21,FALSE)</f>
        <v>1</v>
      </c>
      <c r="F35">
        <f>VLOOKUP(Data[[#This Row],[DEVELOPMENT]],'[2]NYCHA_Development_Data_Book 201'!$B$2:$AY$324,23,FALSE)</f>
        <v>1</v>
      </c>
      <c r="G35">
        <f>VLOOKUP(Data[[#This Row],[DEVELOPMENT]],'[2]NYCHA_Development_Data_Book 201'!$B$2:$AY$324,12,FALSE)</f>
        <v>210</v>
      </c>
      <c r="H35" t="s">
        <v>474</v>
      </c>
      <c r="I35" t="s">
        <v>475</v>
      </c>
      <c r="J35">
        <f>IFERROR(VLOOKUP(Data[[#This Row],[DEVELOPMENT]],[5]!Table1[[DEVELOPMENTS]:[Installation Date of Exterior Compactor]],4,FALSE),0)</f>
        <v>0</v>
      </c>
      <c r="K35" s="20">
        <f>IFERROR(VLOOKUP(Data[[#This Row],[DEVELOPMENT]],[5]!Table1[[DEVELOPMENTS]:[Installation Date of Exterior Compactor]],7,FALSE),0)</f>
        <v>0</v>
      </c>
      <c r="L35" s="42" t="str">
        <f>IF(Data[[#This Row],['# Interior Compactors]]=0,"",VLOOKUP(Data[[#This Row],[DEVELOPMENT]],[5]!Table1[[DEVELOPMENTS]:[Installation Date of Exterior Compactor]],5,FALSE))</f>
        <v/>
      </c>
      <c r="M35" s="43" t="str">
        <f>IF(Data[[#This Row],['# Exterior Compactors]]=0,"",VLOOKUP(Data[[#This Row],[DEVELOPMENT]],[5]!Table1[[DEVELOPMENTS]:[Installation Date of Exterior Compactor]],8,FALSE))</f>
        <v/>
      </c>
      <c r="N35">
        <f>Data[[#This Row],['# Interior Compactors]]</f>
        <v>0</v>
      </c>
      <c r="O35" s="20">
        <f>1</f>
        <v>1</v>
      </c>
      <c r="P35" s="20">
        <f>1</f>
        <v>1</v>
      </c>
      <c r="Q35" s="20">
        <f>1</f>
        <v>1</v>
      </c>
      <c r="R35" s="20">
        <f>1</f>
        <v>1</v>
      </c>
      <c r="S35" s="20">
        <f>1</f>
        <v>1</v>
      </c>
      <c r="T35" s="20">
        <f>Data[[#This Row],[DUs]]</f>
        <v>210</v>
      </c>
      <c r="U3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5" s="101">
        <f>VLOOKUP(Data[[#This Row],[DEVELOPMENT]],'[2]NYCHA_Development_Data_Book 201'!$B$2:$E$324,3,FALSE)</f>
        <v>160</v>
      </c>
      <c r="Y35" s="20"/>
      <c r="Z35" s="20">
        <f>IFERROR(VLOOKUP(Data[[#This Row],[TDS]],'[7]Static Ext by TDS'!$A$5:$E$120,2,FALSE),0)</f>
        <v>1</v>
      </c>
      <c r="AA35" s="20">
        <f>IFERROR(VLOOKUP(Data[[#This Row],[TDS]],'[7]Static Int by TDS'!$A$6:$O$305,2,FALSE),0)</f>
        <v>1</v>
      </c>
      <c r="AB35" s="20"/>
      <c r="AC35" s="20"/>
      <c r="AD35" s="20">
        <f>IFERROR(VLOOKUP(Data[[#This Row],[TDS]],'[7]Static Ext by TDS'!$A$5:$P$120,3,FALSE)+VLOOKUP(Data[[#This Row],[TDS]],'[7]Static Ext by TDS'!$A$5:$P$120,6,FALSE),0)</f>
        <v>1</v>
      </c>
      <c r="AE35" s="20">
        <f>IFERROR(VLOOKUP(Data[[#This Row],[TDS]],'[7]Static Int by TDS'!$A$6:$O$305,3,FALSE)+VLOOKUP(Data[[#This Row],[TDS]],'[7]Static Int by TDS'!$A$6:$O$305,6,FALSE),0)</f>
        <v>1</v>
      </c>
      <c r="AF35" s="20" t="str">
        <f>VLOOKUP(Data[[#This Row],[DEVELOPMENT]],[8]Developments!$A$2:$A$312,1,FALSE)</f>
        <v>BETHUNE GARDENS</v>
      </c>
    </row>
    <row r="36" spans="1:32" x14ac:dyDescent="0.25">
      <c r="A36" t="s">
        <v>182</v>
      </c>
      <c r="B36" s="20" t="str">
        <f>VLOOKUP(Data[[#This Row],[DEVELOPMENT]],'[2]NYCHA_Development_Data_Book 201'!$B$2:$AY$324,40,FALSE)</f>
        <v>QUEENS</v>
      </c>
      <c r="C36" s="20" t="str">
        <f>VLOOKUP(Data[[#This Row],[DEVELOPMENT]],'[3]Cheat-Sheet'!$D$2:$Q$341,2,FALSE)</f>
        <v>LATIMER GARDENS</v>
      </c>
      <c r="D36" s="20" t="str">
        <f>IF(VLOOKUP(Data[[#This Row],[DEVELOPMENT]],'[4]IC Categories'!$A$2:$G$325,3,FALSE)=0,"",VLOOKUP(Data[[#This Row],[DEVELOPMENT]],'[4]IC Categories'!$A$2:$G$325,3,FALSE))</f>
        <v/>
      </c>
      <c r="E36" s="20">
        <f>VLOOKUP(Data[[#This Row],[DEVELOPMENT]],'[2]NYCHA_Development_Data_Book 201'!$B$2:$AY$324,21,FALSE)</f>
        <v>5</v>
      </c>
      <c r="F36" s="20">
        <f>VLOOKUP(Data[[#This Row],[DEVELOPMENT]],'[2]NYCHA_Development_Data_Book 201'!$B$2:$AY$324,23,FALSE)</f>
        <v>5</v>
      </c>
      <c r="G36" s="20">
        <f>VLOOKUP(Data[[#This Row],[DEVELOPMENT]],'[2]NYCHA_Development_Data_Book 201'!$B$2:$AY$324,12,FALSE)</f>
        <v>399</v>
      </c>
      <c r="J36">
        <f>IFERROR(VLOOKUP(Data[[#This Row],[DEVELOPMENT]],[5]!Table1[[DEVELOPMENTS]:[Installation Date of Exterior Compactor]],4,FALSE),0)</f>
        <v>0</v>
      </c>
      <c r="K36" s="20">
        <f>IFERROR(VLOOKUP(Data[[#This Row],[DEVELOPMENT]],[5]!Table1[[DEVELOPMENTS]:[Installation Date of Exterior Compactor]],7,FALSE),0)</f>
        <v>0</v>
      </c>
      <c r="L36" s="42" t="str">
        <f>IF(Data[[#This Row],['# Interior Compactors]]=0,"",VLOOKUP(Data[[#This Row],[DEVELOPMENT]],[5]!Table1[[DEVELOPMENTS]:[Installation Date of Exterior Compactor]],5,FALSE))</f>
        <v/>
      </c>
      <c r="M36" s="43" t="str">
        <f>IF(Data[[#This Row],['# Exterior Compactors]]=0,"",VLOOKUP(Data[[#This Row],[DEVELOPMENT]],[5]!Table1[[DEVELOPMENTS]:[Installation Date of Exterior Compactor]],8,FALSE))</f>
        <v/>
      </c>
      <c r="N36" s="20">
        <f>Data[[#This Row],['# Interior Compactors]]</f>
        <v>0</v>
      </c>
      <c r="O36" s="20">
        <f>1</f>
        <v>1</v>
      </c>
      <c r="P36" s="20">
        <f>1</f>
        <v>1</v>
      </c>
      <c r="Q36" s="20">
        <f>1</f>
        <v>1</v>
      </c>
      <c r="R36" s="20">
        <f>1</f>
        <v>1</v>
      </c>
      <c r="S36" s="20">
        <f>1</f>
        <v>1</v>
      </c>
      <c r="T36" s="20">
        <f>Data[[#This Row],[DUs]]</f>
        <v>399</v>
      </c>
      <c r="U3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6" s="101">
        <f>VLOOKUP(Data[[#This Row],[DEVELOPMENT]],'[2]NYCHA_Development_Data_Book 201'!$B$2:$E$324,3,FALSE)</f>
        <v>54</v>
      </c>
      <c r="Y36" s="20"/>
      <c r="Z36" s="20">
        <f>IFERROR(VLOOKUP(Data[[#This Row],[TDS]],'[7]Static Ext by TDS'!$A$5:$E$120,2,FALSE),0)</f>
        <v>0</v>
      </c>
      <c r="AA36" s="20">
        <f>IFERROR(VLOOKUP(Data[[#This Row],[TDS]],'[7]Static Int by TDS'!$A$6:$O$305,2,FALSE),0)</f>
        <v>5</v>
      </c>
      <c r="AB36" s="20"/>
      <c r="AC36" s="20"/>
      <c r="AD36" s="20">
        <f>IFERROR(VLOOKUP(Data[[#This Row],[TDS]],'[7]Static Ext by TDS'!$A$5:$P$120,3,FALSE)+VLOOKUP(Data[[#This Row],[TDS]],'[7]Static Ext by TDS'!$A$5:$P$120,6,FALSE),0)</f>
        <v>0</v>
      </c>
      <c r="AE36" s="20">
        <f>IFERROR(VLOOKUP(Data[[#This Row],[TDS]],'[7]Static Int by TDS'!$A$6:$O$305,3,FALSE)+VLOOKUP(Data[[#This Row],[TDS]],'[7]Static Int by TDS'!$A$6:$O$305,6,FALSE),0)</f>
        <v>5</v>
      </c>
      <c r="AF36" s="20" t="str">
        <f>VLOOKUP(Data[[#This Row],[DEVELOPMENT]],[8]Developments!$A$2:$A$312,1,FALSE)</f>
        <v>BLAND</v>
      </c>
    </row>
    <row r="37" spans="1:32" x14ac:dyDescent="0.25">
      <c r="A37" t="s">
        <v>119</v>
      </c>
      <c r="B37" t="str">
        <f>VLOOKUP(Data[[#This Row],[DEVELOPMENT]],'[2]NYCHA_Development_Data_Book 201'!$B$2:$AY$324,40,FALSE)</f>
        <v>BROOKLYN</v>
      </c>
      <c r="C37" t="str">
        <f>VLOOKUP(Data[[#This Row],[DEVELOPMENT]],'[3]Cheat-Sheet'!$D$2:$Q$341,2,FALSE)</f>
        <v>BORINQUEN PLAZA I</v>
      </c>
      <c r="D37" t="str">
        <f>IF(VLOOKUP(Data[[#This Row],[DEVELOPMENT]],'[4]IC Categories'!$A$2:$G$325,3,FALSE)=0,"",VLOOKUP(Data[[#This Row],[DEVELOPMENT]],'[4]IC Categories'!$A$2:$G$325,3,FALSE))</f>
        <v/>
      </c>
      <c r="E37">
        <f>VLOOKUP(Data[[#This Row],[DEVELOPMENT]],'[2]NYCHA_Development_Data_Book 201'!$B$2:$AY$324,21,FALSE)</f>
        <v>8</v>
      </c>
      <c r="F37">
        <f>VLOOKUP(Data[[#This Row],[DEVELOPMENT]],'[2]NYCHA_Development_Data_Book 201'!$B$2:$AY$324,23,FALSE)</f>
        <v>10</v>
      </c>
      <c r="G37">
        <f>VLOOKUP(Data[[#This Row],[DEVELOPMENT]],'[2]NYCHA_Development_Data_Book 201'!$B$2:$AY$324,12,FALSE)</f>
        <v>509</v>
      </c>
      <c r="H37" t="s">
        <v>474</v>
      </c>
      <c r="I37" t="s">
        <v>477</v>
      </c>
      <c r="J37">
        <f>IFERROR(VLOOKUP(Data[[#This Row],[DEVELOPMENT]],[5]!Table1[[DEVELOPMENTS]:[Installation Date of Exterior Compactor]],4,FALSE),0)</f>
        <v>0</v>
      </c>
      <c r="K37" s="20">
        <f>IFERROR(VLOOKUP(Data[[#This Row],[DEVELOPMENT]],[5]!Table1[[DEVELOPMENTS]:[Installation Date of Exterior Compactor]],7,FALSE),0)</f>
        <v>0</v>
      </c>
      <c r="L37" s="42" t="str">
        <f>IF(Data[[#This Row],['# Interior Compactors]]=0,"",VLOOKUP(Data[[#This Row],[DEVELOPMENT]],[5]!Table1[[DEVELOPMENTS]:[Installation Date of Exterior Compactor]],5,FALSE))</f>
        <v/>
      </c>
      <c r="M37" s="43" t="str">
        <f>IF(Data[[#This Row],['# Exterior Compactors]]=0,"",VLOOKUP(Data[[#This Row],[DEVELOPMENT]],[5]!Table1[[DEVELOPMENTS]:[Installation Date of Exterior Compactor]],8,FALSE))</f>
        <v/>
      </c>
      <c r="N37">
        <f>Data[[#This Row],['# Interior Compactors]]</f>
        <v>0</v>
      </c>
      <c r="O37" s="20">
        <f>1</f>
        <v>1</v>
      </c>
      <c r="P37" s="20">
        <f>1</f>
        <v>1</v>
      </c>
      <c r="Q37" s="20">
        <f>1</f>
        <v>1</v>
      </c>
      <c r="R37" s="20">
        <f>1</f>
        <v>1</v>
      </c>
      <c r="S37" s="20">
        <f>1</f>
        <v>1</v>
      </c>
      <c r="T37" s="20">
        <f>Data[[#This Row],[DUs]]</f>
        <v>509</v>
      </c>
      <c r="U3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7" s="101">
        <f>VLOOKUP(Data[[#This Row],[DEVELOPMENT]],'[2]NYCHA_Development_Data_Book 201'!$B$2:$E$324,3,FALSE)</f>
        <v>243</v>
      </c>
      <c r="Y37" s="20" t="s">
        <v>473</v>
      </c>
      <c r="Z37" s="20">
        <f>IFERROR(VLOOKUP(Data[[#This Row],[TDS]],'[7]Static Ext by TDS'!$A$5:$E$120,2,FALSE),0)</f>
        <v>2</v>
      </c>
      <c r="AA37" s="20">
        <f>IFERROR(VLOOKUP(Data[[#This Row],[TDS]],'[7]Static Int by TDS'!$A$6:$O$305,2,FALSE),0)</f>
        <v>8</v>
      </c>
      <c r="AB37" s="20"/>
      <c r="AC37" s="20"/>
      <c r="AD37" s="20">
        <f>IFERROR(VLOOKUP(Data[[#This Row],[TDS]],'[7]Static Ext by TDS'!$A$5:$P$120,3,FALSE)+VLOOKUP(Data[[#This Row],[TDS]],'[7]Static Ext by TDS'!$A$5:$P$120,6,FALSE),0)</f>
        <v>2</v>
      </c>
      <c r="AE37" s="20">
        <f>IFERROR(VLOOKUP(Data[[#This Row],[TDS]],'[7]Static Int by TDS'!$A$6:$O$305,3,FALSE)+VLOOKUP(Data[[#This Row],[TDS]],'[7]Static Int by TDS'!$A$6:$O$305,6,FALSE),0)</f>
        <v>8</v>
      </c>
      <c r="AF37" s="20" t="str">
        <f>VLOOKUP(Data[[#This Row],[DEVELOPMENT]],[8]Developments!$A$2:$A$312,1,FALSE)</f>
        <v>BORINQUEN PLAZA I</v>
      </c>
    </row>
    <row r="38" spans="1:32" x14ac:dyDescent="0.25">
      <c r="A38" t="s">
        <v>72</v>
      </c>
      <c r="B38" t="str">
        <f>VLOOKUP(Data[[#This Row],[DEVELOPMENT]],'[2]NYCHA_Development_Data_Book 201'!$B$2:$AY$324,40,FALSE)</f>
        <v>BROOKLYN</v>
      </c>
      <c r="C38" t="str">
        <f>VLOOKUP(Data[[#This Row],[DEVELOPMENT]],'[3]Cheat-Sheet'!$D$2:$Q$341,2,FALSE)</f>
        <v>BORINQUEN PLAZA I</v>
      </c>
      <c r="D38" t="str">
        <f>IF(VLOOKUP(Data[[#This Row],[DEVELOPMENT]],'[4]IC Categories'!$A$2:$G$325,3,FALSE)=0,"",VLOOKUP(Data[[#This Row],[DEVELOPMENT]],'[4]IC Categories'!$A$2:$G$325,3,FALSE))</f>
        <v/>
      </c>
      <c r="E38">
        <f>VLOOKUP(Data[[#This Row],[DEVELOPMENT]],'[2]NYCHA_Development_Data_Book 201'!$B$2:$AY$324,21,FALSE)</f>
        <v>7</v>
      </c>
      <c r="F38">
        <f>VLOOKUP(Data[[#This Row],[DEVELOPMENT]],'[2]NYCHA_Development_Data_Book 201'!$B$2:$AY$324,23,FALSE)</f>
        <v>7</v>
      </c>
      <c r="G38">
        <f>VLOOKUP(Data[[#This Row],[DEVELOPMENT]],'[2]NYCHA_Development_Data_Book 201'!$B$2:$AY$324,12,FALSE)</f>
        <v>425</v>
      </c>
      <c r="H38" t="s">
        <v>474</v>
      </c>
      <c r="I38" t="s">
        <v>478</v>
      </c>
      <c r="J38">
        <f>IFERROR(VLOOKUP(Data[[#This Row],[DEVELOPMENT]],[5]!Table1[[DEVELOPMENTS]:[Installation Date of Exterior Compactor]],4,FALSE),0)</f>
        <v>0</v>
      </c>
      <c r="K38" s="20">
        <f>IFERROR(VLOOKUP(Data[[#This Row],[DEVELOPMENT]],[5]!Table1[[DEVELOPMENTS]:[Installation Date of Exterior Compactor]],7,FALSE),0)</f>
        <v>0</v>
      </c>
      <c r="L38" s="42" t="str">
        <f>IF(Data[[#This Row],['# Interior Compactors]]=0,"",VLOOKUP(Data[[#This Row],[DEVELOPMENT]],[5]!Table1[[DEVELOPMENTS]:[Installation Date of Exterior Compactor]],5,FALSE))</f>
        <v/>
      </c>
      <c r="M38" s="43" t="str">
        <f>IF(Data[[#This Row],['# Exterior Compactors]]=0,"",VLOOKUP(Data[[#This Row],[DEVELOPMENT]],[5]!Table1[[DEVELOPMENTS]:[Installation Date of Exterior Compactor]],8,FALSE))</f>
        <v/>
      </c>
      <c r="N38">
        <f>Data[[#This Row],['# Interior Compactors]]</f>
        <v>0</v>
      </c>
      <c r="O38" s="20">
        <f>1</f>
        <v>1</v>
      </c>
      <c r="P38" s="20">
        <f>1</f>
        <v>1</v>
      </c>
      <c r="Q38" s="20">
        <f>1</f>
        <v>1</v>
      </c>
      <c r="R38" s="20">
        <f>1</f>
        <v>1</v>
      </c>
      <c r="S38" s="20">
        <f>1</f>
        <v>1</v>
      </c>
      <c r="T38" s="20">
        <f>Data[[#This Row],[DUs]]</f>
        <v>425</v>
      </c>
      <c r="U3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8" s="101">
        <f>VLOOKUP(Data[[#This Row],[DEVELOPMENT]],'[2]NYCHA_Development_Data_Book 201'!$B$2:$E$324,3,FALSE)</f>
        <v>271</v>
      </c>
      <c r="Y38" s="20" t="s">
        <v>473</v>
      </c>
      <c r="Z38" s="20">
        <f>IFERROR(VLOOKUP(Data[[#This Row],[TDS]],'[7]Static Ext by TDS'!$A$5:$E$120,2,FALSE),0)</f>
        <v>0</v>
      </c>
      <c r="AA38" s="20">
        <f>IFERROR(VLOOKUP(Data[[#This Row],[TDS]],'[7]Static Int by TDS'!$A$6:$O$305,2,FALSE),0)</f>
        <v>7</v>
      </c>
      <c r="AB38" s="20"/>
      <c r="AC38" s="20"/>
      <c r="AD38" s="20">
        <f>IFERROR(VLOOKUP(Data[[#This Row],[TDS]],'[7]Static Ext by TDS'!$A$5:$P$120,3,FALSE)+VLOOKUP(Data[[#This Row],[TDS]],'[7]Static Ext by TDS'!$A$5:$P$120,6,FALSE),0)</f>
        <v>0</v>
      </c>
      <c r="AE38" s="20">
        <f>IFERROR(VLOOKUP(Data[[#This Row],[TDS]],'[7]Static Int by TDS'!$A$6:$O$305,3,FALSE)+VLOOKUP(Data[[#This Row],[TDS]],'[7]Static Int by TDS'!$A$6:$O$305,6,FALSE),0)</f>
        <v>7</v>
      </c>
      <c r="AF38" s="20" t="str">
        <f>VLOOKUP(Data[[#This Row],[DEVELOPMENT]],[8]Developments!$A$2:$A$312,1,FALSE)</f>
        <v>BORINQUEN PLAZA II</v>
      </c>
    </row>
    <row r="39" spans="1:32" x14ac:dyDescent="0.25">
      <c r="A39" t="s">
        <v>183</v>
      </c>
      <c r="B39" s="20" t="str">
        <f>VLOOKUP(Data[[#This Row],[DEVELOPMENT]],'[2]NYCHA_Development_Data_Book 201'!$B$2:$AY$324,40,FALSE)</f>
        <v>BRONX</v>
      </c>
      <c r="C39" s="20" t="str">
        <f>VLOOKUP(Data[[#This Row],[DEVELOPMENT]],'[3]Cheat-Sheet'!$D$2:$Q$341,2,FALSE)</f>
        <v>PELHAM PARKWAY</v>
      </c>
      <c r="D39" s="20">
        <f>IF(VLOOKUP(Data[[#This Row],[DEVELOPMENT]],'[4]IC Categories'!$A$2:$G$325,3,FALSE)=0,"",VLOOKUP(Data[[#This Row],[DEVELOPMENT]],'[4]IC Categories'!$A$2:$G$325,3,FALSE))</f>
        <v>2022</v>
      </c>
      <c r="E39" s="20">
        <f>VLOOKUP(Data[[#This Row],[DEVELOPMENT]],'[2]NYCHA_Development_Data_Book 201'!$B$2:$AY$324,21,FALSE)</f>
        <v>1</v>
      </c>
      <c r="F39" s="20">
        <f>VLOOKUP(Data[[#This Row],[DEVELOPMENT]],'[2]NYCHA_Development_Data_Book 201'!$B$2:$AY$324,23,FALSE)</f>
        <v>2</v>
      </c>
      <c r="G39" s="20">
        <f>VLOOKUP(Data[[#This Row],[DEVELOPMENT]],'[2]NYCHA_Development_Data_Book 201'!$B$2:$AY$324,12,FALSE)</f>
        <v>232</v>
      </c>
      <c r="J39">
        <f>IFERROR(VLOOKUP(Data[[#This Row],[DEVELOPMENT]],[5]!Table1[[DEVELOPMENTS]:[Installation Date of Exterior Compactor]],4,FALSE),0)</f>
        <v>0</v>
      </c>
      <c r="K39" s="20">
        <f>IFERROR(VLOOKUP(Data[[#This Row],[DEVELOPMENT]],[5]!Table1[[DEVELOPMENTS]:[Installation Date of Exterior Compactor]],7,FALSE),0)</f>
        <v>0</v>
      </c>
      <c r="L39" s="42" t="str">
        <f>IF(Data[[#This Row],['# Interior Compactors]]=0,"",VLOOKUP(Data[[#This Row],[DEVELOPMENT]],[5]!Table1[[DEVELOPMENTS]:[Installation Date of Exterior Compactor]],5,FALSE))</f>
        <v/>
      </c>
      <c r="M39" s="43" t="str">
        <f>IF(Data[[#This Row],['# Exterior Compactors]]=0,"",VLOOKUP(Data[[#This Row],[DEVELOPMENT]],[5]!Table1[[DEVELOPMENTS]:[Installation Date of Exterior Compactor]],8,FALSE))</f>
        <v/>
      </c>
      <c r="N39" s="20">
        <f>Data[[#This Row],['# Interior Compactors]]</f>
        <v>0</v>
      </c>
      <c r="O39" s="20">
        <f>1</f>
        <v>1</v>
      </c>
      <c r="P39" s="20">
        <f>1</f>
        <v>1</v>
      </c>
      <c r="Q39" s="20">
        <f>1</f>
        <v>1</v>
      </c>
      <c r="R39" s="20">
        <f>1</f>
        <v>1</v>
      </c>
      <c r="S39" s="20">
        <f>1</f>
        <v>1</v>
      </c>
      <c r="T39" s="20">
        <f>Data[[#This Row],[DUs]]</f>
        <v>232</v>
      </c>
      <c r="U3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9" s="101">
        <f>VLOOKUP(Data[[#This Row],[DEVELOPMENT]],'[2]NYCHA_Development_Data_Book 201'!$B$2:$E$324,3,FALSE)</f>
        <v>189</v>
      </c>
      <c r="Y39" s="20"/>
      <c r="Z39" s="20">
        <f>IFERROR(VLOOKUP(Data[[#This Row],[TDS]],'[7]Static Ext by TDS'!$A$5:$E$120,2,FALSE),0)</f>
        <v>0</v>
      </c>
      <c r="AA39" s="20">
        <f>IFERROR(VLOOKUP(Data[[#This Row],[TDS]],'[7]Static Int by TDS'!$A$6:$O$305,2,FALSE),0)</f>
        <v>1</v>
      </c>
      <c r="AB39" s="20"/>
      <c r="AC39" s="20"/>
      <c r="AD39" s="20">
        <f>IFERROR(VLOOKUP(Data[[#This Row],[TDS]],'[7]Static Ext by TDS'!$A$5:$P$120,3,FALSE)+VLOOKUP(Data[[#This Row],[TDS]],'[7]Static Ext by TDS'!$A$5:$P$120,6,FALSE),0)</f>
        <v>0</v>
      </c>
      <c r="AE39" s="20">
        <f>IFERROR(VLOOKUP(Data[[#This Row],[TDS]],'[7]Static Int by TDS'!$A$6:$O$305,3,FALSE)+VLOOKUP(Data[[#This Row],[TDS]],'[7]Static Int by TDS'!$A$6:$O$305,6,FALSE),0)</f>
        <v>1</v>
      </c>
      <c r="AF39" s="20" t="str">
        <f>VLOOKUP(Data[[#This Row],[DEVELOPMENT]],[8]Developments!$A$2:$A$312,1,FALSE)</f>
        <v>BOSTON ROAD PLAZA</v>
      </c>
    </row>
    <row r="40" spans="1:32" x14ac:dyDescent="0.25">
      <c r="A40" t="s">
        <v>184</v>
      </c>
      <c r="B40" s="20" t="str">
        <f>VLOOKUP(Data[[#This Row],[DEVELOPMENT]],'[2]NYCHA_Development_Data_Book 201'!$B$2:$AY$324,40,FALSE)</f>
        <v>BRONX</v>
      </c>
      <c r="C40" s="20" t="str">
        <f>VLOOKUP(Data[[#This Row],[DEVELOPMENT]],'[3]Cheat-Sheet'!$D$2:$Q$341,2,FALSE)</f>
        <v>BOSTON SECOR</v>
      </c>
      <c r="D40" s="20" t="str">
        <f>IF(VLOOKUP(Data[[#This Row],[DEVELOPMENT]],'[4]IC Categories'!$A$2:$G$325,3,FALSE)=0,"",VLOOKUP(Data[[#This Row],[DEVELOPMENT]],'[4]IC Categories'!$A$2:$G$325,3,FALSE))</f>
        <v/>
      </c>
      <c r="E40" s="20">
        <f>VLOOKUP(Data[[#This Row],[DEVELOPMENT]],'[2]NYCHA_Development_Data_Book 201'!$B$2:$AY$324,21,FALSE)</f>
        <v>4</v>
      </c>
      <c r="F40" s="20">
        <f>VLOOKUP(Data[[#This Row],[DEVELOPMENT]],'[2]NYCHA_Development_Data_Book 201'!$B$2:$AY$324,23,FALSE)</f>
        <v>5</v>
      </c>
      <c r="G40" s="20">
        <f>VLOOKUP(Data[[#This Row],[DEVELOPMENT]],'[2]NYCHA_Development_Data_Book 201'!$B$2:$AY$324,12,FALSE)</f>
        <v>538</v>
      </c>
      <c r="J40">
        <f>IFERROR(VLOOKUP(Data[[#This Row],[DEVELOPMENT]],[5]!Table1[[DEVELOPMENTS]:[Installation Date of Exterior Compactor]],4,FALSE),0)</f>
        <v>0</v>
      </c>
      <c r="K40" s="20">
        <f>IFERROR(VLOOKUP(Data[[#This Row],[DEVELOPMENT]],[5]!Table1[[DEVELOPMENTS]:[Installation Date of Exterior Compactor]],7,FALSE),0)</f>
        <v>0</v>
      </c>
      <c r="L40" s="42" t="str">
        <f>IF(Data[[#This Row],['# Interior Compactors]]=0,"",VLOOKUP(Data[[#This Row],[DEVELOPMENT]],[5]!Table1[[DEVELOPMENTS]:[Installation Date of Exterior Compactor]],5,FALSE))</f>
        <v/>
      </c>
      <c r="M40" s="43" t="str">
        <f>IF(Data[[#This Row],['# Exterior Compactors]]=0,"",VLOOKUP(Data[[#This Row],[DEVELOPMENT]],[5]!Table1[[DEVELOPMENTS]:[Installation Date of Exterior Compactor]],8,FALSE))</f>
        <v/>
      </c>
      <c r="N40" s="20">
        <f>Data[[#This Row],['# Interior Compactors]]</f>
        <v>0</v>
      </c>
      <c r="O40" s="20">
        <f>1</f>
        <v>1</v>
      </c>
      <c r="P40" s="20">
        <f>1</f>
        <v>1</v>
      </c>
      <c r="Q40" s="20">
        <f>1</f>
        <v>1</v>
      </c>
      <c r="R40" s="20">
        <f>1</f>
        <v>1</v>
      </c>
      <c r="S40" s="20">
        <f>1</f>
        <v>1</v>
      </c>
      <c r="T40" s="20">
        <f>Data[[#This Row],[DUs]]</f>
        <v>538</v>
      </c>
      <c r="U4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0" s="101">
        <f>VLOOKUP(Data[[#This Row],[DEVELOPMENT]],'[2]NYCHA_Development_Data_Book 201'!$B$2:$E$324,3,FALSE)</f>
        <v>138</v>
      </c>
      <c r="Y40" s="20"/>
      <c r="Z40" s="20">
        <f>IFERROR(VLOOKUP(Data[[#This Row],[TDS]],'[7]Static Ext by TDS'!$A$5:$E$120,2,FALSE),0)</f>
        <v>2</v>
      </c>
      <c r="AA40" s="20">
        <f>IFERROR(VLOOKUP(Data[[#This Row],[TDS]],'[7]Static Int by TDS'!$A$6:$O$305,2,FALSE),0)</f>
        <v>4</v>
      </c>
      <c r="AB40" s="20"/>
      <c r="AC40" s="20"/>
      <c r="AD40" s="20">
        <f>IFERROR(VLOOKUP(Data[[#This Row],[TDS]],'[7]Static Ext by TDS'!$A$5:$P$120,3,FALSE)+VLOOKUP(Data[[#This Row],[TDS]],'[7]Static Ext by TDS'!$A$5:$P$120,6,FALSE),0)</f>
        <v>2</v>
      </c>
      <c r="AE40" s="20">
        <f>IFERROR(VLOOKUP(Data[[#This Row],[TDS]],'[7]Static Int by TDS'!$A$6:$O$305,3,FALSE)+VLOOKUP(Data[[#This Row],[TDS]],'[7]Static Int by TDS'!$A$6:$O$305,6,FALSE),0)</f>
        <v>4</v>
      </c>
      <c r="AF40" s="20" t="str">
        <f>VLOOKUP(Data[[#This Row],[DEVELOPMENT]],[8]Developments!$A$2:$A$312,1,FALSE)</f>
        <v>BOSTON SECOR</v>
      </c>
    </row>
    <row r="41" spans="1:32" x14ac:dyDescent="0.25">
      <c r="A41" t="s">
        <v>185</v>
      </c>
      <c r="B41" s="20" t="str">
        <f>VLOOKUP(Data[[#This Row],[DEVELOPMENT]],'[2]NYCHA_Development_Data_Book 201'!$B$2:$AY$324,40,FALSE)</f>
        <v>BROOKLYN</v>
      </c>
      <c r="C41" s="20" t="str">
        <f>VLOOKUP(Data[[#This Row],[DEVELOPMENT]],'[3]Cheat-Sheet'!$D$2:$Q$341,2,FALSE)</f>
        <v>BOULEVARD</v>
      </c>
      <c r="D41" s="20">
        <f>IF(VLOOKUP(Data[[#This Row],[DEVELOPMENT]],'[4]IC Categories'!$A$2:$G$325,3,FALSE)=0,"",VLOOKUP(Data[[#This Row],[DEVELOPMENT]],'[4]IC Categories'!$A$2:$G$325,3,FALSE))</f>
        <v>2020</v>
      </c>
      <c r="E41" s="20">
        <f>VLOOKUP(Data[[#This Row],[DEVELOPMENT]],'[2]NYCHA_Development_Data_Book 201'!$B$2:$AY$324,21,FALSE)</f>
        <v>18</v>
      </c>
      <c r="F41" s="20">
        <f>VLOOKUP(Data[[#This Row],[DEVELOPMENT]],'[2]NYCHA_Development_Data_Book 201'!$B$2:$AY$324,23,FALSE)</f>
        <v>30</v>
      </c>
      <c r="G41" s="20">
        <f>VLOOKUP(Data[[#This Row],[DEVELOPMENT]],'[2]NYCHA_Development_Data_Book 201'!$B$2:$AY$324,12,FALSE)</f>
        <v>1424</v>
      </c>
      <c r="J41">
        <f>IFERROR(VLOOKUP(Data[[#This Row],[DEVELOPMENT]],[5]!Table1[[DEVELOPMENTS]:[Installation Date of Exterior Compactor]],4,FALSE),0)</f>
        <v>0</v>
      </c>
      <c r="K41" s="20">
        <f>IFERROR(VLOOKUP(Data[[#This Row],[DEVELOPMENT]],[5]!Table1[[DEVELOPMENTS]:[Installation Date of Exterior Compactor]],7,FALSE),0)</f>
        <v>0</v>
      </c>
      <c r="L41" s="42" t="str">
        <f>IF(Data[[#This Row],['# Interior Compactors]]=0,"",VLOOKUP(Data[[#This Row],[DEVELOPMENT]],[5]!Table1[[DEVELOPMENTS]:[Installation Date of Exterior Compactor]],5,FALSE))</f>
        <v/>
      </c>
      <c r="M41" s="43" t="str">
        <f>IF(Data[[#This Row],['# Exterior Compactors]]=0,"",VLOOKUP(Data[[#This Row],[DEVELOPMENT]],[5]!Table1[[DEVELOPMENTS]:[Installation Date of Exterior Compactor]],8,FALSE))</f>
        <v/>
      </c>
      <c r="N41" s="20">
        <f>Data[[#This Row],['# Interior Compactors]]</f>
        <v>0</v>
      </c>
      <c r="O41" s="20">
        <f>1</f>
        <v>1</v>
      </c>
      <c r="P41" s="20">
        <f>1</f>
        <v>1</v>
      </c>
      <c r="Q41" s="20">
        <f>1</f>
        <v>1</v>
      </c>
      <c r="R41" s="20">
        <f>1</f>
        <v>1</v>
      </c>
      <c r="S41" s="20">
        <f>1</f>
        <v>1</v>
      </c>
      <c r="T41" s="20">
        <f>Data[[#This Row],[DUs]]</f>
        <v>1424</v>
      </c>
      <c r="U4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1" s="101">
        <f>VLOOKUP(Data[[#This Row],[DEVELOPMENT]],'[2]NYCHA_Development_Data_Book 201'!$B$2:$E$324,3,FALSE)</f>
        <v>46</v>
      </c>
      <c r="Y41" s="20"/>
      <c r="Z41" s="20">
        <f>IFERROR(VLOOKUP(Data[[#This Row],[TDS]],'[7]Static Ext by TDS'!$A$5:$E$120,2,FALSE),0)</f>
        <v>0</v>
      </c>
      <c r="AA41" s="20">
        <f>IFERROR(VLOOKUP(Data[[#This Row],[TDS]],'[7]Static Int by TDS'!$A$6:$O$305,2,FALSE),0)</f>
        <v>29</v>
      </c>
      <c r="AB41" s="20"/>
      <c r="AC41" s="20"/>
      <c r="AD41" s="20">
        <f>IFERROR(VLOOKUP(Data[[#This Row],[TDS]],'[7]Static Ext by TDS'!$A$5:$P$120,3,FALSE)+VLOOKUP(Data[[#This Row],[TDS]],'[7]Static Ext by TDS'!$A$5:$P$120,6,FALSE),0)</f>
        <v>0</v>
      </c>
      <c r="AE41" s="20">
        <f>IFERROR(VLOOKUP(Data[[#This Row],[TDS]],'[7]Static Int by TDS'!$A$6:$O$305,3,FALSE)+VLOOKUP(Data[[#This Row],[TDS]],'[7]Static Int by TDS'!$A$6:$O$305,6,FALSE),0)</f>
        <v>29</v>
      </c>
      <c r="AF41" s="20" t="str">
        <f>VLOOKUP(Data[[#This Row],[DEVELOPMENT]],[8]Developments!$A$2:$A$312,1,FALSE)</f>
        <v>BOULEVARD</v>
      </c>
    </row>
    <row r="42" spans="1:32" x14ac:dyDescent="0.25">
      <c r="A42" t="s">
        <v>186</v>
      </c>
      <c r="B42" s="20" t="str">
        <f>VLOOKUP(Data[[#This Row],[DEVELOPMENT]],'[2]NYCHA_Development_Data_Book 201'!$B$2:$AY$324,40,FALSE)</f>
        <v>BRONX</v>
      </c>
      <c r="C42" s="20" t="str">
        <f>VLOOKUP(Data[[#This Row],[DEVELOPMENT]],'[3]Cheat-Sheet'!$D$2:$Q$341,2,FALSE)</f>
        <v>BRONX RIVER</v>
      </c>
      <c r="D42" s="20" t="str">
        <f>IF(VLOOKUP(Data[[#This Row],[DEVELOPMENT]],'[4]IC Categories'!$A$2:$G$325,3,FALSE)=0,"",VLOOKUP(Data[[#This Row],[DEVELOPMENT]],'[4]IC Categories'!$A$2:$G$325,3,FALSE))</f>
        <v/>
      </c>
      <c r="E42" s="20">
        <f>VLOOKUP(Data[[#This Row],[DEVELOPMENT]],'[2]NYCHA_Development_Data_Book 201'!$B$2:$AY$324,21,FALSE)</f>
        <v>3</v>
      </c>
      <c r="F42" s="20">
        <f>VLOOKUP(Data[[#This Row],[DEVELOPMENT]],'[2]NYCHA_Development_Data_Book 201'!$B$2:$AY$324,23,FALSE)</f>
        <v>3</v>
      </c>
      <c r="G42" s="20">
        <f>VLOOKUP(Data[[#This Row],[DEVELOPMENT]],'[2]NYCHA_Development_Data_Book 201'!$B$2:$AY$324,12,FALSE)</f>
        <v>82</v>
      </c>
      <c r="J42">
        <f>IFERROR(VLOOKUP(Data[[#This Row],[DEVELOPMENT]],[5]!Table1[[DEVELOPMENTS]:[Installation Date of Exterior Compactor]],4,FALSE),0)</f>
        <v>0</v>
      </c>
      <c r="K42" s="20">
        <f>IFERROR(VLOOKUP(Data[[#This Row],[DEVELOPMENT]],[5]!Table1[[DEVELOPMENTS]:[Installation Date of Exterior Compactor]],7,FALSE),0)</f>
        <v>0</v>
      </c>
      <c r="L42" s="42" t="str">
        <f>IF(Data[[#This Row],['# Interior Compactors]]=0,"",VLOOKUP(Data[[#This Row],[DEVELOPMENT]],[5]!Table1[[DEVELOPMENTS]:[Installation Date of Exterior Compactor]],5,FALSE))</f>
        <v/>
      </c>
      <c r="M42" s="43" t="str">
        <f>IF(Data[[#This Row],['# Exterior Compactors]]=0,"",VLOOKUP(Data[[#This Row],[DEVELOPMENT]],[5]!Table1[[DEVELOPMENTS]:[Installation Date of Exterior Compactor]],8,FALSE))</f>
        <v/>
      </c>
      <c r="N42" s="20">
        <f>Data[[#This Row],['# Interior Compactors]]</f>
        <v>0</v>
      </c>
      <c r="O42" s="20">
        <f>1</f>
        <v>1</v>
      </c>
      <c r="P42" s="20">
        <f>1</f>
        <v>1</v>
      </c>
      <c r="Q42" s="20">
        <f>1</f>
        <v>1</v>
      </c>
      <c r="R42" s="20">
        <f>1</f>
        <v>1</v>
      </c>
      <c r="S42" s="20">
        <f>1</f>
        <v>1</v>
      </c>
      <c r="T42" s="20">
        <f>Data[[#This Row],[DUs]]</f>
        <v>82</v>
      </c>
      <c r="U4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2" s="101">
        <f>VLOOKUP(Data[[#This Row],[DEVELOPMENT]],'[2]NYCHA_Development_Data_Book 201'!$B$2:$E$324,3,FALSE)</f>
        <v>346</v>
      </c>
      <c r="Y42" s="20"/>
      <c r="Z42" s="20">
        <f>IFERROR(VLOOKUP(Data[[#This Row],[TDS]],'[7]Static Ext by TDS'!$A$5:$E$120,2,FALSE),0)</f>
        <v>0</v>
      </c>
      <c r="AA42" s="20">
        <f>IFERROR(VLOOKUP(Data[[#This Row],[TDS]],'[7]Static Int by TDS'!$A$6:$O$305,2,FALSE),0)</f>
        <v>3</v>
      </c>
      <c r="AB42" s="20"/>
      <c r="AC42" s="20"/>
      <c r="AD42" s="20">
        <f>IFERROR(VLOOKUP(Data[[#This Row],[TDS]],'[7]Static Ext by TDS'!$A$5:$P$120,3,FALSE)+VLOOKUP(Data[[#This Row],[TDS]],'[7]Static Ext by TDS'!$A$5:$P$120,6,FALSE),0)</f>
        <v>0</v>
      </c>
      <c r="AE42" s="20">
        <f>IFERROR(VLOOKUP(Data[[#This Row],[TDS]],'[7]Static Int by TDS'!$A$6:$O$305,3,FALSE)+VLOOKUP(Data[[#This Row],[TDS]],'[7]Static Int by TDS'!$A$6:$O$305,6,FALSE),0)</f>
        <v>3</v>
      </c>
      <c r="AF42" s="20" t="str">
        <f>VLOOKUP(Data[[#This Row],[DEVELOPMENT]],[8]Developments!$A$2:$A$312,1,FALSE)</f>
        <v>BOYNTON AVENUE REHAB</v>
      </c>
    </row>
    <row r="43" spans="1:32" x14ac:dyDescent="0.25">
      <c r="A43" s="17" t="s">
        <v>59</v>
      </c>
      <c r="B43" s="17" t="str">
        <f>VLOOKUP(Data[[#This Row],[DEVELOPMENT]],'[2]NYCHA_Development_Data_Book 201'!$B$2:$AY$324,40,FALSE)</f>
        <v>MANHATTAN</v>
      </c>
      <c r="C43" t="str">
        <f>VLOOKUP(Data[[#This Row],[DEVELOPMENT]],'[3]Cheat-Sheet'!$D$2:$Q$341,2,FALSE)</f>
        <v>LOWER EAST SIDE CONSOLIDATED</v>
      </c>
      <c r="D43">
        <f>IF(VLOOKUP(Data[[#This Row],[DEVELOPMENT]],'[4]IC Categories'!$A$2:$G$325,3,FALSE)=0,"",VLOOKUP(Data[[#This Row],[DEVELOPMENT]],'[4]IC Categories'!$A$2:$G$325,3,FALSE))</f>
        <v>2026</v>
      </c>
      <c r="E43">
        <f>VLOOKUP(Data[[#This Row],[DEVELOPMENT]],'[2]NYCHA_Development_Data_Book 201'!$B$2:$AY$324,21,FALSE)</f>
        <v>1</v>
      </c>
      <c r="F43">
        <f>VLOOKUP(Data[[#This Row],[DEVELOPMENT]],'[2]NYCHA_Development_Data_Book 201'!$B$2:$AY$324,23,FALSE)</f>
        <v>2</v>
      </c>
      <c r="G43">
        <f>VLOOKUP(Data[[#This Row],[DEVELOPMENT]],'[2]NYCHA_Development_Data_Book 201'!$B$2:$AY$324,12,FALSE)</f>
        <v>108</v>
      </c>
      <c r="H43" t="s">
        <v>472</v>
      </c>
      <c r="I43" t="s">
        <v>471</v>
      </c>
      <c r="J43">
        <f>IFERROR(VLOOKUP(Data[[#This Row],[DEVELOPMENT]],[5]!Table1[[DEVELOPMENTS]:[Installation Date of Exterior Compactor]],4,FALSE),0)</f>
        <v>0</v>
      </c>
      <c r="K43" s="20">
        <f>IFERROR(VLOOKUP(Data[[#This Row],[DEVELOPMENT]],[5]!Table1[[DEVELOPMENTS]:[Installation Date of Exterior Compactor]],7,FALSE),0)</f>
        <v>0</v>
      </c>
      <c r="L43" s="42" t="str">
        <f>IF(Data[[#This Row],['# Interior Compactors]]=0,"",VLOOKUP(Data[[#This Row],[DEVELOPMENT]],[5]!Table1[[DEVELOPMENTS]:[Installation Date of Exterior Compactor]],5,FALSE))</f>
        <v/>
      </c>
      <c r="M43" s="43" t="str">
        <f>IF(Data[[#This Row],['# Exterior Compactors]]=0,"",VLOOKUP(Data[[#This Row],[DEVELOPMENT]],[5]!Table1[[DEVELOPMENTS]:[Installation Date of Exterior Compactor]],8,FALSE))</f>
        <v/>
      </c>
      <c r="N43">
        <f>Data[[#This Row],['# Interior Compactors]]</f>
        <v>0</v>
      </c>
      <c r="O43" s="20">
        <f>1</f>
        <v>1</v>
      </c>
      <c r="P43" s="20">
        <f>1</f>
        <v>1</v>
      </c>
      <c r="Q43" s="20">
        <f>1</f>
        <v>1</v>
      </c>
      <c r="R43" s="20">
        <f>1</f>
        <v>1</v>
      </c>
      <c r="S43" s="20">
        <f>1</f>
        <v>1</v>
      </c>
      <c r="T43" s="20">
        <f>Data[[#This Row],[DUs]]</f>
        <v>108</v>
      </c>
      <c r="U4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3" s="101">
        <f>VLOOKUP(Data[[#This Row],[DEVELOPMENT]],'[2]NYCHA_Development_Data_Book 201'!$B$2:$E$324,3,FALSE)</f>
        <v>264</v>
      </c>
      <c r="Y43" s="20" t="s">
        <v>473</v>
      </c>
      <c r="Z43" s="20">
        <f>IFERROR(VLOOKUP(Data[[#This Row],[TDS]],'[7]Static Ext by TDS'!$A$5:$E$120,2,FALSE),0)</f>
        <v>0</v>
      </c>
      <c r="AA43" s="20">
        <f>IFERROR(VLOOKUP(Data[[#This Row],[TDS]],'[7]Static Int by TDS'!$A$6:$O$305,2,FALSE),0)</f>
        <v>2</v>
      </c>
      <c r="AB43" s="20"/>
      <c r="AC43" s="20"/>
      <c r="AD43" s="20">
        <f>IFERROR(VLOOKUP(Data[[#This Row],[TDS]],'[7]Static Ext by TDS'!$A$5:$P$120,3,FALSE)+VLOOKUP(Data[[#This Row],[TDS]],'[7]Static Ext by TDS'!$A$5:$P$120,6,FALSE),0)</f>
        <v>0</v>
      </c>
      <c r="AE43" s="20">
        <f>IFERROR(VLOOKUP(Data[[#This Row],[TDS]],'[7]Static Int by TDS'!$A$6:$O$305,3,FALSE)+VLOOKUP(Data[[#This Row],[TDS]],'[7]Static Int by TDS'!$A$6:$O$305,6,FALSE),0)</f>
        <v>2</v>
      </c>
      <c r="AF43" s="20" t="str">
        <f>VLOOKUP(Data[[#This Row],[DEVELOPMENT]],[8]Developments!$A$2:$A$312,1,FALSE)</f>
        <v>BRACETTI PLAZA</v>
      </c>
    </row>
    <row r="44" spans="1:32" x14ac:dyDescent="0.25">
      <c r="A44" t="s">
        <v>187</v>
      </c>
      <c r="B44" s="20" t="str">
        <f>VLOOKUP(Data[[#This Row],[DEVELOPMENT]],'[2]NYCHA_Development_Data_Book 201'!$B$2:$AY$324,40,FALSE)</f>
        <v>BROOKLYN</v>
      </c>
      <c r="C44" s="20" t="str">
        <f>VLOOKUP(Data[[#This Row],[DEVELOPMENT]],'[3]Cheat-Sheet'!$D$2:$Q$341,2,FALSE)</f>
        <v>BREUKELEN</v>
      </c>
      <c r="D44" s="20">
        <f>IF(VLOOKUP(Data[[#This Row],[DEVELOPMENT]],'[4]IC Categories'!$A$2:$G$325,3,FALSE)=0,"",VLOOKUP(Data[[#This Row],[DEVELOPMENT]],'[4]IC Categories'!$A$2:$G$325,3,FALSE))</f>
        <v>2021</v>
      </c>
      <c r="E44" s="20">
        <f>VLOOKUP(Data[[#This Row],[DEVELOPMENT]],'[2]NYCHA_Development_Data_Book 201'!$B$2:$AY$324,21,FALSE)</f>
        <v>30</v>
      </c>
      <c r="F44" s="20">
        <f>VLOOKUP(Data[[#This Row],[DEVELOPMENT]],'[2]NYCHA_Development_Data_Book 201'!$B$2:$AY$324,23,FALSE)</f>
        <v>97</v>
      </c>
      <c r="G44" s="20">
        <f>VLOOKUP(Data[[#This Row],[DEVELOPMENT]],'[2]NYCHA_Development_Data_Book 201'!$B$2:$AY$324,12,FALSE)</f>
        <v>1592</v>
      </c>
      <c r="J44">
        <f>IFERROR(VLOOKUP(Data[[#This Row],[DEVELOPMENT]],[5]!Table1[[DEVELOPMENTS]:[Installation Date of Exterior Compactor]],4,FALSE),0)</f>
        <v>0</v>
      </c>
      <c r="K44" s="20">
        <f>IFERROR(VLOOKUP(Data[[#This Row],[DEVELOPMENT]],[5]!Table1[[DEVELOPMENTS]:[Installation Date of Exterior Compactor]],7,FALSE),0)</f>
        <v>0</v>
      </c>
      <c r="L44" s="42" t="str">
        <f>IF(Data[[#This Row],['# Interior Compactors]]=0,"",VLOOKUP(Data[[#This Row],[DEVELOPMENT]],[5]!Table1[[DEVELOPMENTS]:[Installation Date of Exterior Compactor]],5,FALSE))</f>
        <v/>
      </c>
      <c r="M44" s="43" t="str">
        <f>IF(Data[[#This Row],['# Exterior Compactors]]=0,"",VLOOKUP(Data[[#This Row],[DEVELOPMENT]],[5]!Table1[[DEVELOPMENTS]:[Installation Date of Exterior Compactor]],8,FALSE))</f>
        <v/>
      </c>
      <c r="N44" s="20">
        <f>Data[[#This Row],['# Interior Compactors]]</f>
        <v>0</v>
      </c>
      <c r="O44" s="20">
        <f>1</f>
        <v>1</v>
      </c>
      <c r="P44" s="20">
        <f>1</f>
        <v>1</v>
      </c>
      <c r="Q44" s="20">
        <f>1</f>
        <v>1</v>
      </c>
      <c r="R44" s="20">
        <f>1</f>
        <v>1</v>
      </c>
      <c r="S44" s="20">
        <f>1</f>
        <v>1</v>
      </c>
      <c r="T44" s="20">
        <f>Data[[#This Row],[DUs]]</f>
        <v>1592</v>
      </c>
      <c r="U4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4" s="101">
        <f>VLOOKUP(Data[[#This Row],[DEVELOPMENT]],'[2]NYCHA_Development_Data_Book 201'!$B$2:$E$324,3,FALSE)</f>
        <v>56</v>
      </c>
      <c r="Y44" s="20"/>
      <c r="Z44" s="20">
        <f>IFERROR(VLOOKUP(Data[[#This Row],[TDS]],'[7]Static Ext by TDS'!$A$5:$E$120,2,FALSE),0)</f>
        <v>4</v>
      </c>
      <c r="AA44" s="20">
        <f>IFERROR(VLOOKUP(Data[[#This Row],[TDS]],'[7]Static Int by TDS'!$A$6:$O$305,2,FALSE),0)</f>
        <v>89</v>
      </c>
      <c r="AB44" s="20"/>
      <c r="AC44" s="20"/>
      <c r="AD44" s="20">
        <f>IFERROR(VLOOKUP(Data[[#This Row],[TDS]],'[7]Static Ext by TDS'!$A$5:$P$120,3,FALSE)+VLOOKUP(Data[[#This Row],[TDS]],'[7]Static Ext by TDS'!$A$5:$P$120,6,FALSE),0)</f>
        <v>4</v>
      </c>
      <c r="AE44" s="20">
        <f>IFERROR(VLOOKUP(Data[[#This Row],[TDS]],'[7]Static Int by TDS'!$A$6:$O$305,3,FALSE)+VLOOKUP(Data[[#This Row],[TDS]],'[7]Static Int by TDS'!$A$6:$O$305,6,FALSE),0)</f>
        <v>89</v>
      </c>
      <c r="AF44" s="20" t="str">
        <f>VLOOKUP(Data[[#This Row],[DEVELOPMENT]],[8]Developments!$A$2:$A$312,1,FALSE)</f>
        <v>BREUKELEN</v>
      </c>
    </row>
    <row r="45" spans="1:32" x14ac:dyDescent="0.25">
      <c r="A45" t="s">
        <v>188</v>
      </c>
      <c r="B45" s="20" t="str">
        <f>VLOOKUP(Data[[#This Row],[DEVELOPMENT]],'[2]NYCHA_Development_Data_Book 201'!$B$2:$AY$324,40,FALSE)</f>
        <v>BROOKLYN</v>
      </c>
      <c r="C45" s="20" t="str">
        <f>VLOOKUP(Data[[#This Row],[DEVELOPMENT]],'[3]Cheat-Sheet'!$D$2:$Q$341,2,FALSE)</f>
        <v>BREVOORT</v>
      </c>
      <c r="D45" s="20" t="str">
        <f>IF(VLOOKUP(Data[[#This Row],[DEVELOPMENT]],'[4]IC Categories'!$A$2:$G$325,3,FALSE)=0,"",VLOOKUP(Data[[#This Row],[DEVELOPMENT]],'[4]IC Categories'!$A$2:$G$325,3,FALSE))</f>
        <v/>
      </c>
      <c r="E45" s="20">
        <f>VLOOKUP(Data[[#This Row],[DEVELOPMENT]],'[2]NYCHA_Development_Data_Book 201'!$B$2:$AY$324,21,FALSE)</f>
        <v>13</v>
      </c>
      <c r="F45" s="20">
        <f>VLOOKUP(Data[[#This Row],[DEVELOPMENT]],'[2]NYCHA_Development_Data_Book 201'!$B$2:$AY$324,23,FALSE)</f>
        <v>27</v>
      </c>
      <c r="G45" s="20">
        <f>VLOOKUP(Data[[#This Row],[DEVELOPMENT]],'[2]NYCHA_Development_Data_Book 201'!$B$2:$AY$324,12,FALSE)</f>
        <v>894</v>
      </c>
      <c r="J45">
        <f>IFERROR(VLOOKUP(Data[[#This Row],[DEVELOPMENT]],[5]!Table1[[DEVELOPMENTS]:[Installation Date of Exterior Compactor]],4,FALSE),0)</f>
        <v>0</v>
      </c>
      <c r="K45" s="20">
        <f>IFERROR(VLOOKUP(Data[[#This Row],[DEVELOPMENT]],[5]!Table1[[DEVELOPMENTS]:[Installation Date of Exterior Compactor]],7,FALSE),0)</f>
        <v>0</v>
      </c>
      <c r="L45" s="42" t="str">
        <f>IF(Data[[#This Row],['# Interior Compactors]]=0,"",VLOOKUP(Data[[#This Row],[DEVELOPMENT]],[5]!Table1[[DEVELOPMENTS]:[Installation Date of Exterior Compactor]],5,FALSE))</f>
        <v/>
      </c>
      <c r="M45" s="43" t="str">
        <f>IF(Data[[#This Row],['# Exterior Compactors]]=0,"",VLOOKUP(Data[[#This Row],[DEVELOPMENT]],[5]!Table1[[DEVELOPMENTS]:[Installation Date of Exterior Compactor]],8,FALSE))</f>
        <v/>
      </c>
      <c r="N45" s="20">
        <f>Data[[#This Row],['# Interior Compactors]]</f>
        <v>0</v>
      </c>
      <c r="O45" s="20">
        <f>1</f>
        <v>1</v>
      </c>
      <c r="P45" s="20">
        <f>1</f>
        <v>1</v>
      </c>
      <c r="Q45" s="20">
        <f>1</f>
        <v>1</v>
      </c>
      <c r="R45" s="20">
        <f>1</f>
        <v>1</v>
      </c>
      <c r="S45" s="20">
        <f>1</f>
        <v>1</v>
      </c>
      <c r="T45" s="20">
        <f>Data[[#This Row],[DUs]]</f>
        <v>894</v>
      </c>
      <c r="U4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5" s="101">
        <f>VLOOKUP(Data[[#This Row],[DEVELOPMENT]],'[2]NYCHA_Development_Data_Book 201'!$B$2:$E$324,3,FALSE)</f>
        <v>65</v>
      </c>
      <c r="Y45" s="20" t="s">
        <v>473</v>
      </c>
      <c r="Z45" s="20">
        <f>IFERROR(VLOOKUP(Data[[#This Row],[TDS]],'[7]Static Ext by TDS'!$A$5:$E$120,2,FALSE),0)</f>
        <v>2</v>
      </c>
      <c r="AA45" s="20">
        <f>IFERROR(VLOOKUP(Data[[#This Row],[TDS]],'[7]Static Int by TDS'!$A$6:$O$305,2,FALSE),0)</f>
        <v>26</v>
      </c>
      <c r="AB45" s="20"/>
      <c r="AC45" s="20"/>
      <c r="AD45" s="20">
        <f>IFERROR(VLOOKUP(Data[[#This Row],[TDS]],'[7]Static Ext by TDS'!$A$5:$P$120,3,FALSE)+VLOOKUP(Data[[#This Row],[TDS]],'[7]Static Ext by TDS'!$A$5:$P$120,6,FALSE),0)</f>
        <v>2</v>
      </c>
      <c r="AE45" s="20">
        <f>IFERROR(VLOOKUP(Data[[#This Row],[TDS]],'[7]Static Int by TDS'!$A$6:$O$305,3,FALSE)+VLOOKUP(Data[[#This Row],[TDS]],'[7]Static Int by TDS'!$A$6:$O$305,6,FALSE),0)</f>
        <v>26</v>
      </c>
      <c r="AF45" s="20" t="str">
        <f>VLOOKUP(Data[[#This Row],[DEVELOPMENT]],[8]Developments!$A$2:$A$312,1,FALSE)</f>
        <v>BREVOORT</v>
      </c>
    </row>
    <row r="46" spans="1:32" x14ac:dyDescent="0.25">
      <c r="A46" t="s">
        <v>73</v>
      </c>
      <c r="B46" t="str">
        <f>VLOOKUP(Data[[#This Row],[DEVELOPMENT]],'[2]NYCHA_Development_Data_Book 201'!$B$2:$AY$324,40,FALSE)</f>
        <v>BRONX</v>
      </c>
      <c r="C46" t="str">
        <f>VLOOKUP(Data[[#This Row],[DEVELOPMENT]],'[3]Cheat-Sheet'!$D$2:$Q$341,2,FALSE)</f>
        <v>BRONX RIVER</v>
      </c>
      <c r="D46" t="str">
        <f>IF(VLOOKUP(Data[[#This Row],[DEVELOPMENT]],'[4]IC Categories'!$A$2:$G$325,3,FALSE)=0,"",VLOOKUP(Data[[#This Row],[DEVELOPMENT]],'[4]IC Categories'!$A$2:$G$325,3,FALSE))</f>
        <v/>
      </c>
      <c r="E46">
        <f>VLOOKUP(Data[[#This Row],[DEVELOPMENT]],'[2]NYCHA_Development_Data_Book 201'!$B$2:$AY$324,21,FALSE)</f>
        <v>9</v>
      </c>
      <c r="F46">
        <f>VLOOKUP(Data[[#This Row],[DEVELOPMENT]],'[2]NYCHA_Development_Data_Book 201'!$B$2:$AY$324,23,FALSE)</f>
        <v>10</v>
      </c>
      <c r="G46">
        <f>VLOOKUP(Data[[#This Row],[DEVELOPMENT]],'[2]NYCHA_Development_Data_Book 201'!$B$2:$AY$324,12,FALSE)</f>
        <v>1245</v>
      </c>
      <c r="H46" t="s">
        <v>474</v>
      </c>
      <c r="I46" t="s">
        <v>471</v>
      </c>
      <c r="J46">
        <f>IFERROR(VLOOKUP(Data[[#This Row],[DEVELOPMENT]],[5]!Table1[[DEVELOPMENTS]:[Installation Date of Exterior Compactor]],4,FALSE),0)</f>
        <v>0</v>
      </c>
      <c r="K46" s="20">
        <f>IFERROR(VLOOKUP(Data[[#This Row],[DEVELOPMENT]],[5]!Table1[[DEVELOPMENTS]:[Installation Date of Exterior Compactor]],7,FALSE),0)</f>
        <v>0</v>
      </c>
      <c r="L46" s="42" t="str">
        <f>IF(Data[[#This Row],['# Interior Compactors]]=0,"",VLOOKUP(Data[[#This Row],[DEVELOPMENT]],[5]!Table1[[DEVELOPMENTS]:[Installation Date of Exterior Compactor]],5,FALSE))</f>
        <v/>
      </c>
      <c r="M46" s="43" t="str">
        <f>IF(Data[[#This Row],['# Exterior Compactors]]=0,"",VLOOKUP(Data[[#This Row],[DEVELOPMENT]],[5]!Table1[[DEVELOPMENTS]:[Installation Date of Exterior Compactor]],8,FALSE))</f>
        <v/>
      </c>
      <c r="N46">
        <f>Data[[#This Row],['# Interior Compactors]]</f>
        <v>0</v>
      </c>
      <c r="O46" s="20">
        <f>1</f>
        <v>1</v>
      </c>
      <c r="P46" s="20">
        <f>1</f>
        <v>1</v>
      </c>
      <c r="Q46" s="20">
        <f>1</f>
        <v>1</v>
      </c>
      <c r="R46" s="20">
        <f>1</f>
        <v>1</v>
      </c>
      <c r="S46" s="20">
        <f>1</f>
        <v>1</v>
      </c>
      <c r="T46" s="20">
        <f>Data[[#This Row],[DUs]]</f>
        <v>1245</v>
      </c>
      <c r="U4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6" s="101">
        <f>VLOOKUP(Data[[#This Row],[DEVELOPMENT]],'[2]NYCHA_Development_Data_Book 201'!$B$2:$E$324,3,FALSE)</f>
        <v>32</v>
      </c>
      <c r="Y46" s="20"/>
      <c r="Z46" s="20">
        <f>IFERROR(VLOOKUP(Data[[#This Row],[TDS]],'[7]Static Ext by TDS'!$A$5:$E$120,2,FALSE),0)</f>
        <v>3</v>
      </c>
      <c r="AA46" s="20">
        <f>IFERROR(VLOOKUP(Data[[#This Row],[TDS]],'[7]Static Int by TDS'!$A$6:$O$305,2,FALSE),0)</f>
        <v>9</v>
      </c>
      <c r="AB46" s="20"/>
      <c r="AC46" s="20"/>
      <c r="AD46" s="20">
        <f>IFERROR(VLOOKUP(Data[[#This Row],[TDS]],'[7]Static Ext by TDS'!$A$5:$P$120,3,FALSE)+VLOOKUP(Data[[#This Row],[TDS]],'[7]Static Ext by TDS'!$A$5:$P$120,6,FALSE),0)</f>
        <v>3</v>
      </c>
      <c r="AE46" s="20">
        <f>IFERROR(VLOOKUP(Data[[#This Row],[TDS]],'[7]Static Int by TDS'!$A$6:$O$305,3,FALSE)+VLOOKUP(Data[[#This Row],[TDS]],'[7]Static Int by TDS'!$A$6:$O$305,6,FALSE),0)</f>
        <v>9</v>
      </c>
      <c r="AF46" s="20" t="str">
        <f>VLOOKUP(Data[[#This Row],[DEVELOPMENT]],[8]Developments!$A$2:$A$312,1,FALSE)</f>
        <v>BRONX RIVER</v>
      </c>
    </row>
    <row r="47" spans="1:32" x14ac:dyDescent="0.25">
      <c r="A47" t="s">
        <v>189</v>
      </c>
      <c r="B47" s="20" t="str">
        <f>VLOOKUP(Data[[#This Row],[DEVELOPMENT]],'[2]NYCHA_Development_Data_Book 201'!$B$2:$AY$324,40,FALSE)</f>
        <v>BRONX</v>
      </c>
      <c r="C47" s="20" t="str">
        <f>VLOOKUP(Data[[#This Row],[DEVELOPMENT]],'[3]Cheat-Sheet'!$D$2:$Q$341,2,FALSE)</f>
        <v>BRONX RIVER</v>
      </c>
      <c r="D47" s="20" t="str">
        <f>IF(VLOOKUP(Data[[#This Row],[DEVELOPMENT]],'[4]IC Categories'!$A$2:$G$325,3,FALSE)=0,"",VLOOKUP(Data[[#This Row],[DEVELOPMENT]],'[4]IC Categories'!$A$2:$G$325,3,FALSE))</f>
        <v/>
      </c>
      <c r="E47" s="20">
        <f>VLOOKUP(Data[[#This Row],[DEVELOPMENT]],'[2]NYCHA_Development_Data_Book 201'!$B$2:$AY$324,21,FALSE)</f>
        <v>2</v>
      </c>
      <c r="F47" s="20">
        <f>VLOOKUP(Data[[#This Row],[DEVELOPMENT]],'[2]NYCHA_Development_Data_Book 201'!$B$2:$AY$324,23,FALSE)</f>
        <v>2</v>
      </c>
      <c r="G47" s="20">
        <f>VLOOKUP(Data[[#This Row],[DEVELOPMENT]],'[2]NYCHA_Development_Data_Book 201'!$B$2:$AY$324,12,FALSE)</f>
        <v>226</v>
      </c>
      <c r="J47">
        <f>IFERROR(VLOOKUP(Data[[#This Row],[DEVELOPMENT]],[5]!Table1[[DEVELOPMENTS]:[Installation Date of Exterior Compactor]],4,FALSE),0)</f>
        <v>0</v>
      </c>
      <c r="K47" s="20">
        <f>IFERROR(VLOOKUP(Data[[#This Row],[DEVELOPMENT]],[5]!Table1[[DEVELOPMENTS]:[Installation Date of Exterior Compactor]],7,FALSE),0)</f>
        <v>0</v>
      </c>
      <c r="L47" s="42" t="str">
        <f>IF(Data[[#This Row],['# Interior Compactors]]=0,"",VLOOKUP(Data[[#This Row],[DEVELOPMENT]],[5]!Table1[[DEVELOPMENTS]:[Installation Date of Exterior Compactor]],5,FALSE))</f>
        <v/>
      </c>
      <c r="M47" s="43" t="str">
        <f>IF(Data[[#This Row],['# Exterior Compactors]]=0,"",VLOOKUP(Data[[#This Row],[DEVELOPMENT]],[5]!Table1[[DEVELOPMENTS]:[Installation Date of Exterior Compactor]],8,FALSE))</f>
        <v/>
      </c>
      <c r="N47" s="20">
        <f>Data[[#This Row],['# Interior Compactors]]</f>
        <v>0</v>
      </c>
      <c r="O47" s="20">
        <f>1</f>
        <v>1</v>
      </c>
      <c r="P47" s="20">
        <f>1</f>
        <v>1</v>
      </c>
      <c r="Q47" s="20">
        <f>1</f>
        <v>1</v>
      </c>
      <c r="R47" s="20">
        <f>1</f>
        <v>1</v>
      </c>
      <c r="S47" s="20">
        <f>1</f>
        <v>1</v>
      </c>
      <c r="T47" s="20">
        <f>Data[[#This Row],[DUs]]</f>
        <v>226</v>
      </c>
      <c r="U4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7" s="101">
        <f>VLOOKUP(Data[[#This Row],[DEVELOPMENT]],'[2]NYCHA_Development_Data_Book 201'!$B$2:$E$324,3,FALSE)</f>
        <v>157</v>
      </c>
      <c r="Y47" s="20"/>
      <c r="Z47" s="20">
        <f>IFERROR(VLOOKUP(Data[[#This Row],[TDS]],'[7]Static Ext by TDS'!$A$5:$E$120,2,FALSE),0)</f>
        <v>0</v>
      </c>
      <c r="AA47" s="20">
        <f>IFERROR(VLOOKUP(Data[[#This Row],[TDS]],'[7]Static Int by TDS'!$A$6:$O$305,2,FALSE),0)</f>
        <v>2</v>
      </c>
      <c r="AB47" s="20"/>
      <c r="AC47" s="20"/>
      <c r="AD47" s="20">
        <f>IFERROR(VLOOKUP(Data[[#This Row],[TDS]],'[7]Static Ext by TDS'!$A$5:$P$120,3,FALSE)+VLOOKUP(Data[[#This Row],[TDS]],'[7]Static Ext by TDS'!$A$5:$P$120,6,FALSE),0)</f>
        <v>0</v>
      </c>
      <c r="AE47" s="20">
        <f>IFERROR(VLOOKUP(Data[[#This Row],[TDS]],'[7]Static Int by TDS'!$A$6:$O$305,3,FALSE)+VLOOKUP(Data[[#This Row],[TDS]],'[7]Static Int by TDS'!$A$6:$O$305,6,FALSE),0)</f>
        <v>2</v>
      </c>
      <c r="AF47" s="20" t="str">
        <f>VLOOKUP(Data[[#This Row],[DEVELOPMENT]],[8]Developments!$A$2:$A$312,1,FALSE)</f>
        <v>BRONX RIVER ADDITION</v>
      </c>
    </row>
    <row r="48" spans="1:32" x14ac:dyDescent="0.25">
      <c r="A48" t="s">
        <v>190</v>
      </c>
      <c r="B48" s="20" t="str">
        <f>VLOOKUP(Data[[#This Row],[DEVELOPMENT]],'[2]NYCHA_Development_Data_Book 201'!$B$2:$AY$324,40,FALSE)</f>
        <v>BROOKLYN</v>
      </c>
      <c r="C48" s="20" t="str">
        <f>VLOOKUP(Data[[#This Row],[DEVELOPMENT]],'[3]Cheat-Sheet'!$D$2:$Q$341,2,FALSE)</f>
        <v>GARVEY</v>
      </c>
      <c r="D48" s="20" t="str">
        <f>IF(VLOOKUP(Data[[#This Row],[DEVELOPMENT]],'[4]IC Categories'!$A$2:$G$325,3,FALSE)=0,"",VLOOKUP(Data[[#This Row],[DEVELOPMENT]],'[4]IC Categories'!$A$2:$G$325,3,FALSE))</f>
        <v/>
      </c>
      <c r="E48" s="20">
        <f>VLOOKUP(Data[[#This Row],[DEVELOPMENT]],'[2]NYCHA_Development_Data_Book 201'!$B$2:$AY$324,21,FALSE)</f>
        <v>2</v>
      </c>
      <c r="F48" s="20">
        <f>VLOOKUP(Data[[#This Row],[DEVELOPMENT]],'[2]NYCHA_Development_Data_Book 201'!$B$2:$AY$324,23,FALSE)</f>
        <v>2</v>
      </c>
      <c r="G48" s="20">
        <f>VLOOKUP(Data[[#This Row],[DEVELOPMENT]],'[2]NYCHA_Development_Data_Book 201'!$B$2:$AY$324,12,FALSE)</f>
        <v>200</v>
      </c>
      <c r="J48">
        <f>IFERROR(VLOOKUP(Data[[#This Row],[DEVELOPMENT]],[5]!Table1[[DEVELOPMENTS]:[Installation Date of Exterior Compactor]],4,FALSE),0)</f>
        <v>0</v>
      </c>
      <c r="K48" s="20">
        <f>IFERROR(VLOOKUP(Data[[#This Row],[DEVELOPMENT]],[5]!Table1[[DEVELOPMENTS]:[Installation Date of Exterior Compactor]],7,FALSE),0)</f>
        <v>0</v>
      </c>
      <c r="L48" s="42" t="str">
        <f>IF(Data[[#This Row],['# Interior Compactors]]=0,"",VLOOKUP(Data[[#This Row],[DEVELOPMENT]],[5]!Table1[[DEVELOPMENTS]:[Installation Date of Exterior Compactor]],5,FALSE))</f>
        <v/>
      </c>
      <c r="M48" s="43" t="str">
        <f>IF(Data[[#This Row],['# Exterior Compactors]]=0,"",VLOOKUP(Data[[#This Row],[DEVELOPMENT]],[5]!Table1[[DEVELOPMENTS]:[Installation Date of Exterior Compactor]],8,FALSE))</f>
        <v/>
      </c>
      <c r="N48" s="20">
        <f>Data[[#This Row],['# Interior Compactors]]</f>
        <v>0</v>
      </c>
      <c r="O48" s="20">
        <f>1</f>
        <v>1</v>
      </c>
      <c r="P48" s="20">
        <f>1</f>
        <v>1</v>
      </c>
      <c r="Q48" s="20">
        <f>1</f>
        <v>1</v>
      </c>
      <c r="R48" s="20">
        <f>1</f>
        <v>1</v>
      </c>
      <c r="S48" s="20">
        <f>1</f>
        <v>1</v>
      </c>
      <c r="T48" s="20">
        <f>Data[[#This Row],[DUs]]</f>
        <v>200</v>
      </c>
      <c r="U4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8" s="101">
        <f>VLOOKUP(Data[[#This Row],[DEVELOPMENT]],'[2]NYCHA_Development_Data_Book 201'!$B$2:$E$324,3,FALSE)</f>
        <v>325</v>
      </c>
      <c r="Y48" s="20"/>
      <c r="Z48" s="20">
        <f>IFERROR(VLOOKUP(Data[[#This Row],[TDS]],'[7]Static Ext by TDS'!$A$5:$E$120,2,FALSE),0)</f>
        <v>0</v>
      </c>
      <c r="AA48" s="20">
        <f>IFERROR(VLOOKUP(Data[[#This Row],[TDS]],'[7]Static Int by TDS'!$A$6:$O$305,2,FALSE),0)</f>
        <v>2</v>
      </c>
      <c r="AB48" s="20"/>
      <c r="AC48" s="20"/>
      <c r="AD48" s="20">
        <f>IFERROR(VLOOKUP(Data[[#This Row],[TDS]],'[7]Static Ext by TDS'!$A$5:$P$120,3,FALSE)+VLOOKUP(Data[[#This Row],[TDS]],'[7]Static Ext by TDS'!$A$5:$P$120,6,FALSE),0)</f>
        <v>0</v>
      </c>
      <c r="AE48" s="20">
        <f>IFERROR(VLOOKUP(Data[[#This Row],[TDS]],'[7]Static Int by TDS'!$A$6:$O$305,3,FALSE)+VLOOKUP(Data[[#This Row],[TDS]],'[7]Static Int by TDS'!$A$6:$O$305,6,FALSE),0)</f>
        <v>2</v>
      </c>
      <c r="AF48" s="20" t="str">
        <f>VLOOKUP(Data[[#This Row],[DEVELOPMENT]],[8]Developments!$A$2:$A$312,1,FALSE)</f>
        <v>BROWN</v>
      </c>
    </row>
    <row r="49" spans="1:32" x14ac:dyDescent="0.25">
      <c r="A49" t="s">
        <v>191</v>
      </c>
      <c r="B49" s="20" t="str">
        <f>VLOOKUP(Data[[#This Row],[DEVELOPMENT]],'[2]NYCHA_Development_Data_Book 201'!$B$2:$AY$324,40,FALSE)</f>
        <v>BROOKLYN</v>
      </c>
      <c r="C49" s="20" t="str">
        <f>VLOOKUP(Data[[#This Row],[DEVELOPMENT]],'[3]Cheat-Sheet'!$D$2:$Q$341,2,FALSE)</f>
        <v>BROWNSVILLE</v>
      </c>
      <c r="D49" s="20" t="str">
        <f>IF(VLOOKUP(Data[[#This Row],[DEVELOPMENT]],'[4]IC Categories'!$A$2:$G$325,3,FALSE)=0,"",VLOOKUP(Data[[#This Row],[DEVELOPMENT]],'[4]IC Categories'!$A$2:$G$325,3,FALSE))</f>
        <v/>
      </c>
      <c r="E49" s="20">
        <f>VLOOKUP(Data[[#This Row],[DEVELOPMENT]],'[2]NYCHA_Development_Data_Book 201'!$B$2:$AY$324,21,FALSE)</f>
        <v>27</v>
      </c>
      <c r="F49" s="20">
        <f>VLOOKUP(Data[[#This Row],[DEVELOPMENT]],'[2]NYCHA_Development_Data_Book 201'!$B$2:$AY$324,23,FALSE)</f>
        <v>46</v>
      </c>
      <c r="G49" s="20">
        <f>VLOOKUP(Data[[#This Row],[DEVELOPMENT]],'[2]NYCHA_Development_Data_Book 201'!$B$2:$AY$324,12,FALSE)</f>
        <v>1336</v>
      </c>
      <c r="J49">
        <f>IFERROR(VLOOKUP(Data[[#This Row],[DEVELOPMENT]],[5]!Table1[[DEVELOPMENTS]:[Installation Date of Exterior Compactor]],4,FALSE),0)</f>
        <v>0</v>
      </c>
      <c r="K49" s="20">
        <f>IFERROR(VLOOKUP(Data[[#This Row],[DEVELOPMENT]],[5]!Table1[[DEVELOPMENTS]:[Installation Date of Exterior Compactor]],7,FALSE),0)</f>
        <v>0</v>
      </c>
      <c r="L49" s="42" t="str">
        <f>IF(Data[[#This Row],['# Interior Compactors]]=0,"",VLOOKUP(Data[[#This Row],[DEVELOPMENT]],[5]!Table1[[DEVELOPMENTS]:[Installation Date of Exterior Compactor]],5,FALSE))</f>
        <v/>
      </c>
      <c r="M49" s="43" t="str">
        <f>IF(Data[[#This Row],['# Exterior Compactors]]=0,"",VLOOKUP(Data[[#This Row],[DEVELOPMENT]],[5]!Table1[[DEVELOPMENTS]:[Installation Date of Exterior Compactor]],8,FALSE))</f>
        <v/>
      </c>
      <c r="N49" s="20">
        <f>Data[[#This Row],['# Interior Compactors]]</f>
        <v>0</v>
      </c>
      <c r="O49" s="20">
        <f>1</f>
        <v>1</v>
      </c>
      <c r="P49" s="20">
        <f>1</f>
        <v>1</v>
      </c>
      <c r="Q49" s="20">
        <f>1</f>
        <v>1</v>
      </c>
      <c r="R49" s="20">
        <f>1</f>
        <v>1</v>
      </c>
      <c r="S49" s="20">
        <f>1</f>
        <v>1</v>
      </c>
      <c r="T49" s="20">
        <f>Data[[#This Row],[DUs]]</f>
        <v>1336</v>
      </c>
      <c r="U4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4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4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49" s="101">
        <f>VLOOKUP(Data[[#This Row],[DEVELOPMENT]],'[2]NYCHA_Development_Data_Book 201'!$B$2:$E$324,3,FALSE)</f>
        <v>16</v>
      </c>
      <c r="Y49" s="20"/>
      <c r="Z49" s="20">
        <f>IFERROR(VLOOKUP(Data[[#This Row],[TDS]],'[7]Static Ext by TDS'!$A$5:$E$120,2,FALSE),0)</f>
        <v>3</v>
      </c>
      <c r="AA49" s="20">
        <f>IFERROR(VLOOKUP(Data[[#This Row],[TDS]],'[7]Static Int by TDS'!$A$6:$O$305,2,FALSE),0)</f>
        <v>46</v>
      </c>
      <c r="AB49" s="20"/>
      <c r="AC49" s="20"/>
      <c r="AD49" s="20">
        <f>IFERROR(VLOOKUP(Data[[#This Row],[TDS]],'[7]Static Ext by TDS'!$A$5:$P$120,3,FALSE)+VLOOKUP(Data[[#This Row],[TDS]],'[7]Static Ext by TDS'!$A$5:$P$120,6,FALSE),0)</f>
        <v>3</v>
      </c>
      <c r="AE49" s="20">
        <f>IFERROR(VLOOKUP(Data[[#This Row],[TDS]],'[7]Static Int by TDS'!$A$6:$O$305,3,FALSE)+VLOOKUP(Data[[#This Row],[TDS]],'[7]Static Int by TDS'!$A$6:$O$305,6,FALSE),0)</f>
        <v>46</v>
      </c>
      <c r="AF49" s="20" t="str">
        <f>VLOOKUP(Data[[#This Row],[DEVELOPMENT]],[8]Developments!$A$2:$A$312,1,FALSE)</f>
        <v>BROWNSVILLE</v>
      </c>
    </row>
    <row r="50" spans="1:32" x14ac:dyDescent="0.25">
      <c r="A50" t="s">
        <v>192</v>
      </c>
      <c r="B50" s="20" t="str">
        <f>VLOOKUP(Data[[#This Row],[DEVELOPMENT]],'[2]NYCHA_Development_Data_Book 201'!$B$2:$AY$324,40,FALSE)</f>
        <v>BRONX</v>
      </c>
      <c r="C50" s="20" t="str">
        <f>VLOOKUP(Data[[#This Row],[DEVELOPMENT]],'[3]Cheat-Sheet'!$D$2:$Q$341,2,FALSE)</f>
        <v>BUILDING MANAGEMENT ASSOCIATES (PRIVATE - BX 1)</v>
      </c>
      <c r="D50" s="20" t="str">
        <f>IF(VLOOKUP(Data[[#This Row],[DEVELOPMENT]],'[4]IC Categories'!$A$2:$G$325,3,FALSE)=0,"",VLOOKUP(Data[[#This Row],[DEVELOPMENT]],'[4]IC Categories'!$A$2:$G$325,3,FALSE))</f>
        <v/>
      </c>
      <c r="E50" s="20">
        <f>VLOOKUP(Data[[#This Row],[DEVELOPMENT]],'[2]NYCHA_Development_Data_Book 201'!$B$2:$AY$324,21,FALSE)</f>
        <v>1</v>
      </c>
      <c r="F50" s="20">
        <f>VLOOKUP(Data[[#This Row],[DEVELOPMENT]],'[2]NYCHA_Development_Data_Book 201'!$B$2:$AY$324,23,FALSE)</f>
        <v>1</v>
      </c>
      <c r="G50" s="20">
        <f>VLOOKUP(Data[[#This Row],[DEVELOPMENT]],'[2]NYCHA_Development_Data_Book 201'!$B$2:$AY$324,12,FALSE)</f>
        <v>72</v>
      </c>
      <c r="J50">
        <f>IFERROR(VLOOKUP(Data[[#This Row],[DEVELOPMENT]],[5]!Table1[[DEVELOPMENTS]:[Installation Date of Exterior Compactor]],4,FALSE),0)</f>
        <v>0</v>
      </c>
      <c r="K50" s="20">
        <f>IFERROR(VLOOKUP(Data[[#This Row],[DEVELOPMENT]],[5]!Table1[[DEVELOPMENTS]:[Installation Date of Exterior Compactor]],7,FALSE),0)</f>
        <v>0</v>
      </c>
      <c r="L50" s="42" t="str">
        <f>IF(Data[[#This Row],['# Interior Compactors]]=0,"",VLOOKUP(Data[[#This Row],[DEVELOPMENT]],[5]!Table1[[DEVELOPMENTS]:[Installation Date of Exterior Compactor]],5,FALSE))</f>
        <v/>
      </c>
      <c r="M50" s="43" t="str">
        <f>IF(Data[[#This Row],['# Exterior Compactors]]=0,"",VLOOKUP(Data[[#This Row],[DEVELOPMENT]],[5]!Table1[[DEVELOPMENTS]:[Installation Date of Exterior Compactor]],8,FALSE))</f>
        <v/>
      </c>
      <c r="N50" s="20">
        <f>Data[[#This Row],['# Interior Compactors]]</f>
        <v>0</v>
      </c>
      <c r="O50" s="20">
        <f>1</f>
        <v>1</v>
      </c>
      <c r="P50" s="20">
        <f>1</f>
        <v>1</v>
      </c>
      <c r="Q50" s="20">
        <f>1</f>
        <v>1</v>
      </c>
      <c r="R50" s="20">
        <f>1</f>
        <v>1</v>
      </c>
      <c r="S50" s="20">
        <f>1</f>
        <v>1</v>
      </c>
      <c r="T50" s="20">
        <f>Data[[#This Row],[DUs]]</f>
        <v>72</v>
      </c>
      <c r="U5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0" s="101">
        <f>VLOOKUP(Data[[#This Row],[DEVELOPMENT]],'[2]NYCHA_Development_Data_Book 201'!$B$2:$E$324,3,FALSE)</f>
        <v>235</v>
      </c>
      <c r="Y50" s="20"/>
      <c r="Z50" s="20">
        <f>IFERROR(VLOOKUP(Data[[#This Row],[TDS]],'[7]Static Ext by TDS'!$A$5:$E$120,2,FALSE),0)</f>
        <v>0</v>
      </c>
      <c r="AA50" s="20">
        <f>IFERROR(VLOOKUP(Data[[#This Row],[TDS]],'[7]Static Int by TDS'!$A$6:$O$305,2,FALSE),0)</f>
        <v>1</v>
      </c>
      <c r="AB50" s="20"/>
      <c r="AC50" s="20"/>
      <c r="AD50" s="20">
        <f>IFERROR(VLOOKUP(Data[[#This Row],[TDS]],'[7]Static Ext by TDS'!$A$5:$P$120,3,FALSE)+VLOOKUP(Data[[#This Row],[TDS]],'[7]Static Ext by TDS'!$A$5:$P$120,6,FALSE),0)</f>
        <v>0</v>
      </c>
      <c r="AE50" s="20">
        <f>IFERROR(VLOOKUP(Data[[#This Row],[TDS]],'[7]Static Int by TDS'!$A$6:$O$305,3,FALSE)+VLOOKUP(Data[[#This Row],[TDS]],'[7]Static Int by TDS'!$A$6:$O$305,6,FALSE),0)</f>
        <v>1</v>
      </c>
      <c r="AF50" s="20" t="str">
        <f>VLOOKUP(Data[[#This Row],[DEVELOPMENT]],[8]Developments!$A$2:$A$312,1,FALSE)</f>
        <v>BRYANT AVENUE-EAST 174TH STREET</v>
      </c>
    </row>
    <row r="51" spans="1:32" x14ac:dyDescent="0.25">
      <c r="A51" s="17" t="s">
        <v>26</v>
      </c>
      <c r="B51" s="17" t="str">
        <f>VLOOKUP(Data[[#This Row],[DEVELOPMENT]],'[2]NYCHA_Development_Data_Book 201'!$B$2:$AY$324,40,FALSE)</f>
        <v>BROOKLYN</v>
      </c>
      <c r="C51" t="str">
        <f>VLOOKUP(Data[[#This Row],[DEVELOPMENT]],'[3]Cheat-Sheet'!$D$2:$Q$341,2,FALSE)</f>
        <v>BUSHWICK</v>
      </c>
      <c r="D51" t="str">
        <f>IF(VLOOKUP(Data[[#This Row],[DEVELOPMENT]],'[4]IC Categories'!$A$2:$G$325,3,FALSE)=0,"",VLOOKUP(Data[[#This Row],[DEVELOPMENT]],'[4]IC Categories'!$A$2:$G$325,3,FALSE))</f>
        <v/>
      </c>
      <c r="E51">
        <f>VLOOKUP(Data[[#This Row],[DEVELOPMENT]],'[2]NYCHA_Development_Data_Book 201'!$B$2:$AY$324,21,FALSE)</f>
        <v>8</v>
      </c>
      <c r="F51">
        <f>VLOOKUP(Data[[#This Row],[DEVELOPMENT]],'[2]NYCHA_Development_Data_Book 201'!$B$2:$AY$324,23,FALSE)</f>
        <v>8</v>
      </c>
      <c r="G51">
        <f>VLOOKUP(Data[[#This Row],[DEVELOPMENT]],'[2]NYCHA_Development_Data_Book 201'!$B$2:$AY$324,12,FALSE)</f>
        <v>1219</v>
      </c>
      <c r="H51" t="s">
        <v>472</v>
      </c>
      <c r="I51" t="s">
        <v>475</v>
      </c>
      <c r="J51">
        <f>IFERROR(VLOOKUP(Data[[#This Row],[DEVELOPMENT]],[5]!Table1[[DEVELOPMENTS]:[Installation Date of Exterior Compactor]],4,FALSE),0)</f>
        <v>0</v>
      </c>
      <c r="K51" s="20">
        <f>IFERROR(VLOOKUP(Data[[#This Row],[DEVELOPMENT]],[5]!Table1[[DEVELOPMENTS]:[Installation Date of Exterior Compactor]],7,FALSE),0)</f>
        <v>0</v>
      </c>
      <c r="L51" s="42" t="str">
        <f>IF(Data[[#This Row],['# Interior Compactors]]=0,"",VLOOKUP(Data[[#This Row],[DEVELOPMENT]],[5]!Table1[[DEVELOPMENTS]:[Installation Date of Exterior Compactor]],5,FALSE))</f>
        <v/>
      </c>
      <c r="M51" s="43" t="str">
        <f>IF(Data[[#This Row],['# Exterior Compactors]]=0,"",VLOOKUP(Data[[#This Row],[DEVELOPMENT]],[5]!Table1[[DEVELOPMENTS]:[Installation Date of Exterior Compactor]],8,FALSE))</f>
        <v/>
      </c>
      <c r="N51">
        <f>Data[[#This Row],['# Interior Compactors]]</f>
        <v>0</v>
      </c>
      <c r="O51" s="20">
        <f>1</f>
        <v>1</v>
      </c>
      <c r="P51" s="20">
        <f>1</f>
        <v>1</v>
      </c>
      <c r="Q51" s="20">
        <f>1</f>
        <v>1</v>
      </c>
      <c r="R51" s="20">
        <f>1</f>
        <v>1</v>
      </c>
      <c r="S51" s="20">
        <f>1</f>
        <v>1</v>
      </c>
      <c r="T51" s="20">
        <f>Data[[#This Row],[DUs]]</f>
        <v>1219</v>
      </c>
      <c r="U5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1" s="101">
        <f>VLOOKUP(Data[[#This Row],[DEVELOPMENT]],'[2]NYCHA_Development_Data_Book 201'!$B$2:$E$324,3,FALSE)</f>
        <v>86</v>
      </c>
      <c r="Y51" s="20" t="s">
        <v>473</v>
      </c>
      <c r="Z51" s="20">
        <f>IFERROR(VLOOKUP(Data[[#This Row],[TDS]],'[7]Static Ext by TDS'!$A$5:$E$120,2,FALSE),0)</f>
        <v>2</v>
      </c>
      <c r="AA51" s="20">
        <f>IFERROR(VLOOKUP(Data[[#This Row],[TDS]],'[7]Static Int by TDS'!$A$6:$O$305,2,FALSE),0)</f>
        <v>8</v>
      </c>
      <c r="AB51" s="20"/>
      <c r="AC51" s="20"/>
      <c r="AD51" s="20">
        <f>IFERROR(VLOOKUP(Data[[#This Row],[TDS]],'[7]Static Ext by TDS'!$A$5:$P$120,3,FALSE)+VLOOKUP(Data[[#This Row],[TDS]],'[7]Static Ext by TDS'!$A$5:$P$120,6,FALSE),0)</f>
        <v>2</v>
      </c>
      <c r="AE51" s="20">
        <f>IFERROR(VLOOKUP(Data[[#This Row],[TDS]],'[7]Static Int by TDS'!$A$6:$O$305,3,FALSE)+VLOOKUP(Data[[#This Row],[TDS]],'[7]Static Int by TDS'!$A$6:$O$305,6,FALSE),0)</f>
        <v>8</v>
      </c>
      <c r="AF51" s="20" t="str">
        <f>VLOOKUP(Data[[#This Row],[DEVELOPMENT]],[8]Developments!$A$2:$A$312,1,FALSE)</f>
        <v>BUSHWICK</v>
      </c>
    </row>
    <row r="52" spans="1:32" x14ac:dyDescent="0.25">
      <c r="A52" s="17" t="s">
        <v>378</v>
      </c>
      <c r="B52" t="str">
        <f>VLOOKUP(Data[[#This Row],[DEVELOPMENT]],'[2]NYCHA_Development_Data_Book 201'!$B$2:$AY$324,40,FALSE)</f>
        <v>BROOKLYN</v>
      </c>
      <c r="C52" t="str">
        <f>VLOOKUP(Data[[#This Row],[DEVELOPMENT]],'[3]Cheat-Sheet'!$D$2:$Q$341,2,FALSE)</f>
        <v>HOPE GARDENS</v>
      </c>
      <c r="D52" t="str">
        <f>IF(VLOOKUP(Data[[#This Row],[DEVELOPMENT]],'[4]IC Categories'!$A$2:$G$325,3,FALSE)=0,"",VLOOKUP(Data[[#This Row],[DEVELOPMENT]],'[4]IC Categories'!$A$2:$G$325,3,FALSE))</f>
        <v/>
      </c>
      <c r="E52">
        <f>VLOOKUP(Data[[#This Row],[DEVELOPMENT]],'[2]NYCHA_Development_Data_Book 201'!$B$2:$AY$324,21,FALSE)</f>
        <v>25</v>
      </c>
      <c r="F52">
        <f>VLOOKUP(Data[[#This Row],[DEVELOPMENT]],'[2]NYCHA_Development_Data_Book 201'!$B$2:$AY$324,23,FALSE)</f>
        <v>25</v>
      </c>
      <c r="G52">
        <f>VLOOKUP(Data[[#This Row],[DEVELOPMENT]],'[2]NYCHA_Development_Data_Book 201'!$B$2:$AY$324,12,FALSE)</f>
        <v>299</v>
      </c>
      <c r="H52" t="s">
        <v>472</v>
      </c>
      <c r="J52">
        <f>IFERROR(VLOOKUP(Data[[#This Row],[DEVELOPMENT]],[5]!Table1[[DEVELOPMENTS]:[Installation Date of Exterior Compactor]],4,FALSE),0)</f>
        <v>0</v>
      </c>
      <c r="K52" s="20">
        <f>IFERROR(VLOOKUP(Data[[#This Row],[DEVELOPMENT]],[5]!Table1[[DEVELOPMENTS]:[Installation Date of Exterior Compactor]],7,FALSE),0)</f>
        <v>0</v>
      </c>
      <c r="L52" s="42" t="str">
        <f>IF(Data[[#This Row],['# Interior Compactors]]=0,"",VLOOKUP(Data[[#This Row],[DEVELOPMENT]],[5]!Table1[[DEVELOPMENTS]:[Installation Date of Exterior Compactor]],5,FALSE))</f>
        <v/>
      </c>
      <c r="M52" s="43" t="str">
        <f>IF(Data[[#This Row],['# Exterior Compactors]]=0,"",VLOOKUP(Data[[#This Row],[DEVELOPMENT]],[5]!Table1[[DEVELOPMENTS]:[Installation Date of Exterior Compactor]],8,FALSE))</f>
        <v/>
      </c>
      <c r="N52">
        <f>Data[[#This Row],['# Interior Compactors]]</f>
        <v>0</v>
      </c>
      <c r="O52" s="20">
        <f>1</f>
        <v>1</v>
      </c>
      <c r="P52" s="20">
        <f>1</f>
        <v>1</v>
      </c>
      <c r="Q52" s="20">
        <f>1</f>
        <v>1</v>
      </c>
      <c r="R52" s="20">
        <f>1</f>
        <v>1</v>
      </c>
      <c r="S52" s="20">
        <f>1</f>
        <v>1</v>
      </c>
      <c r="T52" s="20">
        <f>Data[[#This Row],[DUs]]</f>
        <v>299</v>
      </c>
      <c r="U5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2" s="101">
        <f>VLOOKUP(Data[[#This Row],[DEVELOPMENT]],'[2]NYCHA_Development_Data_Book 201'!$B$2:$E$324,3,FALSE)</f>
        <v>302</v>
      </c>
      <c r="Y52" s="20" t="s">
        <v>473</v>
      </c>
      <c r="Z52" s="20">
        <f>IFERROR(VLOOKUP(Data[[#This Row],[TDS]],'[7]Static Ext by TDS'!$A$5:$E$120,2,FALSE),0)</f>
        <v>0</v>
      </c>
      <c r="AA52" s="20">
        <f>IFERROR(VLOOKUP(Data[[#This Row],[TDS]],'[7]Static Int by TDS'!$A$6:$O$305,2,FALSE),0)</f>
        <v>25</v>
      </c>
      <c r="AB52" s="20"/>
      <c r="AC52" s="20"/>
      <c r="AD52" s="20">
        <f>IFERROR(VLOOKUP(Data[[#This Row],[TDS]],'[7]Static Ext by TDS'!$A$5:$P$120,3,FALSE)+VLOOKUP(Data[[#This Row],[TDS]],'[7]Static Ext by TDS'!$A$5:$P$120,6,FALSE),0)</f>
        <v>0</v>
      </c>
      <c r="AE52" s="20">
        <f>IFERROR(VLOOKUP(Data[[#This Row],[TDS]],'[7]Static Int by TDS'!$A$6:$O$305,3,FALSE)+VLOOKUP(Data[[#This Row],[TDS]],'[7]Static Int by TDS'!$A$6:$O$305,6,FALSE),0)</f>
        <v>25</v>
      </c>
      <c r="AF52" s="20" t="e">
        <f>VLOOKUP(Data[[#This Row],[DEVELOPMENT]],[8]Developments!$A$2:$A$312,1,FALSE)</f>
        <v>#N/A</v>
      </c>
    </row>
    <row r="53" spans="1:32" x14ac:dyDescent="0.25">
      <c r="A53" t="s">
        <v>379</v>
      </c>
      <c r="B53" s="20" t="str">
        <f>VLOOKUP(Data[[#This Row],[DEVELOPMENT]],'[2]NYCHA_Development_Data_Book 201'!$B$2:$AY$324,40,FALSE)</f>
        <v>BROOKLYN</v>
      </c>
      <c r="C53" s="20" t="str">
        <f>VLOOKUP(Data[[#This Row],[DEVELOPMENT]],'[3]Cheat-Sheet'!$D$2:$Q$341,2,FALSE)</f>
        <v>HOPE GARDENS</v>
      </c>
      <c r="D53" s="20" t="str">
        <f>IF(VLOOKUP(Data[[#This Row],[DEVELOPMENT]],'[4]IC Categories'!$A$2:$G$325,3,FALSE)=0,"",VLOOKUP(Data[[#This Row],[DEVELOPMENT]],'[4]IC Categories'!$A$2:$G$325,3,FALSE))</f>
        <v/>
      </c>
      <c r="E53" s="20">
        <f>VLOOKUP(Data[[#This Row],[DEVELOPMENT]],'[2]NYCHA_Development_Data_Book 201'!$B$2:$AY$324,21,FALSE)</f>
        <v>25</v>
      </c>
      <c r="F53" s="20">
        <f>VLOOKUP(Data[[#This Row],[DEVELOPMENT]],'[2]NYCHA_Development_Data_Book 201'!$B$2:$AY$324,23,FALSE)</f>
        <v>27</v>
      </c>
      <c r="G53" s="20">
        <f>VLOOKUP(Data[[#This Row],[DEVELOPMENT]],'[2]NYCHA_Development_Data_Book 201'!$B$2:$AY$324,12,FALSE)</f>
        <v>300</v>
      </c>
      <c r="J53">
        <f>IFERROR(VLOOKUP(Data[[#This Row],[DEVELOPMENT]],[5]!Table1[[DEVELOPMENTS]:[Installation Date of Exterior Compactor]],4,FALSE),0)</f>
        <v>0</v>
      </c>
      <c r="K53" s="20">
        <f>IFERROR(VLOOKUP(Data[[#This Row],[DEVELOPMENT]],[5]!Table1[[DEVELOPMENTS]:[Installation Date of Exterior Compactor]],7,FALSE),0)</f>
        <v>0</v>
      </c>
      <c r="L53" s="42" t="str">
        <f>IF(Data[[#This Row],['# Interior Compactors]]=0,"",VLOOKUP(Data[[#This Row],[DEVELOPMENT]],[5]!Table1[[DEVELOPMENTS]:[Installation Date of Exterior Compactor]],5,FALSE))</f>
        <v/>
      </c>
      <c r="M53" s="43" t="str">
        <f>IF(Data[[#This Row],['# Exterior Compactors]]=0,"",VLOOKUP(Data[[#This Row],[DEVELOPMENT]],[5]!Table1[[DEVELOPMENTS]:[Installation Date of Exterior Compactor]],8,FALSE))</f>
        <v/>
      </c>
      <c r="N53" s="20">
        <f>Data[[#This Row],['# Interior Compactors]]</f>
        <v>0</v>
      </c>
      <c r="O53" s="20">
        <f>1</f>
        <v>1</v>
      </c>
      <c r="P53" s="20">
        <f>1</f>
        <v>1</v>
      </c>
      <c r="Q53" s="20">
        <f>1</f>
        <v>1</v>
      </c>
      <c r="R53" s="20">
        <f>1</f>
        <v>1</v>
      </c>
      <c r="S53" s="20">
        <f>1</f>
        <v>1</v>
      </c>
      <c r="T53" s="20">
        <f>Data[[#This Row],[DUs]]</f>
        <v>300</v>
      </c>
      <c r="U5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3" s="101">
        <f>VLOOKUP(Data[[#This Row],[DEVELOPMENT]],'[2]NYCHA_Development_Data_Book 201'!$B$2:$E$324,3,FALSE)</f>
        <v>303</v>
      </c>
      <c r="Y53" s="20" t="s">
        <v>473</v>
      </c>
      <c r="Z53" s="20">
        <f>IFERROR(VLOOKUP(Data[[#This Row],[TDS]],'[7]Static Ext by TDS'!$A$5:$E$120,2,FALSE),0)</f>
        <v>0</v>
      </c>
      <c r="AA53" s="20">
        <f>IFERROR(VLOOKUP(Data[[#This Row],[TDS]],'[7]Static Int by TDS'!$A$6:$O$305,2,FALSE),0)</f>
        <v>25</v>
      </c>
      <c r="AB53" s="20"/>
      <c r="AC53" s="20"/>
      <c r="AD53" s="20">
        <f>IFERROR(VLOOKUP(Data[[#This Row],[TDS]],'[7]Static Ext by TDS'!$A$5:$P$120,3,FALSE)+VLOOKUP(Data[[#This Row],[TDS]],'[7]Static Ext by TDS'!$A$5:$P$120,6,FALSE),0)</f>
        <v>0</v>
      </c>
      <c r="AE53" s="20">
        <f>IFERROR(VLOOKUP(Data[[#This Row],[TDS]],'[7]Static Int by TDS'!$A$6:$O$305,3,FALSE)+VLOOKUP(Data[[#This Row],[TDS]],'[7]Static Int by TDS'!$A$6:$O$305,6,FALSE),0)</f>
        <v>25</v>
      </c>
      <c r="AF53" s="20" t="e">
        <f>VLOOKUP(Data[[#This Row],[DEVELOPMENT]],[8]Developments!$A$2:$A$312,1,FALSE)</f>
        <v>#N/A</v>
      </c>
    </row>
    <row r="54" spans="1:32" x14ac:dyDescent="0.25">
      <c r="A54" s="17" t="s">
        <v>380</v>
      </c>
      <c r="B54" t="str">
        <f>VLOOKUP(Data[[#This Row],[DEVELOPMENT]],'[2]NYCHA_Development_Data_Book 201'!$B$2:$AY$324,40,FALSE)</f>
        <v>BROOKLYN</v>
      </c>
      <c r="C54" t="str">
        <f>VLOOKUP(Data[[#This Row],[DEVELOPMENT]],'[3]Cheat-Sheet'!$D$2:$Q$341,2,FALSE)</f>
        <v>HOPE GARDENS</v>
      </c>
      <c r="D54">
        <f>IF(VLOOKUP(Data[[#This Row],[DEVELOPMENT]],'[4]IC Categories'!$A$2:$G$325,3,FALSE)=0,"",VLOOKUP(Data[[#This Row],[DEVELOPMENT]],'[4]IC Categories'!$A$2:$G$325,3,FALSE))</f>
        <v>2019</v>
      </c>
      <c r="E54">
        <f>VLOOKUP(Data[[#This Row],[DEVELOPMENT]],'[2]NYCHA_Development_Data_Book 201'!$B$2:$AY$324,21,FALSE)</f>
        <v>5</v>
      </c>
      <c r="F54">
        <f>VLOOKUP(Data[[#This Row],[DEVELOPMENT]],'[2]NYCHA_Development_Data_Book 201'!$B$2:$AY$324,23,FALSE)</f>
        <v>37</v>
      </c>
      <c r="G54">
        <f>VLOOKUP(Data[[#This Row],[DEVELOPMENT]],'[2]NYCHA_Development_Data_Book 201'!$B$2:$AY$324,12,FALSE)</f>
        <v>276</v>
      </c>
      <c r="H54" t="s">
        <v>472</v>
      </c>
      <c r="J54">
        <f>IFERROR(VLOOKUP(Data[[#This Row],[DEVELOPMENT]],[5]!Table1[[DEVELOPMENTS]:[Installation Date of Exterior Compactor]],4,FALSE),0)</f>
        <v>0</v>
      </c>
      <c r="K54" s="20">
        <f>IFERROR(VLOOKUP(Data[[#This Row],[DEVELOPMENT]],[5]!Table1[[DEVELOPMENTS]:[Installation Date of Exterior Compactor]],7,FALSE),0)</f>
        <v>0</v>
      </c>
      <c r="L54" s="42" t="str">
        <f>IF(Data[[#This Row],['# Interior Compactors]]=0,"",VLOOKUP(Data[[#This Row],[DEVELOPMENT]],[5]!Table1[[DEVELOPMENTS]:[Installation Date of Exterior Compactor]],5,FALSE))</f>
        <v/>
      </c>
      <c r="M54" s="43" t="str">
        <f>IF(Data[[#This Row],['# Exterior Compactors]]=0,"",VLOOKUP(Data[[#This Row],[DEVELOPMENT]],[5]!Table1[[DEVELOPMENTS]:[Installation Date of Exterior Compactor]],8,FALSE))</f>
        <v/>
      </c>
      <c r="N54">
        <f>Data[[#This Row],['# Interior Compactors]]</f>
        <v>0</v>
      </c>
      <c r="O54" s="20">
        <f>1</f>
        <v>1</v>
      </c>
      <c r="P54" s="20">
        <f>1</f>
        <v>1</v>
      </c>
      <c r="Q54" s="20">
        <f>1</f>
        <v>1</v>
      </c>
      <c r="R54" s="20">
        <f>1</f>
        <v>1</v>
      </c>
      <c r="S54" s="20">
        <f>1</f>
        <v>1</v>
      </c>
      <c r="T54" s="20">
        <f>Data[[#This Row],[DUs]]</f>
        <v>276</v>
      </c>
      <c r="U5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4" s="101">
        <f>VLOOKUP(Data[[#This Row],[DEVELOPMENT]],'[2]NYCHA_Development_Data_Book 201'!$B$2:$E$324,3,FALSE)</f>
        <v>324</v>
      </c>
      <c r="Y54" s="20" t="s">
        <v>473</v>
      </c>
      <c r="Z54" s="20">
        <f>IFERROR(VLOOKUP(Data[[#This Row],[TDS]],'[7]Static Ext by TDS'!$A$5:$E$120,2,FALSE),0)</f>
        <v>0</v>
      </c>
      <c r="AA54" s="20">
        <f>IFERROR(VLOOKUP(Data[[#This Row],[TDS]],'[7]Static Int by TDS'!$A$6:$O$305,2,FALSE),0)</f>
        <v>0</v>
      </c>
      <c r="AB54" s="20"/>
      <c r="AC54" s="20"/>
      <c r="AD54" s="20">
        <f>IFERROR(VLOOKUP(Data[[#This Row],[TDS]],'[7]Static Ext by TDS'!$A$5:$P$120,3,FALSE)+VLOOKUP(Data[[#This Row],[TDS]],'[7]Static Ext by TDS'!$A$5:$P$120,6,FALSE),0)</f>
        <v>0</v>
      </c>
      <c r="AE54" s="20">
        <f>IFERROR(VLOOKUP(Data[[#This Row],[TDS]],'[7]Static Int by TDS'!$A$6:$O$305,3,FALSE)+VLOOKUP(Data[[#This Row],[TDS]],'[7]Static Int by TDS'!$A$6:$O$305,6,FALSE),0)</f>
        <v>0</v>
      </c>
      <c r="AF54" s="20" t="e">
        <f>VLOOKUP(Data[[#This Row],[DEVELOPMENT]],[8]Developments!$A$2:$A$312,1,FALSE)</f>
        <v>#N/A</v>
      </c>
    </row>
    <row r="55" spans="1:32" x14ac:dyDescent="0.25">
      <c r="A55" s="17" t="s">
        <v>31</v>
      </c>
      <c r="B55" s="17" t="str">
        <f>VLOOKUP(Data[[#This Row],[DEVELOPMENT]],'[2]NYCHA_Development_Data_Book 201'!$B$2:$AY$324,40,FALSE)</f>
        <v>BRONX</v>
      </c>
      <c r="C55" t="str">
        <f>VLOOKUP(Data[[#This Row],[DEVELOPMENT]],'[3]Cheat-Sheet'!$D$2:$Q$341,2,FALSE)</f>
        <v>BUTLER</v>
      </c>
      <c r="D55" t="str">
        <f>IF(VLOOKUP(Data[[#This Row],[DEVELOPMENT]],'[4]IC Categories'!$A$2:$G$325,3,FALSE)=0,"",VLOOKUP(Data[[#This Row],[DEVELOPMENT]],'[4]IC Categories'!$A$2:$G$325,3,FALSE))</f>
        <v/>
      </c>
      <c r="E55">
        <f>VLOOKUP(Data[[#This Row],[DEVELOPMENT]],'[2]NYCHA_Development_Data_Book 201'!$B$2:$AY$324,21,FALSE)</f>
        <v>6</v>
      </c>
      <c r="F55">
        <f>VLOOKUP(Data[[#This Row],[DEVELOPMENT]],'[2]NYCHA_Development_Data_Book 201'!$B$2:$AY$324,23,FALSE)</f>
        <v>7</v>
      </c>
      <c r="G55">
        <f>VLOOKUP(Data[[#This Row],[DEVELOPMENT]],'[2]NYCHA_Development_Data_Book 201'!$B$2:$AY$324,12,FALSE)</f>
        <v>1476</v>
      </c>
      <c r="H55" t="s">
        <v>472</v>
      </c>
      <c r="I55" t="s">
        <v>475</v>
      </c>
      <c r="J55">
        <f>IFERROR(VLOOKUP(Data[[#This Row],[DEVELOPMENT]],[5]!Table1[[DEVELOPMENTS]:[Installation Date of Exterior Compactor]],4,FALSE),0)</f>
        <v>0</v>
      </c>
      <c r="K55" s="20">
        <f>IFERROR(VLOOKUP(Data[[#This Row],[DEVELOPMENT]],[5]!Table1[[DEVELOPMENTS]:[Installation Date of Exterior Compactor]],7,FALSE),0)</f>
        <v>0</v>
      </c>
      <c r="L55" s="42" t="str">
        <f>IF(Data[[#This Row],['# Interior Compactors]]=0,"",VLOOKUP(Data[[#This Row],[DEVELOPMENT]],[5]!Table1[[DEVELOPMENTS]:[Installation Date of Exterior Compactor]],5,FALSE))</f>
        <v/>
      </c>
      <c r="M55" s="43" t="str">
        <f>IF(Data[[#This Row],['# Exterior Compactors]]=0,"",VLOOKUP(Data[[#This Row],[DEVELOPMENT]],[5]!Table1[[DEVELOPMENTS]:[Installation Date of Exterior Compactor]],8,FALSE))</f>
        <v/>
      </c>
      <c r="N55">
        <f>Data[[#This Row],['# Interior Compactors]]</f>
        <v>0</v>
      </c>
      <c r="O55" s="20">
        <f>1</f>
        <v>1</v>
      </c>
      <c r="P55" s="20">
        <f>1</f>
        <v>1</v>
      </c>
      <c r="Q55" s="20">
        <f>1</f>
        <v>1</v>
      </c>
      <c r="R55" s="20">
        <f>1</f>
        <v>1</v>
      </c>
      <c r="S55" s="20">
        <f>1</f>
        <v>1</v>
      </c>
      <c r="T55" s="20">
        <f>Data[[#This Row],[DUs]]</f>
        <v>1476</v>
      </c>
      <c r="U5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5" s="101">
        <f>VLOOKUP(Data[[#This Row],[DEVELOPMENT]],'[2]NYCHA_Development_Data_Book 201'!$B$2:$E$324,3,FALSE)</f>
        <v>113</v>
      </c>
      <c r="Y55" s="20"/>
      <c r="Z55" s="20">
        <f>IFERROR(VLOOKUP(Data[[#This Row],[TDS]],'[7]Static Ext by TDS'!$A$5:$E$120,2,FALSE),0)</f>
        <v>2</v>
      </c>
      <c r="AA55" s="20">
        <f>IFERROR(VLOOKUP(Data[[#This Row],[TDS]],'[7]Static Int by TDS'!$A$6:$O$305,2,FALSE),0)</f>
        <v>12</v>
      </c>
      <c r="AB55" s="20"/>
      <c r="AC55" s="20"/>
      <c r="AD55" s="20">
        <f>IFERROR(VLOOKUP(Data[[#This Row],[TDS]],'[7]Static Ext by TDS'!$A$5:$P$120,3,FALSE)+VLOOKUP(Data[[#This Row],[TDS]],'[7]Static Ext by TDS'!$A$5:$P$120,6,FALSE),0)</f>
        <v>2</v>
      </c>
      <c r="AE55" s="20">
        <f>IFERROR(VLOOKUP(Data[[#This Row],[TDS]],'[7]Static Int by TDS'!$A$6:$O$305,3,FALSE)+VLOOKUP(Data[[#This Row],[TDS]],'[7]Static Int by TDS'!$A$6:$O$305,6,FALSE),0)</f>
        <v>12</v>
      </c>
      <c r="AF55" s="20" t="str">
        <f>VLOOKUP(Data[[#This Row],[DEVELOPMENT]],[8]Developments!$A$2:$A$312,1,FALSE)</f>
        <v>BUTLER</v>
      </c>
    </row>
    <row r="56" spans="1:32" x14ac:dyDescent="0.25">
      <c r="A56" s="17" t="s">
        <v>60</v>
      </c>
      <c r="B56" s="17" t="str">
        <f>VLOOKUP(Data[[#This Row],[DEVELOPMENT]],'[2]NYCHA_Development_Data_Book 201'!$B$2:$AY$324,40,FALSE)</f>
        <v>MANHATTAN</v>
      </c>
      <c r="C56" t="str">
        <f>VLOOKUP(Data[[#This Row],[DEVELOPMENT]],'[3]Cheat-Sheet'!$D$2:$Q$341,2,FALSE)</f>
        <v>LOWER EAST SIDE CONSOLIDATED</v>
      </c>
      <c r="D56">
        <f>IF(VLOOKUP(Data[[#This Row],[DEVELOPMENT]],'[4]IC Categories'!$A$2:$G$325,3,FALSE)=0,"",VLOOKUP(Data[[#This Row],[DEVELOPMENT]],'[4]IC Categories'!$A$2:$G$325,3,FALSE))</f>
        <v>2026</v>
      </c>
      <c r="E56">
        <f>VLOOKUP(Data[[#This Row],[DEVELOPMENT]],'[2]NYCHA_Development_Data_Book 201'!$B$2:$AY$324,21,FALSE)</f>
        <v>2</v>
      </c>
      <c r="F56">
        <f>VLOOKUP(Data[[#This Row],[DEVELOPMENT]],'[2]NYCHA_Development_Data_Book 201'!$B$2:$AY$324,23,FALSE)</f>
        <v>3</v>
      </c>
      <c r="G56">
        <f>VLOOKUP(Data[[#This Row],[DEVELOPMENT]],'[2]NYCHA_Development_Data_Book 201'!$B$2:$AY$324,12,FALSE)</f>
        <v>224</v>
      </c>
      <c r="H56" t="s">
        <v>472</v>
      </c>
      <c r="I56" t="s">
        <v>475</v>
      </c>
      <c r="J56">
        <f>IFERROR(VLOOKUP(Data[[#This Row],[DEVELOPMENT]],[5]!Table1[[DEVELOPMENTS]:[Installation Date of Exterior Compactor]],4,FALSE),0)</f>
        <v>0</v>
      </c>
      <c r="K56" s="20">
        <f>IFERROR(VLOOKUP(Data[[#This Row],[DEVELOPMENT]],[5]!Table1[[DEVELOPMENTS]:[Installation Date of Exterior Compactor]],7,FALSE),0)</f>
        <v>0</v>
      </c>
      <c r="L56" s="42" t="str">
        <f>IF(Data[[#This Row],['# Interior Compactors]]=0,"",VLOOKUP(Data[[#This Row],[DEVELOPMENT]],[5]!Table1[[DEVELOPMENTS]:[Installation Date of Exterior Compactor]],5,FALSE))</f>
        <v/>
      </c>
      <c r="M56" s="43" t="str">
        <f>IF(Data[[#This Row],['# Exterior Compactors]]=0,"",VLOOKUP(Data[[#This Row],[DEVELOPMENT]],[5]!Table1[[DEVELOPMENTS]:[Installation Date of Exterior Compactor]],8,FALSE))</f>
        <v/>
      </c>
      <c r="N56">
        <f>Data[[#This Row],['# Interior Compactors]]</f>
        <v>0</v>
      </c>
      <c r="O56" s="20">
        <f>1</f>
        <v>1</v>
      </c>
      <c r="P56" s="20">
        <f>1</f>
        <v>1</v>
      </c>
      <c r="Q56" s="20">
        <f>1</f>
        <v>1</v>
      </c>
      <c r="R56" s="20">
        <f>1</f>
        <v>1</v>
      </c>
      <c r="S56" s="20">
        <f>1</f>
        <v>1</v>
      </c>
      <c r="T56" s="20">
        <f>Data[[#This Row],[DUs]]</f>
        <v>224</v>
      </c>
      <c r="U5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6" s="101">
        <f>VLOOKUP(Data[[#This Row],[DEVELOPMENT]],'[2]NYCHA_Development_Data_Book 201'!$B$2:$E$324,3,FALSE)</f>
        <v>286</v>
      </c>
      <c r="Y56" s="20" t="s">
        <v>473</v>
      </c>
      <c r="Z56" s="20">
        <f>IFERROR(VLOOKUP(Data[[#This Row],[TDS]],'[7]Static Ext by TDS'!$A$5:$E$120,2,FALSE),0)</f>
        <v>0</v>
      </c>
      <c r="AA56" s="20">
        <f>IFERROR(VLOOKUP(Data[[#This Row],[TDS]],'[7]Static Int by TDS'!$A$6:$O$305,2,FALSE),0)</f>
        <v>3</v>
      </c>
      <c r="AB56" s="20"/>
      <c r="AC56" s="20"/>
      <c r="AD56" s="20">
        <f>IFERROR(VLOOKUP(Data[[#This Row],[TDS]],'[7]Static Ext by TDS'!$A$5:$P$120,3,FALSE)+VLOOKUP(Data[[#This Row],[TDS]],'[7]Static Ext by TDS'!$A$5:$P$120,6,FALSE),0)</f>
        <v>0</v>
      </c>
      <c r="AE56" s="20">
        <f>IFERROR(VLOOKUP(Data[[#This Row],[TDS]],'[7]Static Int by TDS'!$A$6:$O$305,3,FALSE)+VLOOKUP(Data[[#This Row],[TDS]],'[7]Static Int by TDS'!$A$6:$O$305,6,FALSE),0)</f>
        <v>3</v>
      </c>
      <c r="AF56" s="20" t="str">
        <f>VLOOKUP(Data[[#This Row],[DEVELOPMENT]],[8]Developments!$A$2:$A$312,1,FALSE)</f>
        <v>CAMPOS PLAZA II</v>
      </c>
    </row>
    <row r="57" spans="1:32" x14ac:dyDescent="0.25">
      <c r="A57" t="s">
        <v>193</v>
      </c>
      <c r="B57" s="20" t="str">
        <f>VLOOKUP(Data[[#This Row],[DEVELOPMENT]],'[2]NYCHA_Development_Data_Book 201'!$B$2:$AY$324,40,FALSE)</f>
        <v>BROOKLYN</v>
      </c>
      <c r="C57" s="20" t="str">
        <f>VLOOKUP(Data[[#This Row],[DEVELOPMENT]],'[3]Cheat-Sheet'!$D$2:$Q$341,2,FALSE)</f>
        <v>CAREY GARDENS</v>
      </c>
      <c r="D57" s="20" t="str">
        <f>IF(VLOOKUP(Data[[#This Row],[DEVELOPMENT]],'[4]IC Categories'!$A$2:$G$325,3,FALSE)=0,"",VLOOKUP(Data[[#This Row],[DEVELOPMENT]],'[4]IC Categories'!$A$2:$G$325,3,FALSE))</f>
        <v/>
      </c>
      <c r="E57" s="20">
        <f>VLOOKUP(Data[[#This Row],[DEVELOPMENT]],'[2]NYCHA_Development_Data_Book 201'!$B$2:$AY$324,21,FALSE)</f>
        <v>3</v>
      </c>
      <c r="F57" s="20">
        <f>VLOOKUP(Data[[#This Row],[DEVELOPMENT]],'[2]NYCHA_Development_Data_Book 201'!$B$2:$AY$324,23,FALSE)</f>
        <v>5</v>
      </c>
      <c r="G57" s="20">
        <f>VLOOKUP(Data[[#This Row],[DEVELOPMENT]],'[2]NYCHA_Development_Data_Book 201'!$B$2:$AY$324,12,FALSE)</f>
        <v>682</v>
      </c>
      <c r="J57">
        <f>IFERROR(VLOOKUP(Data[[#This Row],[DEVELOPMENT]],[5]!Table1[[DEVELOPMENTS]:[Installation Date of Exterior Compactor]],4,FALSE),0)</f>
        <v>0</v>
      </c>
      <c r="K57" s="20">
        <f>IFERROR(VLOOKUP(Data[[#This Row],[DEVELOPMENT]],[5]!Table1[[DEVELOPMENTS]:[Installation Date of Exterior Compactor]],7,FALSE),0)</f>
        <v>0</v>
      </c>
      <c r="L57" s="42" t="str">
        <f>IF(Data[[#This Row],['# Interior Compactors]]=0,"",VLOOKUP(Data[[#This Row],[DEVELOPMENT]],[5]!Table1[[DEVELOPMENTS]:[Installation Date of Exterior Compactor]],5,FALSE))</f>
        <v/>
      </c>
      <c r="M57" s="43" t="str">
        <f>IF(Data[[#This Row],['# Exterior Compactors]]=0,"",VLOOKUP(Data[[#This Row],[DEVELOPMENT]],[5]!Table1[[DEVELOPMENTS]:[Installation Date of Exterior Compactor]],8,FALSE))</f>
        <v/>
      </c>
      <c r="N57" s="20">
        <f>Data[[#This Row],['# Interior Compactors]]</f>
        <v>0</v>
      </c>
      <c r="O57" s="20">
        <f>1</f>
        <v>1</v>
      </c>
      <c r="P57" s="20">
        <f>1</f>
        <v>1</v>
      </c>
      <c r="Q57" s="20">
        <f>1</f>
        <v>1</v>
      </c>
      <c r="R57" s="20">
        <f>1</f>
        <v>1</v>
      </c>
      <c r="S57" s="20">
        <f>1</f>
        <v>1</v>
      </c>
      <c r="T57" s="20">
        <f>Data[[#This Row],[DUs]]</f>
        <v>682</v>
      </c>
      <c r="U5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7" s="101">
        <f>VLOOKUP(Data[[#This Row],[DEVELOPMENT]],'[2]NYCHA_Development_Data_Book 201'!$B$2:$E$324,3,FALSE)</f>
        <v>166</v>
      </c>
      <c r="Y57" s="20"/>
      <c r="Z57" s="20">
        <f>IFERROR(VLOOKUP(Data[[#This Row],[TDS]],'[7]Static Ext by TDS'!$A$5:$E$120,2,FALSE),0)</f>
        <v>2</v>
      </c>
      <c r="AA57" s="20">
        <f>IFERROR(VLOOKUP(Data[[#This Row],[TDS]],'[7]Static Int by TDS'!$A$6:$O$305,2,FALSE),0)</f>
        <v>3</v>
      </c>
      <c r="AB57" s="20"/>
      <c r="AC57" s="20"/>
      <c r="AD57" s="20">
        <f>IFERROR(VLOOKUP(Data[[#This Row],[TDS]],'[7]Static Ext by TDS'!$A$5:$P$120,3,FALSE)+VLOOKUP(Data[[#This Row],[TDS]],'[7]Static Ext by TDS'!$A$5:$P$120,6,FALSE),0)</f>
        <v>2</v>
      </c>
      <c r="AE57" s="20">
        <f>IFERROR(VLOOKUP(Data[[#This Row],[TDS]],'[7]Static Int by TDS'!$A$6:$O$305,3,FALSE)+VLOOKUP(Data[[#This Row],[TDS]],'[7]Static Int by TDS'!$A$6:$O$305,6,FALSE),0)</f>
        <v>3</v>
      </c>
      <c r="AF57" s="20" t="str">
        <f>VLOOKUP(Data[[#This Row],[DEVELOPMENT]],[8]Developments!$A$2:$A$312,1,FALSE)</f>
        <v>CAREY GARDENS</v>
      </c>
    </row>
    <row r="58" spans="1:32" x14ac:dyDescent="0.25">
      <c r="A58" t="s">
        <v>194</v>
      </c>
      <c r="B58" s="20" t="str">
        <f>VLOOKUP(Data[[#This Row],[DEVELOPMENT]],'[2]NYCHA_Development_Data_Book 201'!$B$2:$AY$324,40,FALSE)</f>
        <v>QUEENS</v>
      </c>
      <c r="C58" s="20" t="str">
        <f>VLOOKUP(Data[[#This Row],[DEVELOPMENT]],'[3]Cheat-Sheet'!$D$2:$Q$341,2,FALSE)</f>
        <v>HAMMEL</v>
      </c>
      <c r="D58" s="20" t="str">
        <f>IF(VLOOKUP(Data[[#This Row],[DEVELOPMENT]],'[4]IC Categories'!$A$2:$G$325,3,FALSE)=0,"",VLOOKUP(Data[[#This Row],[DEVELOPMENT]],'[4]IC Categories'!$A$2:$G$325,3,FALSE))</f>
        <v/>
      </c>
      <c r="E58" s="20">
        <f>VLOOKUP(Data[[#This Row],[DEVELOPMENT]],'[2]NYCHA_Development_Data_Book 201'!$B$2:$AY$324,21,FALSE)</f>
        <v>1</v>
      </c>
      <c r="F58" s="20">
        <f>VLOOKUP(Data[[#This Row],[DEVELOPMENT]],'[2]NYCHA_Development_Data_Book 201'!$B$2:$AY$324,23,FALSE)</f>
        <v>1</v>
      </c>
      <c r="G58" s="20">
        <f>VLOOKUP(Data[[#This Row],[DEVELOPMENT]],'[2]NYCHA_Development_Data_Book 201'!$B$2:$AY$324,12,FALSE)</f>
        <v>169</v>
      </c>
      <c r="J58">
        <f>IFERROR(VLOOKUP(Data[[#This Row],[DEVELOPMENT]],[5]!Table1[[DEVELOPMENTS]:[Installation Date of Exterior Compactor]],4,FALSE),0)</f>
        <v>0</v>
      </c>
      <c r="K58" s="20">
        <f>IFERROR(VLOOKUP(Data[[#This Row],[DEVELOPMENT]],[5]!Table1[[DEVELOPMENTS]:[Installation Date of Exterior Compactor]],7,FALSE),0)</f>
        <v>0</v>
      </c>
      <c r="L58" s="42" t="str">
        <f>IF(Data[[#This Row],['# Interior Compactors]]=0,"",VLOOKUP(Data[[#This Row],[DEVELOPMENT]],[5]!Table1[[DEVELOPMENTS]:[Installation Date of Exterior Compactor]],5,FALSE))</f>
        <v/>
      </c>
      <c r="M58" s="43" t="str">
        <f>IF(Data[[#This Row],['# Exterior Compactors]]=0,"",VLOOKUP(Data[[#This Row],[DEVELOPMENT]],[5]!Table1[[DEVELOPMENTS]:[Installation Date of Exterior Compactor]],8,FALSE))</f>
        <v/>
      </c>
      <c r="N58" s="20">
        <f>Data[[#This Row],['# Interior Compactors]]</f>
        <v>0</v>
      </c>
      <c r="O58" s="20">
        <f>1</f>
        <v>1</v>
      </c>
      <c r="P58" s="20">
        <f>1</f>
        <v>1</v>
      </c>
      <c r="Q58" s="20">
        <f>1</f>
        <v>1</v>
      </c>
      <c r="R58" s="20">
        <f>1</f>
        <v>1</v>
      </c>
      <c r="S58" s="20">
        <f>1</f>
        <v>1</v>
      </c>
      <c r="T58" s="20">
        <f>Data[[#This Row],[DUs]]</f>
        <v>169</v>
      </c>
      <c r="U5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8" s="101">
        <f>VLOOKUP(Data[[#This Row],[DEVELOPMENT]],'[2]NYCHA_Development_Data_Book 201'!$B$2:$E$324,3,FALSE)</f>
        <v>164</v>
      </c>
      <c r="Y58" s="20"/>
      <c r="Z58" s="20">
        <f>IFERROR(VLOOKUP(Data[[#This Row],[TDS]],'[7]Static Ext by TDS'!$A$5:$E$120,2,FALSE),0)</f>
        <v>0</v>
      </c>
      <c r="AA58" s="20">
        <f>IFERROR(VLOOKUP(Data[[#This Row],[TDS]],'[7]Static Int by TDS'!$A$6:$O$305,2,FALSE),0)</f>
        <v>1</v>
      </c>
      <c r="AB58" s="20"/>
      <c r="AC58" s="20"/>
      <c r="AD58" s="20">
        <f>IFERROR(VLOOKUP(Data[[#This Row],[TDS]],'[7]Static Ext by TDS'!$A$5:$P$120,3,FALSE)+VLOOKUP(Data[[#This Row],[TDS]],'[7]Static Ext by TDS'!$A$5:$P$120,6,FALSE),0)</f>
        <v>0</v>
      </c>
      <c r="AE58" s="20">
        <f>IFERROR(VLOOKUP(Data[[#This Row],[TDS]],'[7]Static Int by TDS'!$A$6:$O$305,3,FALSE)+VLOOKUP(Data[[#This Row],[TDS]],'[7]Static Int by TDS'!$A$6:$O$305,6,FALSE),0)</f>
        <v>1</v>
      </c>
      <c r="AF58" s="20" t="str">
        <f>VLOOKUP(Data[[#This Row],[DEVELOPMENT]],[8]Developments!$A$2:$A$312,1,FALSE)</f>
        <v>CARLETON MANOR</v>
      </c>
    </row>
    <row r="59" spans="1:32" x14ac:dyDescent="0.25">
      <c r="A59" t="s">
        <v>120</v>
      </c>
      <c r="B59" t="str">
        <f>VLOOKUP(Data[[#This Row],[DEVELOPMENT]],'[2]NYCHA_Development_Data_Book 201'!$B$2:$AY$324,40,FALSE)</f>
        <v>MANHATTAN</v>
      </c>
      <c r="C59" t="str">
        <f>VLOOKUP(Data[[#This Row],[DEVELOPMENT]],'[3]Cheat-Sheet'!$D$2:$Q$341,2,FALSE)</f>
        <v>CARVER</v>
      </c>
      <c r="D59" t="str">
        <f>IF(VLOOKUP(Data[[#This Row],[DEVELOPMENT]],'[4]IC Categories'!$A$2:$G$325,3,FALSE)=0,"",VLOOKUP(Data[[#This Row],[DEVELOPMENT]],'[4]IC Categories'!$A$2:$G$325,3,FALSE))</f>
        <v/>
      </c>
      <c r="E59">
        <f>VLOOKUP(Data[[#This Row],[DEVELOPMENT]],'[2]NYCHA_Development_Data_Book 201'!$B$2:$AY$324,21,FALSE)</f>
        <v>13</v>
      </c>
      <c r="F59">
        <f>VLOOKUP(Data[[#This Row],[DEVELOPMENT]],'[2]NYCHA_Development_Data_Book 201'!$B$2:$AY$324,23,FALSE)</f>
        <v>13</v>
      </c>
      <c r="G59">
        <f>VLOOKUP(Data[[#This Row],[DEVELOPMENT]],'[2]NYCHA_Development_Data_Book 201'!$B$2:$AY$324,12,FALSE)</f>
        <v>1244</v>
      </c>
      <c r="H59" t="s">
        <v>470</v>
      </c>
      <c r="I59" t="s">
        <v>475</v>
      </c>
      <c r="J59">
        <f>IFERROR(VLOOKUP(Data[[#This Row],[DEVELOPMENT]],[5]!Table1[[DEVELOPMENTS]:[Installation Date of Exterior Compactor]],4,FALSE),0)</f>
        <v>0</v>
      </c>
      <c r="K59" s="20">
        <f>IFERROR(VLOOKUP(Data[[#This Row],[DEVELOPMENT]],[5]!Table1[[DEVELOPMENTS]:[Installation Date of Exterior Compactor]],7,FALSE),0)</f>
        <v>0</v>
      </c>
      <c r="L59" s="42" t="str">
        <f>IF(Data[[#This Row],['# Interior Compactors]]=0,"",VLOOKUP(Data[[#This Row],[DEVELOPMENT]],[5]!Table1[[DEVELOPMENTS]:[Installation Date of Exterior Compactor]],5,FALSE))</f>
        <v/>
      </c>
      <c r="M59" s="43" t="str">
        <f>IF(Data[[#This Row],['# Exterior Compactors]]=0,"",VLOOKUP(Data[[#This Row],[DEVELOPMENT]],[5]!Table1[[DEVELOPMENTS]:[Installation Date of Exterior Compactor]],8,FALSE))</f>
        <v/>
      </c>
      <c r="N59">
        <f>Data[[#This Row],['# Interior Compactors]]</f>
        <v>0</v>
      </c>
      <c r="O59" s="20">
        <f>1</f>
        <v>1</v>
      </c>
      <c r="P59" s="20">
        <f>1</f>
        <v>1</v>
      </c>
      <c r="Q59" s="20">
        <f>1</f>
        <v>1</v>
      </c>
      <c r="R59" s="20">
        <f>1</f>
        <v>1</v>
      </c>
      <c r="S59" s="20">
        <f>1</f>
        <v>1</v>
      </c>
      <c r="T59" s="20">
        <f>Data[[#This Row],[DUs]]</f>
        <v>1244</v>
      </c>
      <c r="U5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5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5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59" s="101">
        <f>VLOOKUP(Data[[#This Row],[DEVELOPMENT]],'[2]NYCHA_Development_Data_Book 201'!$B$2:$E$324,3,FALSE)</f>
        <v>58</v>
      </c>
      <c r="Y59" s="20"/>
      <c r="Z59" s="20">
        <f>IFERROR(VLOOKUP(Data[[#This Row],[TDS]],'[7]Static Ext by TDS'!$A$5:$E$120,2,FALSE),0)</f>
        <v>3</v>
      </c>
      <c r="AA59" s="20">
        <f>IFERROR(VLOOKUP(Data[[#This Row],[TDS]],'[7]Static Int by TDS'!$A$6:$O$305,2,FALSE),0)</f>
        <v>13</v>
      </c>
      <c r="AB59" s="20"/>
      <c r="AC59" s="20"/>
      <c r="AD59" s="20">
        <f>IFERROR(VLOOKUP(Data[[#This Row],[TDS]],'[7]Static Ext by TDS'!$A$5:$P$120,3,FALSE)+VLOOKUP(Data[[#This Row],[TDS]],'[7]Static Ext by TDS'!$A$5:$P$120,6,FALSE),0)</f>
        <v>3</v>
      </c>
      <c r="AE59" s="20">
        <f>IFERROR(VLOOKUP(Data[[#This Row],[TDS]],'[7]Static Int by TDS'!$A$6:$O$305,3,FALSE)+VLOOKUP(Data[[#This Row],[TDS]],'[7]Static Int by TDS'!$A$6:$O$305,6,FALSE),0)</f>
        <v>13</v>
      </c>
      <c r="AF59" s="20" t="str">
        <f>VLOOKUP(Data[[#This Row],[DEVELOPMENT]],[8]Developments!$A$2:$A$312,1,FALSE)</f>
        <v>CARVER</v>
      </c>
    </row>
    <row r="60" spans="1:32" x14ac:dyDescent="0.25">
      <c r="A60" t="s">
        <v>195</v>
      </c>
      <c r="B60" s="20" t="str">
        <f>VLOOKUP(Data[[#This Row],[DEVELOPMENT]],'[2]NYCHA_Development_Data_Book 201'!$B$2:$AY$324,40,FALSE)</f>
        <v>STATEN ISLAND</v>
      </c>
      <c r="C60" s="20" t="str">
        <f>VLOOKUP(Data[[#This Row],[DEVELOPMENT]],'[3]Cheat-Sheet'!$D$2:$Q$341,2,FALSE)</f>
        <v>RICHMOND TERRACE</v>
      </c>
      <c r="D60" s="20" t="str">
        <f>IF(VLOOKUP(Data[[#This Row],[DEVELOPMENT]],'[4]IC Categories'!$A$2:$G$325,3,FALSE)=0,"",VLOOKUP(Data[[#This Row],[DEVELOPMENT]],'[4]IC Categories'!$A$2:$G$325,3,FALSE))</f>
        <v/>
      </c>
      <c r="E60" s="20">
        <f>VLOOKUP(Data[[#This Row],[DEVELOPMENT]],'[2]NYCHA_Development_Data_Book 201'!$B$2:$AY$324,21,FALSE)</f>
        <v>4</v>
      </c>
      <c r="F60" s="20">
        <f>VLOOKUP(Data[[#This Row],[DEVELOPMENT]],'[2]NYCHA_Development_Data_Book 201'!$B$2:$AY$324,23,FALSE)</f>
        <v>5</v>
      </c>
      <c r="G60" s="20">
        <f>VLOOKUP(Data[[#This Row],[DEVELOPMENT]],'[2]NYCHA_Development_Data_Book 201'!$B$2:$AY$324,12,FALSE)</f>
        <v>378</v>
      </c>
      <c r="J60">
        <f>IFERROR(VLOOKUP(Data[[#This Row],[DEVELOPMENT]],[5]!Table1[[DEVELOPMENTS]:[Installation Date of Exterior Compactor]],4,FALSE),0)</f>
        <v>0</v>
      </c>
      <c r="K60" s="20">
        <f>IFERROR(VLOOKUP(Data[[#This Row],[DEVELOPMENT]],[5]!Table1[[DEVELOPMENTS]:[Installation Date of Exterior Compactor]],7,FALSE),0)</f>
        <v>0</v>
      </c>
      <c r="L60" s="42" t="str">
        <f>IF(Data[[#This Row],['# Interior Compactors]]=0,"",VLOOKUP(Data[[#This Row],[DEVELOPMENT]],[5]!Table1[[DEVELOPMENTS]:[Installation Date of Exterior Compactor]],5,FALSE))</f>
        <v/>
      </c>
      <c r="M60" s="43" t="str">
        <f>IF(Data[[#This Row],['# Exterior Compactors]]=0,"",VLOOKUP(Data[[#This Row],[DEVELOPMENT]],[5]!Table1[[DEVELOPMENTS]:[Installation Date of Exterior Compactor]],8,FALSE))</f>
        <v/>
      </c>
      <c r="N60" s="20">
        <f>Data[[#This Row],['# Interior Compactors]]</f>
        <v>0</v>
      </c>
      <c r="O60" s="20">
        <f>1</f>
        <v>1</v>
      </c>
      <c r="P60" s="20">
        <f>1</f>
        <v>1</v>
      </c>
      <c r="Q60" s="20">
        <f>1</f>
        <v>1</v>
      </c>
      <c r="R60" s="20">
        <f>1</f>
        <v>1</v>
      </c>
      <c r="S60" s="20">
        <f>1</f>
        <v>1</v>
      </c>
      <c r="T60" s="20">
        <f>Data[[#This Row],[DUs]]</f>
        <v>378</v>
      </c>
      <c r="U6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0" s="101">
        <f>VLOOKUP(Data[[#This Row],[DEVELOPMENT]],'[2]NYCHA_Development_Data_Book 201'!$B$2:$E$324,3,FALSE)</f>
        <v>206</v>
      </c>
      <c r="Y60" s="20"/>
      <c r="Z60" s="20">
        <f>IFERROR(VLOOKUP(Data[[#This Row],[TDS]],'[7]Static Ext by TDS'!$A$5:$E$120,2,FALSE),0)</f>
        <v>1</v>
      </c>
      <c r="AA60" s="20">
        <f>IFERROR(VLOOKUP(Data[[#This Row],[TDS]],'[7]Static Int by TDS'!$A$6:$O$305,2,FALSE),0)</f>
        <v>4</v>
      </c>
      <c r="AB60" s="20"/>
      <c r="AC60" s="20"/>
      <c r="AD60" s="20">
        <f>IFERROR(VLOOKUP(Data[[#This Row],[TDS]],'[7]Static Ext by TDS'!$A$5:$P$120,3,FALSE)+VLOOKUP(Data[[#This Row],[TDS]],'[7]Static Ext by TDS'!$A$5:$P$120,6,FALSE),0)</f>
        <v>1</v>
      </c>
      <c r="AE60" s="20">
        <f>IFERROR(VLOOKUP(Data[[#This Row],[TDS]],'[7]Static Int by TDS'!$A$6:$O$305,3,FALSE)+VLOOKUP(Data[[#This Row],[TDS]],'[7]Static Int by TDS'!$A$6:$O$305,6,FALSE),0)</f>
        <v>4</v>
      </c>
      <c r="AF60" s="20" t="str">
        <f>VLOOKUP(Data[[#This Row],[DEVELOPMENT]],[8]Developments!$A$2:$A$312,1,FALSE)</f>
        <v>CASSIDY-LAFAYETTE</v>
      </c>
    </row>
    <row r="61" spans="1:32" x14ac:dyDescent="0.25">
      <c r="A61" t="s">
        <v>196</v>
      </c>
      <c r="B61" s="20" t="str">
        <f>VLOOKUP(Data[[#This Row],[DEVELOPMENT]],'[2]NYCHA_Development_Data_Book 201'!$B$2:$AY$324,40,FALSE)</f>
        <v>BRONX</v>
      </c>
      <c r="C61" s="20" t="str">
        <f>VLOOKUP(Data[[#This Row],[DEVELOPMENT]],'[3]Cheat-Sheet'!$D$2:$Q$341,2,FALSE)</f>
        <v>CASTLE HILL</v>
      </c>
      <c r="D61" s="20" t="str">
        <f>IF(VLOOKUP(Data[[#This Row],[DEVELOPMENT]],'[4]IC Categories'!$A$2:$G$325,3,FALSE)=0,"",VLOOKUP(Data[[#This Row],[DEVELOPMENT]],'[4]IC Categories'!$A$2:$G$325,3,FALSE))</f>
        <v/>
      </c>
      <c r="E61" s="20">
        <f>VLOOKUP(Data[[#This Row],[DEVELOPMENT]],'[2]NYCHA_Development_Data_Book 201'!$B$2:$AY$324,21,FALSE)</f>
        <v>14</v>
      </c>
      <c r="F61" s="20">
        <f>VLOOKUP(Data[[#This Row],[DEVELOPMENT]],'[2]NYCHA_Development_Data_Book 201'!$B$2:$AY$324,23,FALSE)</f>
        <v>14</v>
      </c>
      <c r="G61" s="20">
        <f>VLOOKUP(Data[[#This Row],[DEVELOPMENT]],'[2]NYCHA_Development_Data_Book 201'!$B$2:$AY$324,12,FALSE)</f>
        <v>2022</v>
      </c>
      <c r="J61">
        <f>IFERROR(VLOOKUP(Data[[#This Row],[DEVELOPMENT]],[5]!Table1[[DEVELOPMENTS]:[Installation Date of Exterior Compactor]],4,FALSE),0)</f>
        <v>0</v>
      </c>
      <c r="K61" s="20">
        <f>IFERROR(VLOOKUP(Data[[#This Row],[DEVELOPMENT]],[5]!Table1[[DEVELOPMENTS]:[Installation Date of Exterior Compactor]],7,FALSE),0)</f>
        <v>0</v>
      </c>
      <c r="L61" s="42" t="str">
        <f>IF(Data[[#This Row],['# Interior Compactors]]=0,"",VLOOKUP(Data[[#This Row],[DEVELOPMENT]],[5]!Table1[[DEVELOPMENTS]:[Installation Date of Exterior Compactor]],5,FALSE))</f>
        <v/>
      </c>
      <c r="M61" s="43" t="str">
        <f>IF(Data[[#This Row],['# Exterior Compactors]]=0,"",VLOOKUP(Data[[#This Row],[DEVELOPMENT]],[5]!Table1[[DEVELOPMENTS]:[Installation Date of Exterior Compactor]],8,FALSE))</f>
        <v/>
      </c>
      <c r="N61" s="20">
        <f>Data[[#This Row],['# Interior Compactors]]</f>
        <v>0</v>
      </c>
      <c r="O61" s="20">
        <f>1</f>
        <v>1</v>
      </c>
      <c r="P61" s="20">
        <f>1</f>
        <v>1</v>
      </c>
      <c r="Q61" s="20">
        <f>1</f>
        <v>1</v>
      </c>
      <c r="R61" s="20">
        <f>1</f>
        <v>1</v>
      </c>
      <c r="S61" s="20">
        <f>1</f>
        <v>1</v>
      </c>
      <c r="T61" s="20">
        <f>Data[[#This Row],[DUs]]</f>
        <v>2022</v>
      </c>
      <c r="U6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1" s="101">
        <f>VLOOKUP(Data[[#This Row],[DEVELOPMENT]],'[2]NYCHA_Development_Data_Book 201'!$B$2:$E$324,3,FALSE)</f>
        <v>80</v>
      </c>
      <c r="Y61" s="20"/>
      <c r="Z61" s="20">
        <f>IFERROR(VLOOKUP(Data[[#This Row],[TDS]],'[7]Static Ext by TDS'!$A$5:$E$120,2,FALSE),0)</f>
        <v>4</v>
      </c>
      <c r="AA61" s="20">
        <f>IFERROR(VLOOKUP(Data[[#This Row],[TDS]],'[7]Static Int by TDS'!$A$6:$O$305,2,FALSE),0)</f>
        <v>14</v>
      </c>
      <c r="AB61" s="20"/>
      <c r="AC61" s="20"/>
      <c r="AD61" s="20">
        <f>IFERROR(VLOOKUP(Data[[#This Row],[TDS]],'[7]Static Ext by TDS'!$A$5:$P$120,3,FALSE)+VLOOKUP(Data[[#This Row],[TDS]],'[7]Static Ext by TDS'!$A$5:$P$120,6,FALSE),0)</f>
        <v>4</v>
      </c>
      <c r="AE61" s="20">
        <f>IFERROR(VLOOKUP(Data[[#This Row],[TDS]],'[7]Static Int by TDS'!$A$6:$O$305,3,FALSE)+VLOOKUP(Data[[#This Row],[TDS]],'[7]Static Int by TDS'!$A$6:$O$305,6,FALSE),0)</f>
        <v>14</v>
      </c>
      <c r="AF61" s="20" t="str">
        <f>VLOOKUP(Data[[#This Row],[DEVELOPMENT]],[8]Developments!$A$2:$A$312,1,FALSE)</f>
        <v>CASTLE HILL</v>
      </c>
    </row>
    <row r="62" spans="1:32" x14ac:dyDescent="0.25">
      <c r="A62" t="s">
        <v>197</v>
      </c>
      <c r="B62" s="20" t="str">
        <f>VLOOKUP(Data[[#This Row],[DEVELOPMENT]],'[2]NYCHA_Development_Data_Book 201'!$B$2:$AY$324,40,FALSE)</f>
        <v>MANHATTAN</v>
      </c>
      <c r="C62" s="20" t="str">
        <f>VLOOKUP(Data[[#This Row],[DEVELOPMENT]],'[3]Cheat-Sheet'!$D$2:$Q$341,2,FALSE)</f>
        <v>CHELSEA</v>
      </c>
      <c r="D62" s="20" t="str">
        <f>IF(VLOOKUP(Data[[#This Row],[DEVELOPMENT]],'[4]IC Categories'!$A$2:$G$325,3,FALSE)=0,"",VLOOKUP(Data[[#This Row],[DEVELOPMENT]],'[4]IC Categories'!$A$2:$G$325,3,FALSE))</f>
        <v/>
      </c>
      <c r="E62" s="20">
        <f>VLOOKUP(Data[[#This Row],[DEVELOPMENT]],'[2]NYCHA_Development_Data_Book 201'!$B$2:$AY$324,21,FALSE)</f>
        <v>2</v>
      </c>
      <c r="F62" s="20">
        <f>VLOOKUP(Data[[#This Row],[DEVELOPMENT]],'[2]NYCHA_Development_Data_Book 201'!$B$2:$AY$324,23,FALSE)</f>
        <v>4</v>
      </c>
      <c r="G62" s="20">
        <f>VLOOKUP(Data[[#This Row],[DEVELOPMENT]],'[2]NYCHA_Development_Data_Book 201'!$B$2:$AY$324,12,FALSE)</f>
        <v>425</v>
      </c>
      <c r="J62">
        <f>IFERROR(VLOOKUP(Data[[#This Row],[DEVELOPMENT]],[5]!Table1[[DEVELOPMENTS]:[Installation Date of Exterior Compactor]],4,FALSE),0)</f>
        <v>0</v>
      </c>
      <c r="K62" s="20">
        <f>IFERROR(VLOOKUP(Data[[#This Row],[DEVELOPMENT]],[5]!Table1[[DEVELOPMENTS]:[Installation Date of Exterior Compactor]],7,FALSE),0)</f>
        <v>0</v>
      </c>
      <c r="L62" s="42" t="str">
        <f>IF(Data[[#This Row],['# Interior Compactors]]=0,"",VLOOKUP(Data[[#This Row],[DEVELOPMENT]],[5]!Table1[[DEVELOPMENTS]:[Installation Date of Exterior Compactor]],5,FALSE))</f>
        <v/>
      </c>
      <c r="M62" s="43" t="str">
        <f>IF(Data[[#This Row],['# Exterior Compactors]]=0,"",VLOOKUP(Data[[#This Row],[DEVELOPMENT]],[5]!Table1[[DEVELOPMENTS]:[Installation Date of Exterior Compactor]],8,FALSE))</f>
        <v/>
      </c>
      <c r="N62" s="20">
        <f>Data[[#This Row],['# Interior Compactors]]</f>
        <v>0</v>
      </c>
      <c r="O62" s="20">
        <f>1</f>
        <v>1</v>
      </c>
      <c r="P62" s="20">
        <f>1</f>
        <v>1</v>
      </c>
      <c r="Q62" s="20">
        <f>1</f>
        <v>1</v>
      </c>
      <c r="R62" s="20">
        <f>1</f>
        <v>1</v>
      </c>
      <c r="S62" s="20">
        <f>1</f>
        <v>1</v>
      </c>
      <c r="T62" s="20">
        <f>Data[[#This Row],[DUs]]</f>
        <v>425</v>
      </c>
      <c r="U6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2" s="101">
        <f>VLOOKUP(Data[[#This Row],[DEVELOPMENT]],'[2]NYCHA_Development_Data_Book 201'!$B$2:$E$324,3,FALSE)</f>
        <v>134</v>
      </c>
      <c r="Y62" s="20"/>
      <c r="Z62" s="20">
        <f>IFERROR(VLOOKUP(Data[[#This Row],[TDS]],'[7]Static Ext by TDS'!$A$5:$E$120,2,FALSE),0)</f>
        <v>0</v>
      </c>
      <c r="AA62" s="20">
        <f>IFERROR(VLOOKUP(Data[[#This Row],[TDS]],'[7]Static Int by TDS'!$A$6:$O$305,2,FALSE),0)</f>
        <v>4</v>
      </c>
      <c r="AB62" s="20"/>
      <c r="AC62" s="20"/>
      <c r="AD62" s="20">
        <f>IFERROR(VLOOKUP(Data[[#This Row],[TDS]],'[7]Static Ext by TDS'!$A$5:$P$120,3,FALSE)+VLOOKUP(Data[[#This Row],[TDS]],'[7]Static Ext by TDS'!$A$5:$P$120,6,FALSE),0)</f>
        <v>0</v>
      </c>
      <c r="AE62" s="20">
        <f>IFERROR(VLOOKUP(Data[[#This Row],[TDS]],'[7]Static Int by TDS'!$A$6:$O$305,3,FALSE)+VLOOKUP(Data[[#This Row],[TDS]],'[7]Static Int by TDS'!$A$6:$O$305,6,FALSE),0)</f>
        <v>4</v>
      </c>
      <c r="AF62" s="20" t="str">
        <f>VLOOKUP(Data[[#This Row],[DEVELOPMENT]],[8]Developments!$A$2:$A$312,1,FALSE)</f>
        <v>CHELSEA</v>
      </c>
    </row>
    <row r="63" spans="1:32" x14ac:dyDescent="0.25">
      <c r="A63" t="s">
        <v>198</v>
      </c>
      <c r="B63" s="20" t="str">
        <f>VLOOKUP(Data[[#This Row],[DEVELOPMENT]],'[2]NYCHA_Development_Data_Book 201'!$B$2:$AY$324,40,FALSE)</f>
        <v>MANHATTAN</v>
      </c>
      <c r="C63" s="20" t="str">
        <f>VLOOKUP(Data[[#This Row],[DEVELOPMENT]],'[3]Cheat-Sheet'!$D$2:$Q$341,2,FALSE)</f>
        <v>CHELSEA</v>
      </c>
      <c r="D63" s="20" t="str">
        <f>IF(VLOOKUP(Data[[#This Row],[DEVELOPMENT]],'[4]IC Categories'!$A$2:$G$325,3,FALSE)=0,"",VLOOKUP(Data[[#This Row],[DEVELOPMENT]],'[4]IC Categories'!$A$2:$G$325,3,FALSE))</f>
        <v/>
      </c>
      <c r="E63" s="20">
        <f>VLOOKUP(Data[[#This Row],[DEVELOPMENT]],'[2]NYCHA_Development_Data_Book 201'!$B$2:$AY$324,21,FALSE)</f>
        <v>1</v>
      </c>
      <c r="F63" s="20">
        <f>VLOOKUP(Data[[#This Row],[DEVELOPMENT]],'[2]NYCHA_Development_Data_Book 201'!$B$2:$AY$324,23,FALSE)</f>
        <v>1</v>
      </c>
      <c r="G63" s="20">
        <f>VLOOKUP(Data[[#This Row],[DEVELOPMENT]],'[2]NYCHA_Development_Data_Book 201'!$B$2:$AY$324,12,FALSE)</f>
        <v>96</v>
      </c>
      <c r="J63">
        <f>IFERROR(VLOOKUP(Data[[#This Row],[DEVELOPMENT]],[5]!Table1[[DEVELOPMENTS]:[Installation Date of Exterior Compactor]],4,FALSE),0)</f>
        <v>0</v>
      </c>
      <c r="K63" s="20">
        <f>IFERROR(VLOOKUP(Data[[#This Row],[DEVELOPMENT]],[5]!Table1[[DEVELOPMENTS]:[Installation Date of Exterior Compactor]],7,FALSE),0)</f>
        <v>0</v>
      </c>
      <c r="L63" s="42" t="str">
        <f>IF(Data[[#This Row],['# Interior Compactors]]=0,"",VLOOKUP(Data[[#This Row],[DEVELOPMENT]],[5]!Table1[[DEVELOPMENTS]:[Installation Date of Exterior Compactor]],5,FALSE))</f>
        <v/>
      </c>
      <c r="M63" s="43" t="str">
        <f>IF(Data[[#This Row],['# Exterior Compactors]]=0,"",VLOOKUP(Data[[#This Row],[DEVELOPMENT]],[5]!Table1[[DEVELOPMENTS]:[Installation Date of Exterior Compactor]],8,FALSE))</f>
        <v/>
      </c>
      <c r="N63" s="20">
        <f>Data[[#This Row],['# Interior Compactors]]</f>
        <v>0</v>
      </c>
      <c r="O63" s="20">
        <f>1</f>
        <v>1</v>
      </c>
      <c r="P63" s="20">
        <f>1</f>
        <v>1</v>
      </c>
      <c r="Q63" s="20">
        <f>1</f>
        <v>1</v>
      </c>
      <c r="R63" s="20">
        <f>1</f>
        <v>1</v>
      </c>
      <c r="S63" s="20">
        <f>1</f>
        <v>1</v>
      </c>
      <c r="T63" s="20">
        <f>Data[[#This Row],[DUs]]</f>
        <v>96</v>
      </c>
      <c r="U6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3" s="101">
        <f>VLOOKUP(Data[[#This Row],[DEVELOPMENT]],'[2]NYCHA_Development_Data_Book 201'!$B$2:$E$324,3,FALSE)</f>
        <v>176</v>
      </c>
      <c r="Y63" s="20"/>
      <c r="Z63" s="20">
        <f>IFERROR(VLOOKUP(Data[[#This Row],[TDS]],'[7]Static Ext by TDS'!$A$5:$E$120,2,FALSE),0)</f>
        <v>0</v>
      </c>
      <c r="AA63" s="20">
        <f>IFERROR(VLOOKUP(Data[[#This Row],[TDS]],'[7]Static Int by TDS'!$A$6:$O$305,2,FALSE),0)</f>
        <v>1</v>
      </c>
      <c r="AB63" s="20"/>
      <c r="AC63" s="20"/>
      <c r="AD63" s="20">
        <f>IFERROR(VLOOKUP(Data[[#This Row],[TDS]],'[7]Static Ext by TDS'!$A$5:$P$120,3,FALSE)+VLOOKUP(Data[[#This Row],[TDS]],'[7]Static Ext by TDS'!$A$5:$P$120,6,FALSE),0)</f>
        <v>0</v>
      </c>
      <c r="AE63" s="20">
        <f>IFERROR(VLOOKUP(Data[[#This Row],[TDS]],'[7]Static Int by TDS'!$A$6:$O$305,3,FALSE)+VLOOKUP(Data[[#This Row],[TDS]],'[7]Static Int by TDS'!$A$6:$O$305,6,FALSE),0)</f>
        <v>1</v>
      </c>
      <c r="AF63" s="20" t="str">
        <f>VLOOKUP(Data[[#This Row],[DEVELOPMENT]],[8]Developments!$A$2:$A$312,1,FALSE)</f>
        <v>CHELSEA ADDITION</v>
      </c>
    </row>
    <row r="64" spans="1:32" x14ac:dyDescent="0.25">
      <c r="A64" t="s">
        <v>124</v>
      </c>
      <c r="B64" t="str">
        <f>VLOOKUP(Data[[#This Row],[DEVELOPMENT]],'[2]NYCHA_Development_Data_Book 201'!$B$2:$AY$324,40,FALSE)</f>
        <v>BRONX</v>
      </c>
      <c r="C64" t="str">
        <f>VLOOKUP(Data[[#This Row],[DEVELOPMENT]],'[3]Cheat-Sheet'!$D$2:$Q$341,2,FALSE)</f>
        <v>UNION AVENUE CONSOLIDATED</v>
      </c>
      <c r="D64">
        <f>IF(VLOOKUP(Data[[#This Row],[DEVELOPMENT]],'[4]IC Categories'!$A$2:$G$325,3,FALSE)=0,"",VLOOKUP(Data[[#This Row],[DEVELOPMENT]],'[4]IC Categories'!$A$2:$G$325,3,FALSE))</f>
        <v>2026</v>
      </c>
      <c r="E64">
        <f>VLOOKUP(Data[[#This Row],[DEVELOPMENT]],'[2]NYCHA_Development_Data_Book 201'!$B$2:$AY$324,21,FALSE)</f>
        <v>3</v>
      </c>
      <c r="F64">
        <f>VLOOKUP(Data[[#This Row],[DEVELOPMENT]],'[2]NYCHA_Development_Data_Book 201'!$B$2:$AY$324,23,FALSE)</f>
        <v>13</v>
      </c>
      <c r="G64">
        <f>VLOOKUP(Data[[#This Row],[DEVELOPMENT]],'[2]NYCHA_Development_Data_Book 201'!$B$2:$AY$324,12,FALSE)</f>
        <v>187</v>
      </c>
      <c r="H64" t="s">
        <v>474</v>
      </c>
      <c r="I64" t="s">
        <v>471</v>
      </c>
      <c r="J64">
        <f>IFERROR(VLOOKUP(Data[[#This Row],[DEVELOPMENT]],[5]!Table1[[DEVELOPMENTS]:[Installation Date of Exterior Compactor]],4,FALSE),0)</f>
        <v>0</v>
      </c>
      <c r="K64" s="20">
        <f>IFERROR(VLOOKUP(Data[[#This Row],[DEVELOPMENT]],[5]!Table1[[DEVELOPMENTS]:[Installation Date of Exterior Compactor]],7,FALSE),0)</f>
        <v>0</v>
      </c>
      <c r="L64" s="42" t="str">
        <f>IF(Data[[#This Row],['# Interior Compactors]]=0,"",VLOOKUP(Data[[#This Row],[DEVELOPMENT]],[5]!Table1[[DEVELOPMENTS]:[Installation Date of Exterior Compactor]],5,FALSE))</f>
        <v/>
      </c>
      <c r="M64" s="43" t="str">
        <f>IF(Data[[#This Row],['# Exterior Compactors]]=0,"",VLOOKUP(Data[[#This Row],[DEVELOPMENT]],[5]!Table1[[DEVELOPMENTS]:[Installation Date of Exterior Compactor]],8,FALSE))</f>
        <v/>
      </c>
      <c r="N64">
        <f>Data[[#This Row],['# Interior Compactors]]</f>
        <v>0</v>
      </c>
      <c r="O64" s="20">
        <f>1</f>
        <v>1</v>
      </c>
      <c r="P64" s="20">
        <f>1</f>
        <v>1</v>
      </c>
      <c r="Q64" s="20">
        <f>1</f>
        <v>1</v>
      </c>
      <c r="R64" s="20">
        <f>1</f>
        <v>1</v>
      </c>
      <c r="S64" s="20">
        <f>1</f>
        <v>1</v>
      </c>
      <c r="T64" s="20">
        <f>Data[[#This Row],[DUs]]</f>
        <v>187</v>
      </c>
      <c r="U6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4" s="101">
        <f>VLOOKUP(Data[[#This Row],[DEVELOPMENT]],'[2]NYCHA_Development_Data_Book 201'!$B$2:$E$324,3,FALSE)</f>
        <v>334</v>
      </c>
      <c r="Y64" s="20"/>
      <c r="Z64" s="20">
        <f>IFERROR(VLOOKUP(Data[[#This Row],[TDS]],'[7]Static Ext by TDS'!$A$5:$E$120,2,FALSE),0)</f>
        <v>1</v>
      </c>
      <c r="AA64" s="20">
        <f>IFERROR(VLOOKUP(Data[[#This Row],[TDS]],'[7]Static Int by TDS'!$A$6:$O$305,2,FALSE),0)</f>
        <v>1</v>
      </c>
      <c r="AB64" s="20"/>
      <c r="AC64" s="20"/>
      <c r="AD64" s="20">
        <f>IFERROR(VLOOKUP(Data[[#This Row],[TDS]],'[7]Static Ext by TDS'!$A$5:$P$120,3,FALSE)+VLOOKUP(Data[[#This Row],[TDS]],'[7]Static Ext by TDS'!$A$5:$P$120,6,FALSE),0)</f>
        <v>1</v>
      </c>
      <c r="AE64" s="20">
        <f>IFERROR(VLOOKUP(Data[[#This Row],[TDS]],'[7]Static Int by TDS'!$A$6:$O$305,3,FALSE)+VLOOKUP(Data[[#This Row],[TDS]],'[7]Static Int by TDS'!$A$6:$O$305,6,FALSE),0)</f>
        <v>1</v>
      </c>
      <c r="AF64" s="20" t="str">
        <f>VLOOKUP(Data[[#This Row],[DEVELOPMENT]],[8]Developments!$A$2:$A$312,1,FALSE)</f>
        <v>CLAREMONT PARKWAY-FRANKLIN AVENUE</v>
      </c>
    </row>
    <row r="65" spans="1:32" x14ac:dyDescent="0.25">
      <c r="A65" s="17" t="s">
        <v>143</v>
      </c>
      <c r="B65" s="17" t="str">
        <f>VLOOKUP(Data[[#This Row],[DEVELOPMENT]],'[2]NYCHA_Development_Data_Book 201'!$B$2:$AY$324,40,FALSE)</f>
        <v>BRONX</v>
      </c>
      <c r="C65" t="str">
        <f>VLOOKUP(Data[[#This Row],[DEVELOPMENT]],'[3]Cheat-Sheet'!$D$2:$Q$341,2,FALSE)</f>
        <v>CLAREMONT CONSOLIDATED</v>
      </c>
      <c r="D65">
        <f>IF(VLOOKUP(Data[[#This Row],[DEVELOPMENT]],'[4]IC Categories'!$A$2:$G$325,3,FALSE)=0,"",VLOOKUP(Data[[#This Row],[DEVELOPMENT]],'[4]IC Categories'!$A$2:$G$325,3,FALSE))</f>
        <v>2025</v>
      </c>
      <c r="E65">
        <f>VLOOKUP(Data[[#This Row],[DEVELOPMENT]],'[2]NYCHA_Development_Data_Book 201'!$B$2:$AY$324,21,FALSE)</f>
        <v>6</v>
      </c>
      <c r="F65">
        <f>VLOOKUP(Data[[#This Row],[DEVELOPMENT]],'[2]NYCHA_Development_Data_Book 201'!$B$2:$AY$324,23,FALSE)</f>
        <v>6</v>
      </c>
      <c r="G65">
        <f>VLOOKUP(Data[[#This Row],[DEVELOPMENT]],'[2]NYCHA_Development_Data_Book 201'!$B$2:$AY$324,12,FALSE)</f>
        <v>106</v>
      </c>
      <c r="H65" t="s">
        <v>472</v>
      </c>
      <c r="I65" t="s">
        <v>471</v>
      </c>
      <c r="J65">
        <f>IFERROR(VLOOKUP(Data[[#This Row],[DEVELOPMENT]],[5]!Table1[[DEVELOPMENTS]:[Installation Date of Exterior Compactor]],4,FALSE),0)</f>
        <v>0</v>
      </c>
      <c r="K65" s="20">
        <f>IFERROR(VLOOKUP(Data[[#This Row],[DEVELOPMENT]],[5]!Table1[[DEVELOPMENTS]:[Installation Date of Exterior Compactor]],7,FALSE),0)</f>
        <v>0</v>
      </c>
      <c r="L65" s="42" t="str">
        <f>IF(Data[[#This Row],['# Interior Compactors]]=0,"",VLOOKUP(Data[[#This Row],[DEVELOPMENT]],[5]!Table1[[DEVELOPMENTS]:[Installation Date of Exterior Compactor]],5,FALSE))</f>
        <v/>
      </c>
      <c r="M65" s="43" t="str">
        <f>IF(Data[[#This Row],['# Exterior Compactors]]=0,"",VLOOKUP(Data[[#This Row],[DEVELOPMENT]],[5]!Table1[[DEVELOPMENTS]:[Installation Date of Exterior Compactor]],8,FALSE))</f>
        <v/>
      </c>
      <c r="N65">
        <f>Data[[#This Row],['# Interior Compactors]]</f>
        <v>0</v>
      </c>
      <c r="O65" s="20">
        <f>1</f>
        <v>1</v>
      </c>
      <c r="P65" s="20">
        <f>1</f>
        <v>1</v>
      </c>
      <c r="Q65" s="20">
        <f>1</f>
        <v>1</v>
      </c>
      <c r="R65" s="20">
        <f>1</f>
        <v>1</v>
      </c>
      <c r="S65" s="20">
        <f>1</f>
        <v>1</v>
      </c>
      <c r="T65" s="20">
        <f>Data[[#This Row],[DUs]]</f>
        <v>106</v>
      </c>
      <c r="U6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5" s="101">
        <f>VLOOKUP(Data[[#This Row],[DEVELOPMENT]],'[2]NYCHA_Development_Data_Book 201'!$B$2:$E$324,3,FALSE)</f>
        <v>307</v>
      </c>
      <c r="Y65" s="20"/>
      <c r="Z65" s="20">
        <f>IFERROR(VLOOKUP(Data[[#This Row],[TDS]],'[7]Static Ext by TDS'!$A$5:$E$120,2,FALSE),0)</f>
        <v>0</v>
      </c>
      <c r="AA65" s="20">
        <f>IFERROR(VLOOKUP(Data[[#This Row],[TDS]],'[7]Static Int by TDS'!$A$6:$O$305,2,FALSE),0)</f>
        <v>5</v>
      </c>
      <c r="AB65" s="20"/>
      <c r="AC65" s="20"/>
      <c r="AD65" s="20">
        <f>IFERROR(VLOOKUP(Data[[#This Row],[TDS]],'[7]Static Ext by TDS'!$A$5:$P$120,3,FALSE)+VLOOKUP(Data[[#This Row],[TDS]],'[7]Static Ext by TDS'!$A$5:$P$120,6,FALSE),0)</f>
        <v>0</v>
      </c>
      <c r="AE65" s="20">
        <f>IFERROR(VLOOKUP(Data[[#This Row],[TDS]],'[7]Static Int by TDS'!$A$6:$O$305,3,FALSE)+VLOOKUP(Data[[#This Row],[TDS]],'[7]Static Int by TDS'!$A$6:$O$305,6,FALSE),0)</f>
        <v>5</v>
      </c>
      <c r="AF65" s="20" t="str">
        <f>VLOOKUP(Data[[#This Row],[DEVELOPMENT]],[8]Developments!$A$2:$A$312,1,FALSE)</f>
        <v>CLAREMONT REHAB (GROUP 2)</v>
      </c>
    </row>
    <row r="66" spans="1:32" x14ac:dyDescent="0.25">
      <c r="A66" s="17" t="s">
        <v>32</v>
      </c>
      <c r="B66" s="17" t="str">
        <f>VLOOKUP(Data[[#This Row],[DEVELOPMENT]],'[2]NYCHA_Development_Data_Book 201'!$B$2:$AY$324,40,FALSE)</f>
        <v>BRONX</v>
      </c>
      <c r="C66" t="str">
        <f>VLOOKUP(Data[[#This Row],[DEVELOPMENT]],'[3]Cheat-Sheet'!$D$2:$Q$341,2,FALSE)</f>
        <v>CLAREMONT CONSOLIDATED</v>
      </c>
      <c r="D66">
        <f>IF(VLOOKUP(Data[[#This Row],[DEVELOPMENT]],'[4]IC Categories'!$A$2:$G$325,3,FALSE)=0,"",VLOOKUP(Data[[#This Row],[DEVELOPMENT]],'[4]IC Categories'!$A$2:$G$325,3,FALSE))</f>
        <v>2025</v>
      </c>
      <c r="E66">
        <f>VLOOKUP(Data[[#This Row],[DEVELOPMENT]],'[2]NYCHA_Development_Data_Book 201'!$B$2:$AY$324,21,FALSE)</f>
        <v>5</v>
      </c>
      <c r="F66">
        <f>VLOOKUP(Data[[#This Row],[DEVELOPMENT]],'[2]NYCHA_Development_Data_Book 201'!$B$2:$AY$324,23,FALSE)</f>
        <v>5</v>
      </c>
      <c r="G66">
        <f>VLOOKUP(Data[[#This Row],[DEVELOPMENT]],'[2]NYCHA_Development_Data_Book 201'!$B$2:$AY$324,12,FALSE)</f>
        <v>107</v>
      </c>
      <c r="H66" t="s">
        <v>472</v>
      </c>
      <c r="I66" t="s">
        <v>471</v>
      </c>
      <c r="J66">
        <f>IFERROR(VLOOKUP(Data[[#This Row],[DEVELOPMENT]],[5]!Table1[[DEVELOPMENTS]:[Installation Date of Exterior Compactor]],4,FALSE),0)</f>
        <v>0</v>
      </c>
      <c r="K66" s="20">
        <f>IFERROR(VLOOKUP(Data[[#This Row],[DEVELOPMENT]],[5]!Table1[[DEVELOPMENTS]:[Installation Date of Exterior Compactor]],7,FALSE),0)</f>
        <v>0</v>
      </c>
      <c r="L66" s="42" t="str">
        <f>IF(Data[[#This Row],['# Interior Compactors]]=0,"",VLOOKUP(Data[[#This Row],[DEVELOPMENT]],[5]!Table1[[DEVELOPMENTS]:[Installation Date of Exterior Compactor]],5,FALSE))</f>
        <v/>
      </c>
      <c r="M66" s="43" t="str">
        <f>IF(Data[[#This Row],['# Exterior Compactors]]=0,"",VLOOKUP(Data[[#This Row],[DEVELOPMENT]],[5]!Table1[[DEVELOPMENTS]:[Installation Date of Exterior Compactor]],8,FALSE))</f>
        <v/>
      </c>
      <c r="N66">
        <f>Data[[#This Row],['# Interior Compactors]]</f>
        <v>0</v>
      </c>
      <c r="O66" s="20">
        <f>1</f>
        <v>1</v>
      </c>
      <c r="P66" s="20">
        <f>1</f>
        <v>1</v>
      </c>
      <c r="Q66" s="20">
        <f>1</f>
        <v>1</v>
      </c>
      <c r="R66" s="20">
        <f>1</f>
        <v>1</v>
      </c>
      <c r="S66" s="20">
        <f>1</f>
        <v>1</v>
      </c>
      <c r="T66" s="20">
        <f>Data[[#This Row],[DUs]]</f>
        <v>107</v>
      </c>
      <c r="U6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6" s="101">
        <f>VLOOKUP(Data[[#This Row],[DEVELOPMENT]],'[2]NYCHA_Development_Data_Book 201'!$B$2:$E$324,3,FALSE)</f>
        <v>308</v>
      </c>
      <c r="Y66" s="20"/>
      <c r="Z66" s="20">
        <f>IFERROR(VLOOKUP(Data[[#This Row],[TDS]],'[7]Static Ext by TDS'!$A$5:$E$120,2,FALSE),0)</f>
        <v>0</v>
      </c>
      <c r="AA66" s="20">
        <f>IFERROR(VLOOKUP(Data[[#This Row],[TDS]],'[7]Static Int by TDS'!$A$6:$O$305,2,FALSE),0)</f>
        <v>4</v>
      </c>
      <c r="AB66" s="20"/>
      <c r="AC66" s="20"/>
      <c r="AD66" s="20">
        <f>IFERROR(VLOOKUP(Data[[#This Row],[TDS]],'[7]Static Ext by TDS'!$A$5:$P$120,3,FALSE)+VLOOKUP(Data[[#This Row],[TDS]],'[7]Static Ext by TDS'!$A$5:$P$120,6,FALSE),0)</f>
        <v>0</v>
      </c>
      <c r="AE66" s="20">
        <f>IFERROR(VLOOKUP(Data[[#This Row],[TDS]],'[7]Static Int by TDS'!$A$6:$O$305,3,FALSE)+VLOOKUP(Data[[#This Row],[TDS]],'[7]Static Int by TDS'!$A$6:$O$305,6,FALSE),0)</f>
        <v>4</v>
      </c>
      <c r="AF66" s="20" t="str">
        <f>VLOOKUP(Data[[#This Row],[DEVELOPMENT]],[8]Developments!$A$2:$A$312,1,FALSE)</f>
        <v>CLAREMONT REHAB (GROUP 3)</v>
      </c>
    </row>
    <row r="67" spans="1:32" x14ac:dyDescent="0.25">
      <c r="A67" s="17" t="s">
        <v>34</v>
      </c>
      <c r="B67" s="17" t="str">
        <f>VLOOKUP(Data[[#This Row],[DEVELOPMENT]],'[2]NYCHA_Development_Data_Book 201'!$B$2:$AY$324,40,FALSE)</f>
        <v>BRONX</v>
      </c>
      <c r="C67" t="str">
        <f>VLOOKUP(Data[[#This Row],[DEVELOPMENT]],'[3]Cheat-Sheet'!$D$2:$Q$341,2,FALSE)</f>
        <v>CLAREMONT CONSOLIDATED</v>
      </c>
      <c r="D67">
        <f>IF(VLOOKUP(Data[[#This Row],[DEVELOPMENT]],'[4]IC Categories'!$A$2:$G$325,3,FALSE)=0,"",VLOOKUP(Data[[#This Row],[DEVELOPMENT]],'[4]IC Categories'!$A$2:$G$325,3,FALSE))</f>
        <v>2025</v>
      </c>
      <c r="E67">
        <f>VLOOKUP(Data[[#This Row],[DEVELOPMENT]],'[2]NYCHA_Development_Data_Book 201'!$B$2:$AY$324,21,FALSE)</f>
        <v>9</v>
      </c>
      <c r="F67">
        <f>VLOOKUP(Data[[#This Row],[DEVELOPMENT]],'[2]NYCHA_Development_Data_Book 201'!$B$2:$AY$324,23,FALSE)</f>
        <v>9</v>
      </c>
      <c r="G67">
        <f>VLOOKUP(Data[[#This Row],[DEVELOPMENT]],'[2]NYCHA_Development_Data_Book 201'!$B$2:$AY$324,12,FALSE)</f>
        <v>147</v>
      </c>
      <c r="H67" t="s">
        <v>472</v>
      </c>
      <c r="I67" t="s">
        <v>471</v>
      </c>
      <c r="J67">
        <f>IFERROR(VLOOKUP(Data[[#This Row],[DEVELOPMENT]],[5]!Table1[[DEVELOPMENTS]:[Installation Date of Exterior Compactor]],4,FALSE),0)</f>
        <v>0</v>
      </c>
      <c r="K67" s="20">
        <f>IFERROR(VLOOKUP(Data[[#This Row],[DEVELOPMENT]],[5]!Table1[[DEVELOPMENTS]:[Installation Date of Exterior Compactor]],7,FALSE),0)</f>
        <v>0</v>
      </c>
      <c r="L67" s="42" t="str">
        <f>IF(Data[[#This Row],['# Interior Compactors]]=0,"",VLOOKUP(Data[[#This Row],[DEVELOPMENT]],[5]!Table1[[DEVELOPMENTS]:[Installation Date of Exterior Compactor]],5,FALSE))</f>
        <v/>
      </c>
      <c r="M67" s="43" t="str">
        <f>IF(Data[[#This Row],['# Exterior Compactors]]=0,"",VLOOKUP(Data[[#This Row],[DEVELOPMENT]],[5]!Table1[[DEVELOPMENTS]:[Installation Date of Exterior Compactor]],8,FALSE))</f>
        <v/>
      </c>
      <c r="N67">
        <f>Data[[#This Row],['# Interior Compactors]]</f>
        <v>0</v>
      </c>
      <c r="O67" s="20">
        <f>1</f>
        <v>1</v>
      </c>
      <c r="P67" s="20">
        <f>1</f>
        <v>1</v>
      </c>
      <c r="Q67" s="20">
        <f>1</f>
        <v>1</v>
      </c>
      <c r="R67" s="20">
        <f>1</f>
        <v>1</v>
      </c>
      <c r="S67" s="20">
        <f>1</f>
        <v>1</v>
      </c>
      <c r="T67" s="20">
        <f>Data[[#This Row],[DUs]]</f>
        <v>147</v>
      </c>
      <c r="U6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7" s="101">
        <f>VLOOKUP(Data[[#This Row],[DEVELOPMENT]],'[2]NYCHA_Development_Data_Book 201'!$B$2:$E$324,3,FALSE)</f>
        <v>335</v>
      </c>
      <c r="Y67" s="20"/>
      <c r="Z67" s="20">
        <f>IFERROR(VLOOKUP(Data[[#This Row],[TDS]],'[7]Static Ext by TDS'!$A$5:$E$120,2,FALSE),0)</f>
        <v>0</v>
      </c>
      <c r="AA67" s="20">
        <f>IFERROR(VLOOKUP(Data[[#This Row],[TDS]],'[7]Static Int by TDS'!$A$6:$O$305,2,FALSE),0)</f>
        <v>9</v>
      </c>
      <c r="AB67" s="20"/>
      <c r="AC67" s="20"/>
      <c r="AD67" s="20">
        <f>IFERROR(VLOOKUP(Data[[#This Row],[TDS]],'[7]Static Ext by TDS'!$A$5:$P$120,3,FALSE)+VLOOKUP(Data[[#This Row],[TDS]],'[7]Static Ext by TDS'!$A$5:$P$120,6,FALSE),0)</f>
        <v>0</v>
      </c>
      <c r="AE67" s="20">
        <f>IFERROR(VLOOKUP(Data[[#This Row],[TDS]],'[7]Static Int by TDS'!$A$6:$O$305,3,FALSE)+VLOOKUP(Data[[#This Row],[TDS]],'[7]Static Int by TDS'!$A$6:$O$305,6,FALSE),0)</f>
        <v>9</v>
      </c>
      <c r="AF67" s="20" t="str">
        <f>VLOOKUP(Data[[#This Row],[DEVELOPMENT]],[8]Developments!$A$2:$A$312,1,FALSE)</f>
        <v>CLAREMONT REHAB (GROUP 4)</v>
      </c>
    </row>
    <row r="68" spans="1:32" x14ac:dyDescent="0.25">
      <c r="A68" s="17" t="s">
        <v>144</v>
      </c>
      <c r="B68" s="17" t="str">
        <f>VLOOKUP(Data[[#This Row],[DEVELOPMENT]],'[2]NYCHA_Development_Data_Book 201'!$B$2:$AY$324,40,FALSE)</f>
        <v>BRONX</v>
      </c>
      <c r="C68" t="str">
        <f>VLOOKUP(Data[[#This Row],[DEVELOPMENT]],'[3]Cheat-Sheet'!$D$2:$Q$341,2,FALSE)</f>
        <v>CLAREMONT CONSOLIDATED</v>
      </c>
      <c r="D68">
        <f>IF(VLOOKUP(Data[[#This Row],[DEVELOPMENT]],'[4]IC Categories'!$A$2:$G$325,3,FALSE)=0,"",VLOOKUP(Data[[#This Row],[DEVELOPMENT]],'[4]IC Categories'!$A$2:$G$325,3,FALSE))</f>
        <v>2025</v>
      </c>
      <c r="E68">
        <f>VLOOKUP(Data[[#This Row],[DEVELOPMENT]],'[2]NYCHA_Development_Data_Book 201'!$B$2:$AY$324,21,FALSE)</f>
        <v>3</v>
      </c>
      <c r="F68">
        <f>VLOOKUP(Data[[#This Row],[DEVELOPMENT]],'[2]NYCHA_Development_Data_Book 201'!$B$2:$AY$324,23,FALSE)</f>
        <v>3</v>
      </c>
      <c r="G68">
        <f>VLOOKUP(Data[[#This Row],[DEVELOPMENT]],'[2]NYCHA_Development_Data_Book 201'!$B$2:$AY$324,12,FALSE)</f>
        <v>129</v>
      </c>
      <c r="H68" t="s">
        <v>472</v>
      </c>
      <c r="I68" t="s">
        <v>471</v>
      </c>
      <c r="J68">
        <f>IFERROR(VLOOKUP(Data[[#This Row],[DEVELOPMENT]],[5]!Table1[[DEVELOPMENTS]:[Installation Date of Exterior Compactor]],4,FALSE),0)</f>
        <v>0</v>
      </c>
      <c r="K68" s="20">
        <f>IFERROR(VLOOKUP(Data[[#This Row],[DEVELOPMENT]],[5]!Table1[[DEVELOPMENTS]:[Installation Date of Exterior Compactor]],7,FALSE),0)</f>
        <v>0</v>
      </c>
      <c r="L68" s="42" t="str">
        <f>IF(Data[[#This Row],['# Interior Compactors]]=0,"",VLOOKUP(Data[[#This Row],[DEVELOPMENT]],[5]!Table1[[DEVELOPMENTS]:[Installation Date of Exterior Compactor]],5,FALSE))</f>
        <v/>
      </c>
      <c r="M68" s="43" t="str">
        <f>IF(Data[[#This Row],['# Exterior Compactors]]=0,"",VLOOKUP(Data[[#This Row],[DEVELOPMENT]],[5]!Table1[[DEVELOPMENTS]:[Installation Date of Exterior Compactor]],8,FALSE))</f>
        <v/>
      </c>
      <c r="N68">
        <f>Data[[#This Row],['# Interior Compactors]]</f>
        <v>0</v>
      </c>
      <c r="O68" s="20">
        <f>1</f>
        <v>1</v>
      </c>
      <c r="P68" s="20">
        <f>1</f>
        <v>1</v>
      </c>
      <c r="Q68" s="20">
        <f>1</f>
        <v>1</v>
      </c>
      <c r="R68" s="20">
        <f>1</f>
        <v>1</v>
      </c>
      <c r="S68" s="20">
        <f>1</f>
        <v>1</v>
      </c>
      <c r="T68" s="20">
        <f>Data[[#This Row],[DUs]]</f>
        <v>129</v>
      </c>
      <c r="U6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8" s="101">
        <f>VLOOKUP(Data[[#This Row],[DEVELOPMENT]],'[2]NYCHA_Development_Data_Book 201'!$B$2:$E$324,3,FALSE)</f>
        <v>336</v>
      </c>
      <c r="Y68" s="20"/>
      <c r="Z68" s="20">
        <f>IFERROR(VLOOKUP(Data[[#This Row],[TDS]],'[7]Static Ext by TDS'!$A$5:$E$120,2,FALSE),0)</f>
        <v>0</v>
      </c>
      <c r="AA68" s="20">
        <f>IFERROR(VLOOKUP(Data[[#This Row],[TDS]],'[7]Static Int by TDS'!$A$6:$O$305,2,FALSE),0)</f>
        <v>4</v>
      </c>
      <c r="AB68" s="20"/>
      <c r="AC68" s="20"/>
      <c r="AD68" s="20">
        <f>IFERROR(VLOOKUP(Data[[#This Row],[TDS]],'[7]Static Ext by TDS'!$A$5:$P$120,3,FALSE)+VLOOKUP(Data[[#This Row],[TDS]],'[7]Static Ext by TDS'!$A$5:$P$120,6,FALSE),0)</f>
        <v>0</v>
      </c>
      <c r="AE68" s="20">
        <f>IFERROR(VLOOKUP(Data[[#This Row],[TDS]],'[7]Static Int by TDS'!$A$6:$O$305,3,FALSE)+VLOOKUP(Data[[#This Row],[TDS]],'[7]Static Int by TDS'!$A$6:$O$305,6,FALSE),0)</f>
        <v>4</v>
      </c>
      <c r="AF68" s="20" t="str">
        <f>VLOOKUP(Data[[#This Row],[DEVELOPMENT]],[8]Developments!$A$2:$A$312,1,FALSE)</f>
        <v>CLAREMONT REHAB (GROUP 5)</v>
      </c>
    </row>
    <row r="69" spans="1:32" x14ac:dyDescent="0.25">
      <c r="A69" t="s">
        <v>199</v>
      </c>
      <c r="B69" s="20" t="str">
        <f>VLOOKUP(Data[[#This Row],[DEVELOPMENT]],'[2]NYCHA_Development_Data_Book 201'!$B$2:$AY$324,40,FALSE)</f>
        <v>BRONX</v>
      </c>
      <c r="C69" s="20" t="str">
        <f>VLOOKUP(Data[[#This Row],[DEVELOPMENT]],'[3]Cheat-Sheet'!$D$2:$Q$341,2,FALSE)</f>
        <v>SACK WERN</v>
      </c>
      <c r="D69" s="20">
        <f>IF(VLOOKUP(Data[[#This Row],[DEVELOPMENT]],'[4]IC Categories'!$A$2:$G$325,3,FALSE)=0,"",VLOOKUP(Data[[#This Row],[DEVELOPMENT]],'[4]IC Categories'!$A$2:$G$325,3,FALSE))</f>
        <v>2024</v>
      </c>
      <c r="E69" s="20">
        <f>VLOOKUP(Data[[#This Row],[DEVELOPMENT]],'[2]NYCHA_Development_Data_Book 201'!$B$2:$AY$324,21,FALSE)</f>
        <v>46</v>
      </c>
      <c r="F69" s="20">
        <f>VLOOKUP(Data[[#This Row],[DEVELOPMENT]],'[2]NYCHA_Development_Data_Book 201'!$B$2:$AY$324,23,FALSE)</f>
        <v>192</v>
      </c>
      <c r="G69" s="20">
        <f>VLOOKUP(Data[[#This Row],[DEVELOPMENT]],'[2]NYCHA_Development_Data_Book 201'!$B$2:$AY$324,12,FALSE)</f>
        <v>401</v>
      </c>
      <c r="J69">
        <f>IFERROR(VLOOKUP(Data[[#This Row],[DEVELOPMENT]],[5]!Table1[[DEVELOPMENTS]:[Installation Date of Exterior Compactor]],4,FALSE),0)</f>
        <v>0</v>
      </c>
      <c r="K69" s="20">
        <f>IFERROR(VLOOKUP(Data[[#This Row],[DEVELOPMENT]],[5]!Table1[[DEVELOPMENTS]:[Installation Date of Exterior Compactor]],7,FALSE),0)</f>
        <v>0</v>
      </c>
      <c r="L69" s="42" t="str">
        <f>IF(Data[[#This Row],['# Interior Compactors]]=0,"",VLOOKUP(Data[[#This Row],[DEVELOPMENT]],[5]!Table1[[DEVELOPMENTS]:[Installation Date of Exterior Compactor]],5,FALSE))</f>
        <v/>
      </c>
      <c r="M69" s="43" t="str">
        <f>IF(Data[[#This Row],['# Exterior Compactors]]=0,"",VLOOKUP(Data[[#This Row],[DEVELOPMENT]],[5]!Table1[[DEVELOPMENTS]:[Installation Date of Exterior Compactor]],8,FALSE))</f>
        <v/>
      </c>
      <c r="N69" s="20">
        <f>Data[[#This Row],['# Interior Compactors]]</f>
        <v>0</v>
      </c>
      <c r="O69" s="20">
        <f>1</f>
        <v>1</v>
      </c>
      <c r="P69" s="20">
        <f>1</f>
        <v>1</v>
      </c>
      <c r="Q69" s="20">
        <f>1</f>
        <v>1</v>
      </c>
      <c r="R69" s="20">
        <f>1</f>
        <v>1</v>
      </c>
      <c r="S69" s="20">
        <f>1</f>
        <v>1</v>
      </c>
      <c r="T69" s="20">
        <f>Data[[#This Row],[DUs]]</f>
        <v>401</v>
      </c>
      <c r="U6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6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6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69" s="101">
        <f>VLOOKUP(Data[[#This Row],[DEVELOPMENT]],'[2]NYCHA_Development_Data_Book 201'!$B$2:$E$324,3,FALSE)</f>
        <v>11</v>
      </c>
      <c r="Y69" s="20"/>
      <c r="Z69" s="20">
        <f>IFERROR(VLOOKUP(Data[[#This Row],[TDS]],'[7]Static Ext by TDS'!$A$5:$E$120,2,FALSE),0)</f>
        <v>0</v>
      </c>
      <c r="AA69" s="20">
        <f>IFERROR(VLOOKUP(Data[[#This Row],[TDS]],'[7]Static Int by TDS'!$A$6:$O$305,2,FALSE),0)</f>
        <v>0</v>
      </c>
      <c r="AB69" s="20"/>
      <c r="AC69" s="20"/>
      <c r="AD69" s="20">
        <f>IFERROR(VLOOKUP(Data[[#This Row],[TDS]],'[7]Static Ext by TDS'!$A$5:$P$120,3,FALSE)+VLOOKUP(Data[[#This Row],[TDS]],'[7]Static Ext by TDS'!$A$5:$P$120,6,FALSE),0)</f>
        <v>0</v>
      </c>
      <c r="AE69" s="20">
        <f>IFERROR(VLOOKUP(Data[[#This Row],[TDS]],'[7]Static Int by TDS'!$A$6:$O$305,3,FALSE)+VLOOKUP(Data[[#This Row],[TDS]],'[7]Static Int by TDS'!$A$6:$O$305,6,FALSE),0)</f>
        <v>0</v>
      </c>
      <c r="AF69" s="20" t="str">
        <f>VLOOKUP(Data[[#This Row],[DEVELOPMENT]],[8]Developments!$A$2:$A$312,1,FALSE)</f>
        <v>CLASON POINT GARDENS</v>
      </c>
    </row>
    <row r="70" spans="1:32" x14ac:dyDescent="0.25">
      <c r="A70" t="s">
        <v>129</v>
      </c>
      <c r="B70" t="str">
        <f>VLOOKUP(Data[[#This Row],[DEVELOPMENT]],'[2]NYCHA_Development_Data_Book 201'!$B$2:$AY$324,40,FALSE)</f>
        <v>MANHATTAN</v>
      </c>
      <c r="C70" t="str">
        <f>VLOOKUP(Data[[#This Row],[DEVELOPMENT]],'[3]Cheat-Sheet'!$D$2:$Q$341,2,FALSE)</f>
        <v>CLINTON</v>
      </c>
      <c r="D70" t="str">
        <f>IF(VLOOKUP(Data[[#This Row],[DEVELOPMENT]],'[4]IC Categories'!$A$2:$G$325,3,FALSE)=0,"",VLOOKUP(Data[[#This Row],[DEVELOPMENT]],'[4]IC Categories'!$A$2:$G$325,3,FALSE))</f>
        <v/>
      </c>
      <c r="E70">
        <f>VLOOKUP(Data[[#This Row],[DEVELOPMENT]],'[2]NYCHA_Development_Data_Book 201'!$B$2:$AY$324,21,FALSE)</f>
        <v>6</v>
      </c>
      <c r="F70">
        <f>VLOOKUP(Data[[#This Row],[DEVELOPMENT]],'[2]NYCHA_Development_Data_Book 201'!$B$2:$AY$324,23,FALSE)</f>
        <v>8</v>
      </c>
      <c r="G70">
        <f>VLOOKUP(Data[[#This Row],[DEVELOPMENT]],'[2]NYCHA_Development_Data_Book 201'!$B$2:$AY$324,12,FALSE)</f>
        <v>748</v>
      </c>
      <c r="H70" t="s">
        <v>470</v>
      </c>
      <c r="I70" t="s">
        <v>477</v>
      </c>
      <c r="J70">
        <f>IFERROR(VLOOKUP(Data[[#This Row],[DEVELOPMENT]],[5]!Table1[[DEVELOPMENTS]:[Installation Date of Exterior Compactor]],4,FALSE),0)</f>
        <v>0</v>
      </c>
      <c r="K70" s="20">
        <f>IFERROR(VLOOKUP(Data[[#This Row],[DEVELOPMENT]],[5]!Table1[[DEVELOPMENTS]:[Installation Date of Exterior Compactor]],7,FALSE),0)</f>
        <v>0</v>
      </c>
      <c r="L70" s="42" t="str">
        <f>IF(Data[[#This Row],['# Interior Compactors]]=0,"",VLOOKUP(Data[[#This Row],[DEVELOPMENT]],[5]!Table1[[DEVELOPMENTS]:[Installation Date of Exterior Compactor]],5,FALSE))</f>
        <v/>
      </c>
      <c r="M70" s="43" t="str">
        <f>IF(Data[[#This Row],['# Exterior Compactors]]=0,"",VLOOKUP(Data[[#This Row],[DEVELOPMENT]],[5]!Table1[[DEVELOPMENTS]:[Installation Date of Exterior Compactor]],8,FALSE))</f>
        <v/>
      </c>
      <c r="N70">
        <f>Data[[#This Row],['# Interior Compactors]]</f>
        <v>0</v>
      </c>
      <c r="O70" s="20">
        <f>1</f>
        <v>1</v>
      </c>
      <c r="P70" s="20">
        <f>1</f>
        <v>1</v>
      </c>
      <c r="Q70" s="20">
        <f>1</f>
        <v>1</v>
      </c>
      <c r="R70" s="20">
        <f>1</f>
        <v>1</v>
      </c>
      <c r="S70" s="20">
        <f>1</f>
        <v>1</v>
      </c>
      <c r="T70" s="20">
        <f>Data[[#This Row],[DUs]]</f>
        <v>748</v>
      </c>
      <c r="U7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0" s="101">
        <f>VLOOKUP(Data[[#This Row],[DEVELOPMENT]],'[2]NYCHA_Development_Data_Book 201'!$B$2:$E$324,3,FALSE)</f>
        <v>123</v>
      </c>
      <c r="Y70" s="20"/>
      <c r="Z70" s="20">
        <f>IFERROR(VLOOKUP(Data[[#This Row],[TDS]],'[7]Static Ext by TDS'!$A$5:$E$120,2,FALSE),0)</f>
        <v>1</v>
      </c>
      <c r="AA70" s="20">
        <f>IFERROR(VLOOKUP(Data[[#This Row],[TDS]],'[7]Static Int by TDS'!$A$6:$O$305,2,FALSE),0)</f>
        <v>6</v>
      </c>
      <c r="AB70" s="20"/>
      <c r="AC70" s="20"/>
      <c r="AD70" s="20">
        <f>IFERROR(VLOOKUP(Data[[#This Row],[TDS]],'[7]Static Ext by TDS'!$A$5:$P$120,3,FALSE)+VLOOKUP(Data[[#This Row],[TDS]],'[7]Static Ext by TDS'!$A$5:$P$120,6,FALSE),0)</f>
        <v>1</v>
      </c>
      <c r="AE70" s="20">
        <f>IFERROR(VLOOKUP(Data[[#This Row],[TDS]],'[7]Static Int by TDS'!$A$6:$O$305,3,FALSE)+VLOOKUP(Data[[#This Row],[TDS]],'[7]Static Int by TDS'!$A$6:$O$305,6,FALSE),0)</f>
        <v>6</v>
      </c>
      <c r="AF70" s="20" t="str">
        <f>VLOOKUP(Data[[#This Row],[DEVELOPMENT]],[8]Developments!$A$2:$A$312,1,FALSE)</f>
        <v>CLINTON</v>
      </c>
    </row>
    <row r="71" spans="1:32" x14ac:dyDescent="0.25">
      <c r="A71" s="17" t="s">
        <v>145</v>
      </c>
      <c r="B71" s="17" t="str">
        <f>VLOOKUP(Data[[#This Row],[DEVELOPMENT]],'[2]NYCHA_Development_Data_Book 201'!$B$2:$AY$324,40,FALSE)</f>
        <v>BRONX</v>
      </c>
      <c r="C71" t="str">
        <f>VLOOKUP(Data[[#This Row],[DEVELOPMENT]],'[3]Cheat-Sheet'!$D$2:$Q$341,2,FALSE)</f>
        <v>CLAREMONT CONSOLIDATED</v>
      </c>
      <c r="D71">
        <f>IF(VLOOKUP(Data[[#This Row],[DEVELOPMENT]],'[4]IC Categories'!$A$2:$G$325,3,FALSE)=0,"",VLOOKUP(Data[[#This Row],[DEVELOPMENT]],'[4]IC Categories'!$A$2:$G$325,3,FALSE))</f>
        <v>2025</v>
      </c>
      <c r="E71">
        <f>VLOOKUP(Data[[#This Row],[DEVELOPMENT]],'[2]NYCHA_Development_Data_Book 201'!$B$2:$AY$324,21,FALSE)</f>
        <v>1</v>
      </c>
      <c r="F71">
        <f>VLOOKUP(Data[[#This Row],[DEVELOPMENT]],'[2]NYCHA_Development_Data_Book 201'!$B$2:$AY$324,23,FALSE)</f>
        <v>1</v>
      </c>
      <c r="G71">
        <f>VLOOKUP(Data[[#This Row],[DEVELOPMENT]],'[2]NYCHA_Development_Data_Book 201'!$B$2:$AY$324,12,FALSE)</f>
        <v>95</v>
      </c>
      <c r="H71" t="s">
        <v>472</v>
      </c>
      <c r="I71" t="s">
        <v>471</v>
      </c>
      <c r="J71">
        <f>IFERROR(VLOOKUP(Data[[#This Row],[DEVELOPMENT]],[5]!Table1[[DEVELOPMENTS]:[Installation Date of Exterior Compactor]],4,FALSE),0)</f>
        <v>0</v>
      </c>
      <c r="K71" s="20">
        <f>IFERROR(VLOOKUP(Data[[#This Row],[DEVELOPMENT]],[5]!Table1[[DEVELOPMENTS]:[Installation Date of Exterior Compactor]],7,FALSE),0)</f>
        <v>0</v>
      </c>
      <c r="L71" s="42" t="str">
        <f>IF(Data[[#This Row],['# Interior Compactors]]=0,"",VLOOKUP(Data[[#This Row],[DEVELOPMENT]],[5]!Table1[[DEVELOPMENTS]:[Installation Date of Exterior Compactor]],5,FALSE))</f>
        <v/>
      </c>
      <c r="M71" s="43" t="str">
        <f>IF(Data[[#This Row],['# Exterior Compactors]]=0,"",VLOOKUP(Data[[#This Row],[DEVELOPMENT]],[5]!Table1[[DEVELOPMENTS]:[Installation Date of Exterior Compactor]],8,FALSE))</f>
        <v/>
      </c>
      <c r="N71">
        <f>Data[[#This Row],['# Interior Compactors]]</f>
        <v>0</v>
      </c>
      <c r="O71" s="20">
        <f>1</f>
        <v>1</v>
      </c>
      <c r="P71" s="20">
        <f>1</f>
        <v>1</v>
      </c>
      <c r="Q71" s="20">
        <f>1</f>
        <v>1</v>
      </c>
      <c r="R71" s="20">
        <f>1</f>
        <v>1</v>
      </c>
      <c r="S71" s="20">
        <f>1</f>
        <v>1</v>
      </c>
      <c r="T71" s="20">
        <f>Data[[#This Row],[DUs]]</f>
        <v>95</v>
      </c>
      <c r="U7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1" s="101">
        <f>VLOOKUP(Data[[#This Row],[DEVELOPMENT]],'[2]NYCHA_Development_Data_Book 201'!$B$2:$E$324,3,FALSE)</f>
        <v>236</v>
      </c>
      <c r="Y71" s="20"/>
      <c r="Z71" s="20">
        <f>IFERROR(VLOOKUP(Data[[#This Row],[TDS]],'[7]Static Ext by TDS'!$A$5:$E$120,2,FALSE),0)</f>
        <v>0</v>
      </c>
      <c r="AA71" s="20">
        <f>IFERROR(VLOOKUP(Data[[#This Row],[TDS]],'[7]Static Int by TDS'!$A$6:$O$305,2,FALSE),0)</f>
        <v>1</v>
      </c>
      <c r="AB71" s="20"/>
      <c r="AC71" s="20"/>
      <c r="AD71" s="20">
        <f>IFERROR(VLOOKUP(Data[[#This Row],[TDS]],'[7]Static Ext by TDS'!$A$5:$P$120,3,FALSE)+VLOOKUP(Data[[#This Row],[TDS]],'[7]Static Ext by TDS'!$A$5:$P$120,6,FALSE),0)</f>
        <v>0</v>
      </c>
      <c r="AE71" s="20">
        <f>IFERROR(VLOOKUP(Data[[#This Row],[TDS]],'[7]Static Int by TDS'!$A$6:$O$305,3,FALSE)+VLOOKUP(Data[[#This Row],[TDS]],'[7]Static Int by TDS'!$A$6:$O$305,6,FALSE),0)</f>
        <v>1</v>
      </c>
      <c r="AF71" s="20" t="str">
        <f>VLOOKUP(Data[[#This Row],[DEVELOPMENT]],[8]Developments!$A$2:$A$312,1,FALSE)</f>
        <v>COLLEGE AVENUE-EAST 165TH STREET</v>
      </c>
    </row>
    <row r="72" spans="1:32" x14ac:dyDescent="0.25">
      <c r="A72" t="s">
        <v>200</v>
      </c>
      <c r="B72" s="20" t="str">
        <f>VLOOKUP(Data[[#This Row],[DEVELOPMENT]],'[2]NYCHA_Development_Data_Book 201'!$B$2:$AY$324,40,FALSE)</f>
        <v>BROOKLYN</v>
      </c>
      <c r="C72" s="20" t="str">
        <f>VLOOKUP(Data[[#This Row],[DEVELOPMENT]],'[3]Cheat-Sheet'!$D$2:$Q$341,2,FALSE)</f>
        <v>SURFSIDE GARDENS</v>
      </c>
      <c r="D72" s="20" t="str">
        <f>IF(VLOOKUP(Data[[#This Row],[DEVELOPMENT]],'[4]IC Categories'!$A$2:$G$325,3,FALSE)=0,"",VLOOKUP(Data[[#This Row],[DEVELOPMENT]],'[4]IC Categories'!$A$2:$G$325,3,FALSE))</f>
        <v/>
      </c>
      <c r="E72" s="20">
        <f>VLOOKUP(Data[[#This Row],[DEVELOPMENT]],'[2]NYCHA_Development_Data_Book 201'!$B$2:$AY$324,21,FALSE)</f>
        <v>5</v>
      </c>
      <c r="F72" s="20">
        <f>VLOOKUP(Data[[#This Row],[DEVELOPMENT]],'[2]NYCHA_Development_Data_Book 201'!$B$2:$AY$324,23,FALSE)</f>
        <v>5</v>
      </c>
      <c r="G72" s="20">
        <f>VLOOKUP(Data[[#This Row],[DEVELOPMENT]],'[2]NYCHA_Development_Data_Book 201'!$B$2:$AY$324,12,FALSE)</f>
        <v>530</v>
      </c>
      <c r="J72">
        <f>IFERROR(VLOOKUP(Data[[#This Row],[DEVELOPMENT]],[5]!Table1[[DEVELOPMENTS]:[Installation Date of Exterior Compactor]],4,FALSE),0)</f>
        <v>0</v>
      </c>
      <c r="K72" s="20">
        <f>IFERROR(VLOOKUP(Data[[#This Row],[DEVELOPMENT]],[5]!Table1[[DEVELOPMENTS]:[Installation Date of Exterior Compactor]],7,FALSE),0)</f>
        <v>0</v>
      </c>
      <c r="L72" s="42" t="str">
        <f>IF(Data[[#This Row],['# Interior Compactors]]=0,"",VLOOKUP(Data[[#This Row],[DEVELOPMENT]],[5]!Table1[[DEVELOPMENTS]:[Installation Date of Exterior Compactor]],5,FALSE))</f>
        <v/>
      </c>
      <c r="M72" s="43" t="str">
        <f>IF(Data[[#This Row],['# Exterior Compactors]]=0,"",VLOOKUP(Data[[#This Row],[DEVELOPMENT]],[5]!Table1[[DEVELOPMENTS]:[Installation Date of Exterior Compactor]],8,FALSE))</f>
        <v/>
      </c>
      <c r="N72" s="20">
        <f>Data[[#This Row],['# Interior Compactors]]</f>
        <v>0</v>
      </c>
      <c r="O72" s="20">
        <f>1</f>
        <v>1</v>
      </c>
      <c r="P72" s="20">
        <f>1</f>
        <v>1</v>
      </c>
      <c r="Q72" s="20">
        <f>1</f>
        <v>1</v>
      </c>
      <c r="R72" s="20">
        <f>1</f>
        <v>1</v>
      </c>
      <c r="S72" s="20">
        <f>1</f>
        <v>1</v>
      </c>
      <c r="T72" s="20">
        <f>Data[[#This Row],[DUs]]</f>
        <v>530</v>
      </c>
      <c r="U7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2" s="101">
        <f>VLOOKUP(Data[[#This Row],[DEVELOPMENT]],'[2]NYCHA_Development_Data_Book 201'!$B$2:$E$324,3,FALSE)</f>
        <v>94</v>
      </c>
      <c r="Y72" s="20"/>
      <c r="Z72" s="20">
        <f>IFERROR(VLOOKUP(Data[[#This Row],[TDS]],'[7]Static Ext by TDS'!$A$5:$E$120,2,FALSE),0)</f>
        <v>0</v>
      </c>
      <c r="AA72" s="20">
        <f>IFERROR(VLOOKUP(Data[[#This Row],[TDS]],'[7]Static Int by TDS'!$A$6:$O$305,2,FALSE),0)</f>
        <v>5</v>
      </c>
      <c r="AB72" s="20"/>
      <c r="AC72" s="20"/>
      <c r="AD72" s="20">
        <f>IFERROR(VLOOKUP(Data[[#This Row],[TDS]],'[7]Static Ext by TDS'!$A$5:$P$120,3,FALSE)+VLOOKUP(Data[[#This Row],[TDS]],'[7]Static Ext by TDS'!$A$5:$P$120,6,FALSE),0)</f>
        <v>0</v>
      </c>
      <c r="AE72" s="20">
        <f>IFERROR(VLOOKUP(Data[[#This Row],[TDS]],'[7]Static Int by TDS'!$A$6:$O$305,3,FALSE)+VLOOKUP(Data[[#This Row],[TDS]],'[7]Static Int by TDS'!$A$6:$O$305,6,FALSE),0)</f>
        <v>5</v>
      </c>
      <c r="AF72" s="20" t="str">
        <f>VLOOKUP(Data[[#This Row],[DEVELOPMENT]],[8]Developments!$A$2:$A$312,1,FALSE)</f>
        <v>CONEY ISLAND</v>
      </c>
    </row>
    <row r="73" spans="1:32" x14ac:dyDescent="0.25">
      <c r="A73" t="s">
        <v>201</v>
      </c>
      <c r="B73" s="20" t="str">
        <f>VLOOKUP(Data[[#This Row],[DEVELOPMENT]],'[2]NYCHA_Development_Data_Book 201'!$B$2:$AY$324,40,FALSE)</f>
        <v>BROOKLYN</v>
      </c>
      <c r="C73" s="20" t="str">
        <f>VLOOKUP(Data[[#This Row],[DEVELOPMENT]],'[3]Cheat-Sheet'!$D$2:$Q$341,2,FALSE)</f>
        <v>CAREY GARDENS</v>
      </c>
      <c r="D73" s="20" t="str">
        <f>IF(VLOOKUP(Data[[#This Row],[DEVELOPMENT]],'[4]IC Categories'!$A$2:$G$325,3,FALSE)=0,"",VLOOKUP(Data[[#This Row],[DEVELOPMENT]],'[4]IC Categories'!$A$2:$G$325,3,FALSE))</f>
        <v/>
      </c>
      <c r="E73" s="20">
        <f>VLOOKUP(Data[[#This Row],[DEVELOPMENT]],'[2]NYCHA_Development_Data_Book 201'!$B$2:$AY$324,21,FALSE)</f>
        <v>1</v>
      </c>
      <c r="F73" s="20">
        <f>VLOOKUP(Data[[#This Row],[DEVELOPMENT]],'[2]NYCHA_Development_Data_Book 201'!$B$2:$AY$324,23,FALSE)</f>
        <v>1</v>
      </c>
      <c r="G73" s="20">
        <f>VLOOKUP(Data[[#This Row],[DEVELOPMENT]],'[2]NYCHA_Development_Data_Book 201'!$B$2:$AY$324,12,FALSE)</f>
        <v>192</v>
      </c>
      <c r="J73">
        <f>IFERROR(VLOOKUP(Data[[#This Row],[DEVELOPMENT]],[5]!Table1[[DEVELOPMENTS]:[Installation Date of Exterior Compactor]],4,FALSE),0)</f>
        <v>0</v>
      </c>
      <c r="K73" s="20">
        <f>IFERROR(VLOOKUP(Data[[#This Row],[DEVELOPMENT]],[5]!Table1[[DEVELOPMENTS]:[Installation Date of Exterior Compactor]],7,FALSE),0)</f>
        <v>0</v>
      </c>
      <c r="L73" s="42" t="str">
        <f>IF(Data[[#This Row],['# Interior Compactors]]=0,"",VLOOKUP(Data[[#This Row],[DEVELOPMENT]],[5]!Table1[[DEVELOPMENTS]:[Installation Date of Exterior Compactor]],5,FALSE))</f>
        <v/>
      </c>
      <c r="M73" s="43" t="str">
        <f>IF(Data[[#This Row],['# Exterior Compactors]]=0,"",VLOOKUP(Data[[#This Row],[DEVELOPMENT]],[5]!Table1[[DEVELOPMENTS]:[Installation Date of Exterior Compactor]],8,FALSE))</f>
        <v/>
      </c>
      <c r="N73" s="20">
        <f>Data[[#This Row],['# Interior Compactors]]</f>
        <v>0</v>
      </c>
      <c r="O73" s="20">
        <f>1</f>
        <v>1</v>
      </c>
      <c r="P73" s="20">
        <f>1</f>
        <v>1</v>
      </c>
      <c r="Q73" s="20">
        <f>1</f>
        <v>1</v>
      </c>
      <c r="R73" s="20">
        <f>1</f>
        <v>1</v>
      </c>
      <c r="S73" s="20">
        <f>1</f>
        <v>1</v>
      </c>
      <c r="T73" s="20">
        <f>Data[[#This Row],[DUs]]</f>
        <v>192</v>
      </c>
      <c r="U7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3" s="101">
        <f>VLOOKUP(Data[[#This Row],[DEVELOPMENT]],'[2]NYCHA_Development_Data_Book 201'!$B$2:$E$324,3,FALSE)</f>
        <v>239</v>
      </c>
      <c r="Y73" s="20"/>
      <c r="Z73" s="20">
        <f>IFERROR(VLOOKUP(Data[[#This Row],[TDS]],'[7]Static Ext by TDS'!$A$5:$E$120,2,FALSE),0)</f>
        <v>0</v>
      </c>
      <c r="AA73" s="20">
        <f>IFERROR(VLOOKUP(Data[[#This Row],[TDS]],'[7]Static Int by TDS'!$A$6:$O$305,2,FALSE),0)</f>
        <v>1</v>
      </c>
      <c r="AB73" s="20"/>
      <c r="AC73" s="20"/>
      <c r="AD73" s="20">
        <f>IFERROR(VLOOKUP(Data[[#This Row],[TDS]],'[7]Static Ext by TDS'!$A$5:$P$120,3,FALSE)+VLOOKUP(Data[[#This Row],[TDS]],'[7]Static Ext by TDS'!$A$5:$P$120,6,FALSE),0)</f>
        <v>0</v>
      </c>
      <c r="AE73" s="20">
        <f>IFERROR(VLOOKUP(Data[[#This Row],[TDS]],'[7]Static Int by TDS'!$A$6:$O$305,3,FALSE)+VLOOKUP(Data[[#This Row],[TDS]],'[7]Static Int by TDS'!$A$6:$O$305,6,FALSE),0)</f>
        <v>1</v>
      </c>
      <c r="AF73" s="20" t="str">
        <f>VLOOKUP(Data[[#This Row],[DEVELOPMENT]],[8]Developments!$A$2:$A$312,1,FALSE)</f>
        <v>CONEY ISLAND I (SITE 1B)</v>
      </c>
    </row>
    <row r="74" spans="1:32" x14ac:dyDescent="0.25">
      <c r="A74" t="s">
        <v>202</v>
      </c>
      <c r="B74" s="20" t="str">
        <f>VLOOKUP(Data[[#This Row],[DEVELOPMENT]],'[2]NYCHA_Development_Data_Book 201'!$B$2:$AY$324,40,FALSE)</f>
        <v>BROOKLYN</v>
      </c>
      <c r="C74" s="20" t="str">
        <f>VLOOKUP(Data[[#This Row],[DEVELOPMENT]],'[3]Cheat-Sheet'!$D$2:$Q$341,2,FALSE)</f>
        <v>O'DWYER GARDENS</v>
      </c>
      <c r="D74" s="20" t="str">
        <f>IF(VLOOKUP(Data[[#This Row],[DEVELOPMENT]],'[4]IC Categories'!$A$2:$G$325,3,FALSE)=0,"",VLOOKUP(Data[[#This Row],[DEVELOPMENT]],'[4]IC Categories'!$A$2:$G$325,3,FALSE))</f>
        <v/>
      </c>
      <c r="E74" s="20">
        <f>VLOOKUP(Data[[#This Row],[DEVELOPMENT]],'[2]NYCHA_Development_Data_Book 201'!$B$2:$AY$324,21,FALSE)</f>
        <v>1</v>
      </c>
      <c r="F74" s="20">
        <f>VLOOKUP(Data[[#This Row],[DEVELOPMENT]],'[2]NYCHA_Development_Data_Book 201'!$B$2:$AY$324,23,FALSE)</f>
        <v>2</v>
      </c>
      <c r="G74" s="20">
        <f>VLOOKUP(Data[[#This Row],[DEVELOPMENT]],'[2]NYCHA_Development_Data_Book 201'!$B$2:$AY$324,12,FALSE)</f>
        <v>124</v>
      </c>
      <c r="J74">
        <f>IFERROR(VLOOKUP(Data[[#This Row],[DEVELOPMENT]],[5]!Table1[[DEVELOPMENTS]:[Installation Date of Exterior Compactor]],4,FALSE),0)</f>
        <v>0</v>
      </c>
      <c r="K74" s="20">
        <f>IFERROR(VLOOKUP(Data[[#This Row],[DEVELOPMENT]],[5]!Table1[[DEVELOPMENTS]:[Installation Date of Exterior Compactor]],7,FALSE),0)</f>
        <v>0</v>
      </c>
      <c r="L74" s="42" t="str">
        <f>IF(Data[[#This Row],['# Interior Compactors]]=0,"",VLOOKUP(Data[[#This Row],[DEVELOPMENT]],[5]!Table1[[DEVELOPMENTS]:[Installation Date of Exterior Compactor]],5,FALSE))</f>
        <v/>
      </c>
      <c r="M74" s="43" t="str">
        <f>IF(Data[[#This Row],['# Exterior Compactors]]=0,"",VLOOKUP(Data[[#This Row],[DEVELOPMENT]],[5]!Table1[[DEVELOPMENTS]:[Installation Date of Exterior Compactor]],8,FALSE))</f>
        <v/>
      </c>
      <c r="N74" s="20">
        <f>Data[[#This Row],['# Interior Compactors]]</f>
        <v>0</v>
      </c>
      <c r="O74" s="20">
        <f>1</f>
        <v>1</v>
      </c>
      <c r="P74" s="20">
        <f>1</f>
        <v>1</v>
      </c>
      <c r="Q74" s="20">
        <f>1</f>
        <v>1</v>
      </c>
      <c r="R74" s="20">
        <f>1</f>
        <v>1</v>
      </c>
      <c r="S74" s="20">
        <f>1</f>
        <v>1</v>
      </c>
      <c r="T74" s="20">
        <f>Data[[#This Row],[DUs]]</f>
        <v>124</v>
      </c>
      <c r="U7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4" s="101">
        <f>VLOOKUP(Data[[#This Row],[DEVELOPMENT]],'[2]NYCHA_Development_Data_Book 201'!$B$2:$E$324,3,FALSE)</f>
        <v>238</v>
      </c>
      <c r="Y74" s="20"/>
      <c r="Z74" s="20">
        <f>IFERROR(VLOOKUP(Data[[#This Row],[TDS]],'[7]Static Ext by TDS'!$A$5:$E$120,2,FALSE),0)</f>
        <v>0</v>
      </c>
      <c r="AA74" s="20">
        <f>IFERROR(VLOOKUP(Data[[#This Row],[TDS]],'[7]Static Int by TDS'!$A$6:$O$305,2,FALSE),0)</f>
        <v>1</v>
      </c>
      <c r="AB74" s="20"/>
      <c r="AC74" s="20"/>
      <c r="AD74" s="20">
        <f>IFERROR(VLOOKUP(Data[[#This Row],[TDS]],'[7]Static Ext by TDS'!$A$5:$P$120,3,FALSE)+VLOOKUP(Data[[#This Row],[TDS]],'[7]Static Ext by TDS'!$A$5:$P$120,6,FALSE),0)</f>
        <v>0</v>
      </c>
      <c r="AE74" s="20">
        <f>IFERROR(VLOOKUP(Data[[#This Row],[TDS]],'[7]Static Int by TDS'!$A$6:$O$305,3,FALSE)+VLOOKUP(Data[[#This Row],[TDS]],'[7]Static Int by TDS'!$A$6:$O$305,6,FALSE),0)</f>
        <v>1</v>
      </c>
      <c r="AF74" s="20" t="str">
        <f>VLOOKUP(Data[[#This Row],[DEVELOPMENT]],[8]Developments!$A$2:$A$312,1,FALSE)</f>
        <v>CONEY ISLAND I (SITE 8)</v>
      </c>
    </row>
    <row r="75" spans="1:32" x14ac:dyDescent="0.25">
      <c r="A75" t="s">
        <v>203</v>
      </c>
      <c r="B75" s="20" t="str">
        <f>VLOOKUP(Data[[#This Row],[DEVELOPMENT]],'[2]NYCHA_Development_Data_Book 201'!$B$2:$AY$324,40,FALSE)</f>
        <v>BROOKLYN</v>
      </c>
      <c r="C75" s="20" t="str">
        <f>VLOOKUP(Data[[#This Row],[DEVELOPMENT]],'[3]Cheat-Sheet'!$D$2:$Q$341,2,FALSE)</f>
        <v>SURFSIDE GARDENS</v>
      </c>
      <c r="D75" s="20" t="str">
        <f>IF(VLOOKUP(Data[[#This Row],[DEVELOPMENT]],'[4]IC Categories'!$A$2:$G$325,3,FALSE)=0,"",VLOOKUP(Data[[#This Row],[DEVELOPMENT]],'[4]IC Categories'!$A$2:$G$325,3,FALSE))</f>
        <v/>
      </c>
      <c r="E75" s="20">
        <f>VLOOKUP(Data[[#This Row],[DEVELOPMENT]],'[2]NYCHA_Development_Data_Book 201'!$B$2:$AY$324,21,FALSE)</f>
        <v>1</v>
      </c>
      <c r="F75" s="20">
        <f>VLOOKUP(Data[[#This Row],[DEVELOPMENT]],'[2]NYCHA_Development_Data_Book 201'!$B$2:$AY$324,23,FALSE)</f>
        <v>6</v>
      </c>
      <c r="G75" s="20">
        <f>VLOOKUP(Data[[#This Row],[DEVELOPMENT]],'[2]NYCHA_Development_Data_Book 201'!$B$2:$AY$324,12,FALSE)</f>
        <v>376</v>
      </c>
      <c r="J75">
        <f>IFERROR(VLOOKUP(Data[[#This Row],[DEVELOPMENT]],[5]!Table1[[DEVELOPMENTS]:[Installation Date of Exterior Compactor]],4,FALSE),0)</f>
        <v>0</v>
      </c>
      <c r="K75" s="20">
        <f>IFERROR(VLOOKUP(Data[[#This Row],[DEVELOPMENT]],[5]!Table1[[DEVELOPMENTS]:[Installation Date of Exterior Compactor]],7,FALSE),0)</f>
        <v>0</v>
      </c>
      <c r="L75" s="42" t="str">
        <f>IF(Data[[#This Row],['# Interior Compactors]]=0,"",VLOOKUP(Data[[#This Row],[DEVELOPMENT]],[5]!Table1[[DEVELOPMENTS]:[Installation Date of Exterior Compactor]],5,FALSE))</f>
        <v/>
      </c>
      <c r="M75" s="43" t="str">
        <f>IF(Data[[#This Row],['# Exterior Compactors]]=0,"",VLOOKUP(Data[[#This Row],[DEVELOPMENT]],[5]!Table1[[DEVELOPMENTS]:[Installation Date of Exterior Compactor]],8,FALSE))</f>
        <v/>
      </c>
      <c r="N75" s="20">
        <f>Data[[#This Row],['# Interior Compactors]]</f>
        <v>0</v>
      </c>
      <c r="O75" s="20">
        <f>1</f>
        <v>1</v>
      </c>
      <c r="P75" s="20">
        <f>1</f>
        <v>1</v>
      </c>
      <c r="Q75" s="20">
        <f>1</f>
        <v>1</v>
      </c>
      <c r="R75" s="20">
        <f>1</f>
        <v>1</v>
      </c>
      <c r="S75" s="20">
        <f>1</f>
        <v>1</v>
      </c>
      <c r="T75" s="20">
        <f>Data[[#This Row],[DUs]]</f>
        <v>376</v>
      </c>
      <c r="U7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5" s="101">
        <f>VLOOKUP(Data[[#This Row],[DEVELOPMENT]],'[2]NYCHA_Development_Data_Book 201'!$B$2:$E$324,3,FALSE)</f>
        <v>216</v>
      </c>
      <c r="Y75" s="20"/>
      <c r="Z75" s="20">
        <f>IFERROR(VLOOKUP(Data[[#This Row],[TDS]],'[7]Static Ext by TDS'!$A$5:$E$120,2,FALSE),0)</f>
        <v>1</v>
      </c>
      <c r="AA75" s="20">
        <f>IFERROR(VLOOKUP(Data[[#This Row],[TDS]],'[7]Static Int by TDS'!$A$6:$O$305,2,FALSE),0)</f>
        <v>3</v>
      </c>
      <c r="AB75" s="20">
        <v>1</v>
      </c>
      <c r="AC75" s="20"/>
      <c r="AD75" s="20">
        <f>IFERROR(VLOOKUP(Data[[#This Row],[TDS]],'[7]Static Ext by TDS'!$A$5:$P$120,3,FALSE)+VLOOKUP(Data[[#This Row],[TDS]],'[7]Static Ext by TDS'!$A$5:$P$120,6,FALSE),0)</f>
        <v>1</v>
      </c>
      <c r="AE75" s="20">
        <f>IFERROR(VLOOKUP(Data[[#This Row],[TDS]],'[7]Static Int by TDS'!$A$6:$O$305,3,FALSE)+VLOOKUP(Data[[#This Row],[TDS]],'[7]Static Int by TDS'!$A$6:$O$305,6,FALSE),0)</f>
        <v>3</v>
      </c>
      <c r="AF75" s="20" t="str">
        <f>VLOOKUP(Data[[#This Row],[DEVELOPMENT]],[8]Developments!$A$2:$A$312,1,FALSE)</f>
        <v>CONEY ISLAND I (SITES 4 &amp; 5)</v>
      </c>
    </row>
    <row r="76" spans="1:32" x14ac:dyDescent="0.25">
      <c r="A76" t="s">
        <v>204</v>
      </c>
      <c r="B76" s="20" t="str">
        <f>VLOOKUP(Data[[#This Row],[DEVELOPMENT]],'[2]NYCHA_Development_Data_Book 201'!$B$2:$AY$324,40,FALSE)</f>
        <v>QUEENS</v>
      </c>
      <c r="C76" s="20" t="str">
        <f>VLOOKUP(Data[[#This Row],[DEVELOPMENT]],'[3]Cheat-Sheet'!$D$2:$Q$341,2,FALSE)</f>
        <v>BAISLEY PARK</v>
      </c>
      <c r="D76" s="20" t="str">
        <f>IF(VLOOKUP(Data[[#This Row],[DEVELOPMENT]],'[4]IC Categories'!$A$2:$G$325,3,FALSE)=0,"",VLOOKUP(Data[[#This Row],[DEVELOPMENT]],'[4]IC Categories'!$A$2:$G$325,3,FALSE))</f>
        <v/>
      </c>
      <c r="E76" s="20">
        <f>VLOOKUP(Data[[#This Row],[DEVELOPMENT]],'[2]NYCHA_Development_Data_Book 201'!$B$2:$AY$324,21,FALSE)</f>
        <v>1</v>
      </c>
      <c r="F76" s="20">
        <f>VLOOKUP(Data[[#This Row],[DEVELOPMENT]],'[2]NYCHA_Development_Data_Book 201'!$B$2:$AY$324,23,FALSE)</f>
        <v>1</v>
      </c>
      <c r="G76" s="20">
        <f>VLOOKUP(Data[[#This Row],[DEVELOPMENT]],'[2]NYCHA_Development_Data_Book 201'!$B$2:$AY$324,12,FALSE)</f>
        <v>214</v>
      </c>
      <c r="J76">
        <f>IFERROR(VLOOKUP(Data[[#This Row],[DEVELOPMENT]],[5]!Table1[[DEVELOPMENTS]:[Installation Date of Exterior Compactor]],4,FALSE),0)</f>
        <v>0</v>
      </c>
      <c r="K76" s="20">
        <f>IFERROR(VLOOKUP(Data[[#This Row],[DEVELOPMENT]],[5]!Table1[[DEVELOPMENTS]:[Installation Date of Exterior Compactor]],7,FALSE),0)</f>
        <v>0</v>
      </c>
      <c r="L76" s="42" t="str">
        <f>IF(Data[[#This Row],['# Interior Compactors]]=0,"",VLOOKUP(Data[[#This Row],[DEVELOPMENT]],[5]!Table1[[DEVELOPMENTS]:[Installation Date of Exterior Compactor]],5,FALSE))</f>
        <v/>
      </c>
      <c r="M76" s="43" t="str">
        <f>IF(Data[[#This Row],['# Exterior Compactors]]=0,"",VLOOKUP(Data[[#This Row],[DEVELOPMENT]],[5]!Table1[[DEVELOPMENTS]:[Installation Date of Exterior Compactor]],8,FALSE))</f>
        <v/>
      </c>
      <c r="N76" s="20">
        <f>Data[[#This Row],['# Interior Compactors]]</f>
        <v>0</v>
      </c>
      <c r="O76" s="20">
        <f>1</f>
        <v>1</v>
      </c>
      <c r="P76" s="20">
        <f>1</f>
        <v>1</v>
      </c>
      <c r="Q76" s="20">
        <f>1</f>
        <v>1</v>
      </c>
      <c r="R76" s="20">
        <f>1</f>
        <v>1</v>
      </c>
      <c r="S76" s="20">
        <f>1</f>
        <v>1</v>
      </c>
      <c r="T76" s="20">
        <f>Data[[#This Row],[DUs]]</f>
        <v>214</v>
      </c>
      <c r="U7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6" s="101">
        <f>VLOOKUP(Data[[#This Row],[DEVELOPMENT]],'[2]NYCHA_Development_Data_Book 201'!$B$2:$E$324,3,FALSE)</f>
        <v>232</v>
      </c>
      <c r="Y76" s="20"/>
      <c r="Z76" s="20">
        <f>IFERROR(VLOOKUP(Data[[#This Row],[TDS]],'[7]Static Ext by TDS'!$A$5:$E$120,2,FALSE),0)</f>
        <v>2</v>
      </c>
      <c r="AA76" s="20">
        <f>IFERROR(VLOOKUP(Data[[#This Row],[TDS]],'[7]Static Int by TDS'!$A$6:$O$305,2,FALSE),0)</f>
        <v>1</v>
      </c>
      <c r="AB76" s="20"/>
      <c r="AC76" s="20"/>
      <c r="AD76" s="20">
        <f>IFERROR(VLOOKUP(Data[[#This Row],[TDS]],'[7]Static Ext by TDS'!$A$5:$P$120,3,FALSE)+VLOOKUP(Data[[#This Row],[TDS]],'[7]Static Ext by TDS'!$A$5:$P$120,6,FALSE),0)</f>
        <v>2</v>
      </c>
      <c r="AE76" s="20">
        <f>IFERROR(VLOOKUP(Data[[#This Row],[TDS]],'[7]Static Int by TDS'!$A$6:$O$305,3,FALSE)+VLOOKUP(Data[[#This Row],[TDS]],'[7]Static Int by TDS'!$A$6:$O$305,6,FALSE),0)</f>
        <v>1</v>
      </c>
      <c r="AF76" s="20" t="str">
        <f>VLOOKUP(Data[[#This Row],[DEVELOPMENT]],[8]Developments!$A$2:$A$312,1,FALSE)</f>
        <v>CONLON LIHFE TOWER</v>
      </c>
    </row>
    <row r="77" spans="1:32" x14ac:dyDescent="0.25">
      <c r="A77" t="s">
        <v>205</v>
      </c>
      <c r="B77" s="20" t="str">
        <f>VLOOKUP(Data[[#This Row],[DEVELOPMENT]],'[2]NYCHA_Development_Data_Book 201'!$B$2:$AY$324,40,FALSE)</f>
        <v>BROOKLYN</v>
      </c>
      <c r="C77" s="20" t="str">
        <f>VLOOKUP(Data[[#This Row],[DEVELOPMENT]],'[3]Cheat-Sheet'!$D$2:$Q$341,2,FALSE)</f>
        <v>COOPER PARK</v>
      </c>
      <c r="D77" s="20" t="str">
        <f>IF(VLOOKUP(Data[[#This Row],[DEVELOPMENT]],'[4]IC Categories'!$A$2:$G$325,3,FALSE)=0,"",VLOOKUP(Data[[#This Row],[DEVELOPMENT]],'[4]IC Categories'!$A$2:$G$325,3,FALSE))</f>
        <v/>
      </c>
      <c r="E77" s="20">
        <f>VLOOKUP(Data[[#This Row],[DEVELOPMENT]],'[2]NYCHA_Development_Data_Book 201'!$B$2:$AY$324,21,FALSE)</f>
        <v>11</v>
      </c>
      <c r="F77" s="20">
        <f>VLOOKUP(Data[[#This Row],[DEVELOPMENT]],'[2]NYCHA_Development_Data_Book 201'!$B$2:$AY$324,23,FALSE)</f>
        <v>13</v>
      </c>
      <c r="G77" s="20">
        <f>VLOOKUP(Data[[#This Row],[DEVELOPMENT]],'[2]NYCHA_Development_Data_Book 201'!$B$2:$AY$324,12,FALSE)</f>
        <v>700</v>
      </c>
      <c r="J77">
        <f>IFERROR(VLOOKUP(Data[[#This Row],[DEVELOPMENT]],[5]!Table1[[DEVELOPMENTS]:[Installation Date of Exterior Compactor]],4,FALSE),0)</f>
        <v>0</v>
      </c>
      <c r="K77" s="20">
        <f>IFERROR(VLOOKUP(Data[[#This Row],[DEVELOPMENT]],[5]!Table1[[DEVELOPMENTS]:[Installation Date of Exterior Compactor]],7,FALSE),0)</f>
        <v>0</v>
      </c>
      <c r="L77" s="42" t="str">
        <f>IF(Data[[#This Row],['# Interior Compactors]]=0,"",VLOOKUP(Data[[#This Row],[DEVELOPMENT]],[5]!Table1[[DEVELOPMENTS]:[Installation Date of Exterior Compactor]],5,FALSE))</f>
        <v/>
      </c>
      <c r="M77" s="43" t="str">
        <f>IF(Data[[#This Row],['# Exterior Compactors]]=0,"",VLOOKUP(Data[[#This Row],[DEVELOPMENT]],[5]!Table1[[DEVELOPMENTS]:[Installation Date of Exterior Compactor]],8,FALSE))</f>
        <v/>
      </c>
      <c r="N77" s="20">
        <f>Data[[#This Row],['# Interior Compactors]]</f>
        <v>0</v>
      </c>
      <c r="O77" s="20">
        <f>1</f>
        <v>1</v>
      </c>
      <c r="P77" s="20">
        <f>1</f>
        <v>1</v>
      </c>
      <c r="Q77" s="20">
        <f>1</f>
        <v>1</v>
      </c>
      <c r="R77" s="20">
        <f>1</f>
        <v>1</v>
      </c>
      <c r="S77" s="20">
        <f>1</f>
        <v>1</v>
      </c>
      <c r="T77" s="20">
        <f>Data[[#This Row],[DUs]]</f>
        <v>700</v>
      </c>
      <c r="U7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7" s="101">
        <f>VLOOKUP(Data[[#This Row],[DEVELOPMENT]],'[2]NYCHA_Development_Data_Book 201'!$B$2:$E$324,3,FALSE)</f>
        <v>69</v>
      </c>
      <c r="Y77" s="20" t="s">
        <v>473</v>
      </c>
      <c r="Z77" s="20">
        <f>IFERROR(VLOOKUP(Data[[#This Row],[TDS]],'[7]Static Ext by TDS'!$A$5:$E$120,2,FALSE),0)</f>
        <v>2</v>
      </c>
      <c r="AA77" s="20">
        <f>IFERROR(VLOOKUP(Data[[#This Row],[TDS]],'[7]Static Int by TDS'!$A$6:$O$305,2,FALSE),0)</f>
        <v>13</v>
      </c>
      <c r="AB77" s="20"/>
      <c r="AC77" s="20"/>
      <c r="AD77" s="20">
        <f>IFERROR(VLOOKUP(Data[[#This Row],[TDS]],'[7]Static Ext by TDS'!$A$5:$P$120,3,FALSE)+VLOOKUP(Data[[#This Row],[TDS]],'[7]Static Ext by TDS'!$A$5:$P$120,6,FALSE),0)</f>
        <v>2</v>
      </c>
      <c r="AE77" s="20">
        <f>IFERROR(VLOOKUP(Data[[#This Row],[TDS]],'[7]Static Int by TDS'!$A$6:$O$305,3,FALSE)+VLOOKUP(Data[[#This Row],[TDS]],'[7]Static Int by TDS'!$A$6:$O$305,6,FALSE),0)</f>
        <v>13</v>
      </c>
      <c r="AF77" s="20" t="str">
        <f>VLOOKUP(Data[[#This Row],[DEVELOPMENT]],[8]Developments!$A$2:$A$312,1,FALSE)</f>
        <v>COOPER PARK</v>
      </c>
    </row>
    <row r="78" spans="1:32" x14ac:dyDescent="0.25">
      <c r="A78" t="s">
        <v>74</v>
      </c>
      <c r="B78" t="str">
        <f>VLOOKUP(Data[[#This Row],[DEVELOPMENT]],'[2]NYCHA_Development_Data_Book 201'!$B$2:$AY$324,40,FALSE)</f>
        <v>MANHATTAN</v>
      </c>
      <c r="C78" t="str">
        <f>VLOOKUP(Data[[#This Row],[DEVELOPMENT]],'[3]Cheat-Sheet'!$D$2:$Q$341,2,FALSE)</f>
        <v>JEFFERSON</v>
      </c>
      <c r="D78">
        <f>IF(VLOOKUP(Data[[#This Row],[DEVELOPMENT]],'[4]IC Categories'!$A$2:$G$325,3,FALSE)=0,"",VLOOKUP(Data[[#This Row],[DEVELOPMENT]],'[4]IC Categories'!$A$2:$G$325,3,FALSE))</f>
        <v>2026</v>
      </c>
      <c r="E78">
        <f>VLOOKUP(Data[[#This Row],[DEVELOPMENT]],'[2]NYCHA_Development_Data_Book 201'!$B$2:$AY$324,21,FALSE)</f>
        <v>1</v>
      </c>
      <c r="F78">
        <f>VLOOKUP(Data[[#This Row],[DEVELOPMENT]],'[2]NYCHA_Development_Data_Book 201'!$B$2:$AY$324,23,FALSE)</f>
        <v>1</v>
      </c>
      <c r="G78">
        <f>VLOOKUP(Data[[#This Row],[DEVELOPMENT]],'[2]NYCHA_Development_Data_Book 201'!$B$2:$AY$324,12,FALSE)</f>
        <v>171</v>
      </c>
      <c r="H78" t="s">
        <v>470</v>
      </c>
      <c r="I78" t="s">
        <v>471</v>
      </c>
      <c r="J78">
        <f>IFERROR(VLOOKUP(Data[[#This Row],[DEVELOPMENT]],[5]!Table1[[DEVELOPMENTS]:[Installation Date of Exterior Compactor]],4,FALSE),0)</f>
        <v>0</v>
      </c>
      <c r="K78" s="20">
        <f>IFERROR(VLOOKUP(Data[[#This Row],[DEVELOPMENT]],[5]!Table1[[DEVELOPMENTS]:[Installation Date of Exterior Compactor]],7,FALSE),0)</f>
        <v>0</v>
      </c>
      <c r="L78" s="42" t="str">
        <f>IF(Data[[#This Row],['# Interior Compactors]]=0,"",VLOOKUP(Data[[#This Row],[DEVELOPMENT]],[5]!Table1[[DEVELOPMENTS]:[Installation Date of Exterior Compactor]],5,FALSE))</f>
        <v/>
      </c>
      <c r="M78" s="43" t="str">
        <f>IF(Data[[#This Row],['# Exterior Compactors]]=0,"",VLOOKUP(Data[[#This Row],[DEVELOPMENT]],[5]!Table1[[DEVELOPMENTS]:[Installation Date of Exterior Compactor]],8,FALSE))</f>
        <v/>
      </c>
      <c r="N78">
        <f>Data[[#This Row],['# Interior Compactors]]</f>
        <v>0</v>
      </c>
      <c r="O78" s="20">
        <f>1</f>
        <v>1</v>
      </c>
      <c r="P78" s="20">
        <f>1</f>
        <v>1</v>
      </c>
      <c r="Q78" s="20">
        <f>1</f>
        <v>1</v>
      </c>
      <c r="R78" s="20">
        <f>1</f>
        <v>1</v>
      </c>
      <c r="S78" s="20">
        <f>1</f>
        <v>1</v>
      </c>
      <c r="T78" s="20">
        <f>Data[[#This Row],[DUs]]</f>
        <v>171</v>
      </c>
      <c r="U7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8" s="101">
        <f>VLOOKUP(Data[[#This Row],[DEVELOPMENT]],'[2]NYCHA_Development_Data_Book 201'!$B$2:$E$324,3,FALSE)</f>
        <v>199</v>
      </c>
      <c r="Y78" s="20"/>
      <c r="Z78" s="20">
        <f>IFERROR(VLOOKUP(Data[[#This Row],[TDS]],'[7]Static Ext by TDS'!$A$5:$E$120,2,FALSE),0)</f>
        <v>0</v>
      </c>
      <c r="AA78" s="20">
        <f>IFERROR(VLOOKUP(Data[[#This Row],[TDS]],'[7]Static Int by TDS'!$A$6:$O$305,2,FALSE),0)</f>
        <v>1</v>
      </c>
      <c r="AB78" s="20"/>
      <c r="AC78" s="20"/>
      <c r="AD78" s="20">
        <f>IFERROR(VLOOKUP(Data[[#This Row],[TDS]],'[7]Static Ext by TDS'!$A$5:$P$120,3,FALSE)+VLOOKUP(Data[[#This Row],[TDS]],'[7]Static Ext by TDS'!$A$5:$P$120,6,FALSE),0)</f>
        <v>0</v>
      </c>
      <c r="AE78" s="20">
        <f>IFERROR(VLOOKUP(Data[[#This Row],[TDS]],'[7]Static Int by TDS'!$A$6:$O$305,3,FALSE)+VLOOKUP(Data[[#This Row],[TDS]],'[7]Static Int by TDS'!$A$6:$O$305,6,FALSE),0)</f>
        <v>1</v>
      </c>
      <c r="AF78" s="20" t="str">
        <f>VLOOKUP(Data[[#This Row],[DEVELOPMENT]],[8]Developments!$A$2:$A$312,1,FALSE)</f>
        <v>CORSI HOUSES</v>
      </c>
    </row>
    <row r="79" spans="1:32" x14ac:dyDescent="0.25">
      <c r="A79" t="s">
        <v>206</v>
      </c>
      <c r="B79" s="20" t="str">
        <f>VLOOKUP(Data[[#This Row],[DEVELOPMENT]],'[2]NYCHA_Development_Data_Book 201'!$B$2:$AY$324,40,FALSE)</f>
        <v>BROOKLYN</v>
      </c>
      <c r="C79" s="20" t="str">
        <f>VLOOKUP(Data[[#This Row],[DEVELOPMENT]],'[3]Cheat-Sheet'!$D$2:$Q$341,2,FALSE)</f>
        <v>PARK ROCK CONSOLIDATED</v>
      </c>
      <c r="D79" s="20">
        <f>IF(VLOOKUP(Data[[#This Row],[DEVELOPMENT]],'[4]IC Categories'!$A$2:$G$325,3,FALSE)=0,"",VLOOKUP(Data[[#This Row],[DEVELOPMENT]],'[4]IC Categories'!$A$2:$G$325,3,FALSE))</f>
        <v>2025</v>
      </c>
      <c r="E79" s="20">
        <f>VLOOKUP(Data[[#This Row],[DEVELOPMENT]],'[2]NYCHA_Development_Data_Book 201'!$B$2:$AY$324,21,FALSE)</f>
        <v>8</v>
      </c>
      <c r="F79" s="20">
        <f>VLOOKUP(Data[[#This Row],[DEVELOPMENT]],'[2]NYCHA_Development_Data_Book 201'!$B$2:$AY$324,23,FALSE)</f>
        <v>8</v>
      </c>
      <c r="G79" s="20">
        <f>VLOOKUP(Data[[#This Row],[DEVELOPMENT]],'[2]NYCHA_Development_Data_Book 201'!$B$2:$AY$324,12,FALSE)</f>
        <v>121</v>
      </c>
      <c r="H79" t="s">
        <v>476</v>
      </c>
      <c r="J79">
        <f>IFERROR(VLOOKUP(Data[[#This Row],[DEVELOPMENT]],[5]!Table1[[DEVELOPMENTS]:[Installation Date of Exterior Compactor]],4,FALSE),0)</f>
        <v>0</v>
      </c>
      <c r="K79" s="20">
        <f>IFERROR(VLOOKUP(Data[[#This Row],[DEVELOPMENT]],[5]!Table1[[DEVELOPMENTS]:[Installation Date of Exterior Compactor]],7,FALSE),0)</f>
        <v>0</v>
      </c>
      <c r="L79" s="42" t="str">
        <f>IF(Data[[#This Row],['# Interior Compactors]]=0,"",VLOOKUP(Data[[#This Row],[DEVELOPMENT]],[5]!Table1[[DEVELOPMENTS]:[Installation Date of Exterior Compactor]],5,FALSE))</f>
        <v/>
      </c>
      <c r="M79" s="43" t="str">
        <f>IF(Data[[#This Row],['# Exterior Compactors]]=0,"",VLOOKUP(Data[[#This Row],[DEVELOPMENT]],[5]!Table1[[DEVELOPMENTS]:[Installation Date of Exterior Compactor]],8,FALSE))</f>
        <v/>
      </c>
      <c r="N79" s="20">
        <f>Data[[#This Row],['# Interior Compactors]]</f>
        <v>0</v>
      </c>
      <c r="O79" s="20">
        <f>1</f>
        <v>1</v>
      </c>
      <c r="P79" s="20">
        <f>1</f>
        <v>1</v>
      </c>
      <c r="Q79" s="20">
        <f>1</f>
        <v>1</v>
      </c>
      <c r="R79" s="20">
        <f>1</f>
        <v>1</v>
      </c>
      <c r="S79" s="20">
        <f>1</f>
        <v>1</v>
      </c>
      <c r="T79" s="20">
        <f>Data[[#This Row],[DUs]]</f>
        <v>121</v>
      </c>
      <c r="U7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7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7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79" s="101">
        <f>VLOOKUP(Data[[#This Row],[DEVELOPMENT]],'[2]NYCHA_Development_Data_Book 201'!$B$2:$E$324,3,FALSE)</f>
        <v>312</v>
      </c>
      <c r="Y79" s="20" t="s">
        <v>473</v>
      </c>
      <c r="Z79" s="20">
        <f>IFERROR(VLOOKUP(Data[[#This Row],[TDS]],'[7]Static Ext by TDS'!$A$5:$E$120,2,FALSE),0)</f>
        <v>0</v>
      </c>
      <c r="AA79" s="20">
        <f>IFERROR(VLOOKUP(Data[[#This Row],[TDS]],'[7]Static Int by TDS'!$A$6:$O$305,2,FALSE),0)</f>
        <v>8</v>
      </c>
      <c r="AB79" s="20"/>
      <c r="AC79" s="20"/>
      <c r="AD79" s="20">
        <f>IFERROR(VLOOKUP(Data[[#This Row],[TDS]],'[7]Static Ext by TDS'!$A$5:$P$120,3,FALSE)+VLOOKUP(Data[[#This Row],[TDS]],'[7]Static Ext by TDS'!$A$5:$P$120,6,FALSE),0)</f>
        <v>0</v>
      </c>
      <c r="AE79" s="20">
        <f>IFERROR(VLOOKUP(Data[[#This Row],[TDS]],'[7]Static Int by TDS'!$A$6:$O$305,3,FALSE)+VLOOKUP(Data[[#This Row],[TDS]],'[7]Static Int by TDS'!$A$6:$O$305,6,FALSE),0)</f>
        <v>8</v>
      </c>
      <c r="AF79" s="20" t="str">
        <f>VLOOKUP(Data[[#This Row],[DEVELOPMENT]],[8]Developments!$A$2:$A$312,1,FALSE)</f>
        <v>CROWN HEIGHTS</v>
      </c>
    </row>
    <row r="80" spans="1:32" x14ac:dyDescent="0.25">
      <c r="A80" t="s">
        <v>207</v>
      </c>
      <c r="B80" s="20" t="str">
        <f>VLOOKUP(Data[[#This Row],[DEVELOPMENT]],'[2]NYCHA_Development_Data_Book 201'!$B$2:$AY$324,40,FALSE)</f>
        <v>BROOKLYN</v>
      </c>
      <c r="C80" s="20" t="str">
        <f>VLOOKUP(Data[[#This Row],[DEVELOPMENT]],'[3]Cheat-Sheet'!$D$2:$Q$341,2,FALSE)</f>
        <v>CYPRESS HILLS</v>
      </c>
      <c r="D80" s="20">
        <f>IF(VLOOKUP(Data[[#This Row],[DEVELOPMENT]],'[4]IC Categories'!$A$2:$G$325,3,FALSE)=0,"",VLOOKUP(Data[[#This Row],[DEVELOPMENT]],'[4]IC Categories'!$A$2:$G$325,3,FALSE))</f>
        <v>2023</v>
      </c>
      <c r="E80" s="20">
        <f>VLOOKUP(Data[[#This Row],[DEVELOPMENT]],'[2]NYCHA_Development_Data_Book 201'!$B$2:$AY$324,21,FALSE)</f>
        <v>15</v>
      </c>
      <c r="F80" s="20">
        <f>VLOOKUP(Data[[#This Row],[DEVELOPMENT]],'[2]NYCHA_Development_Data_Book 201'!$B$2:$AY$324,23,FALSE)</f>
        <v>30</v>
      </c>
      <c r="G80" s="20">
        <f>VLOOKUP(Data[[#This Row],[DEVELOPMENT]],'[2]NYCHA_Development_Data_Book 201'!$B$2:$AY$324,12,FALSE)</f>
        <v>1439</v>
      </c>
      <c r="J80">
        <f>IFERROR(VLOOKUP(Data[[#This Row],[DEVELOPMENT]],[5]!Table1[[DEVELOPMENTS]:[Installation Date of Exterior Compactor]],4,FALSE),0)</f>
        <v>0</v>
      </c>
      <c r="K80" s="20">
        <f>IFERROR(VLOOKUP(Data[[#This Row],[DEVELOPMENT]],[5]!Table1[[DEVELOPMENTS]:[Installation Date of Exterior Compactor]],7,FALSE),0)</f>
        <v>0</v>
      </c>
      <c r="L80" s="42" t="str">
        <f>IF(Data[[#This Row],['# Interior Compactors]]=0,"",VLOOKUP(Data[[#This Row],[DEVELOPMENT]],[5]!Table1[[DEVELOPMENTS]:[Installation Date of Exterior Compactor]],5,FALSE))</f>
        <v/>
      </c>
      <c r="M80" s="43" t="str">
        <f>IF(Data[[#This Row],['# Exterior Compactors]]=0,"",VLOOKUP(Data[[#This Row],[DEVELOPMENT]],[5]!Table1[[DEVELOPMENTS]:[Installation Date of Exterior Compactor]],8,FALSE))</f>
        <v/>
      </c>
      <c r="N80" s="20">
        <f>Data[[#This Row],['# Interior Compactors]]</f>
        <v>0</v>
      </c>
      <c r="O80" s="20">
        <f>1</f>
        <v>1</v>
      </c>
      <c r="P80" s="20">
        <f>1</f>
        <v>1</v>
      </c>
      <c r="Q80" s="20">
        <f>1</f>
        <v>1</v>
      </c>
      <c r="R80" s="20">
        <f>1</f>
        <v>1</v>
      </c>
      <c r="S80" s="20">
        <f>1</f>
        <v>1</v>
      </c>
      <c r="T80" s="20">
        <f>Data[[#This Row],[DUs]]</f>
        <v>1439</v>
      </c>
      <c r="U8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0" s="101">
        <f>VLOOKUP(Data[[#This Row],[DEVELOPMENT]],'[2]NYCHA_Development_Data_Book 201'!$B$2:$E$324,3,FALSE)</f>
        <v>70</v>
      </c>
      <c r="Y80" s="20"/>
      <c r="Z80" s="20">
        <f>IFERROR(VLOOKUP(Data[[#This Row],[TDS]],'[7]Static Ext by TDS'!$A$5:$E$120,2,FALSE),0)</f>
        <v>3</v>
      </c>
      <c r="AA80" s="20">
        <f>IFERROR(VLOOKUP(Data[[#This Row],[TDS]],'[7]Static Int by TDS'!$A$6:$O$305,2,FALSE),0)</f>
        <v>29</v>
      </c>
      <c r="AB80" s="20"/>
      <c r="AC80" s="20"/>
      <c r="AD80" s="20">
        <f>IFERROR(VLOOKUP(Data[[#This Row],[TDS]],'[7]Static Ext by TDS'!$A$5:$P$120,3,FALSE)+VLOOKUP(Data[[#This Row],[TDS]],'[7]Static Ext by TDS'!$A$5:$P$120,6,FALSE),0)</f>
        <v>0</v>
      </c>
      <c r="AE80" s="20">
        <f>IFERROR(VLOOKUP(Data[[#This Row],[TDS]],'[7]Static Int by TDS'!$A$6:$O$305,3,FALSE)+VLOOKUP(Data[[#This Row],[TDS]],'[7]Static Int by TDS'!$A$6:$O$305,6,FALSE),0)</f>
        <v>29</v>
      </c>
      <c r="AF80" s="20" t="str">
        <f>VLOOKUP(Data[[#This Row],[DEVELOPMENT]],[8]Developments!$A$2:$A$312,1,FALSE)</f>
        <v>CYPRESS HILLS</v>
      </c>
    </row>
    <row r="81" spans="1:32" x14ac:dyDescent="0.25">
      <c r="A81" t="s">
        <v>105</v>
      </c>
      <c r="B81" t="str">
        <f>VLOOKUP(Data[[#This Row],[DEVELOPMENT]],'[2]NYCHA_Development_Data_Book 201'!$B$2:$AY$324,40,FALSE)</f>
        <v>BRONX</v>
      </c>
      <c r="C81" t="str">
        <f>VLOOKUP(Data[[#This Row],[DEVELOPMENT]],'[3]Cheat-Sheet'!$D$2:$Q$341,2,FALSE)</f>
        <v>UNION AVENUE CONSOLIDATED</v>
      </c>
      <c r="D81">
        <f>IF(VLOOKUP(Data[[#This Row],[DEVELOPMENT]],'[4]IC Categories'!$A$2:$G$325,3,FALSE)=0,"",VLOOKUP(Data[[#This Row],[DEVELOPMENT]],'[4]IC Categories'!$A$2:$G$325,3,FALSE))</f>
        <v>2026</v>
      </c>
      <c r="E81">
        <f>VLOOKUP(Data[[#This Row],[DEVELOPMENT]],'[2]NYCHA_Development_Data_Book 201'!$B$2:$AY$324,21,FALSE)</f>
        <v>1</v>
      </c>
      <c r="F81">
        <f>VLOOKUP(Data[[#This Row],[DEVELOPMENT]],'[2]NYCHA_Development_Data_Book 201'!$B$2:$AY$324,23,FALSE)</f>
        <v>2</v>
      </c>
      <c r="G81">
        <f>VLOOKUP(Data[[#This Row],[DEVELOPMENT]],'[2]NYCHA_Development_Data_Book 201'!$B$2:$AY$324,12,FALSE)</f>
        <v>175</v>
      </c>
      <c r="H81" t="s">
        <v>474</v>
      </c>
      <c r="I81" t="s">
        <v>471</v>
      </c>
      <c r="J81">
        <f>IFERROR(VLOOKUP(Data[[#This Row],[DEVELOPMENT]],[5]!Table1[[DEVELOPMENTS]:[Installation Date of Exterior Compactor]],4,FALSE),0)</f>
        <v>0</v>
      </c>
      <c r="K81" s="20">
        <f>IFERROR(VLOOKUP(Data[[#This Row],[DEVELOPMENT]],[5]!Table1[[DEVELOPMENTS]:[Installation Date of Exterior Compactor]],7,FALSE),0)</f>
        <v>0</v>
      </c>
      <c r="L81" s="42" t="str">
        <f>IF(Data[[#This Row],['# Interior Compactors]]=0,"",VLOOKUP(Data[[#This Row],[DEVELOPMENT]],[5]!Table1[[DEVELOPMENTS]:[Installation Date of Exterior Compactor]],5,FALSE))</f>
        <v/>
      </c>
      <c r="M81" s="43" t="str">
        <f>IF(Data[[#This Row],['# Exterior Compactors]]=0,"",VLOOKUP(Data[[#This Row],[DEVELOPMENT]],[5]!Table1[[DEVELOPMENTS]:[Installation Date of Exterior Compactor]],8,FALSE))</f>
        <v/>
      </c>
      <c r="N81">
        <f>Data[[#This Row],['# Interior Compactors]]</f>
        <v>0</v>
      </c>
      <c r="O81" s="20">
        <f>1</f>
        <v>1</v>
      </c>
      <c r="P81" s="20">
        <f>1</f>
        <v>1</v>
      </c>
      <c r="Q81" s="20">
        <f>1</f>
        <v>1</v>
      </c>
      <c r="R81" s="20">
        <f>1</f>
        <v>1</v>
      </c>
      <c r="S81" s="20">
        <f>1</f>
        <v>1</v>
      </c>
      <c r="T81" s="20">
        <f>Data[[#This Row],[DUs]]</f>
        <v>175</v>
      </c>
      <c r="U8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1" s="101">
        <f>VLOOKUP(Data[[#This Row],[DEVELOPMENT]],'[2]NYCHA_Development_Data_Book 201'!$B$2:$E$324,3,FALSE)</f>
        <v>190</v>
      </c>
      <c r="Y81" s="20"/>
      <c r="Z81" s="20">
        <f>IFERROR(VLOOKUP(Data[[#This Row],[TDS]],'[7]Static Ext by TDS'!$A$5:$E$120,2,FALSE),0)</f>
        <v>0</v>
      </c>
      <c r="AA81" s="20">
        <f>IFERROR(VLOOKUP(Data[[#This Row],[TDS]],'[7]Static Int by TDS'!$A$6:$O$305,2,FALSE),0)</f>
        <v>1</v>
      </c>
      <c r="AB81" s="20"/>
      <c r="AC81" s="20"/>
      <c r="AD81" s="20">
        <f>IFERROR(VLOOKUP(Data[[#This Row],[TDS]],'[7]Static Ext by TDS'!$A$5:$P$120,3,FALSE)+VLOOKUP(Data[[#This Row],[TDS]],'[7]Static Ext by TDS'!$A$5:$P$120,6,FALSE),0)</f>
        <v>0</v>
      </c>
      <c r="AE81" s="20">
        <f>IFERROR(VLOOKUP(Data[[#This Row],[TDS]],'[7]Static Int by TDS'!$A$6:$O$305,3,FALSE)+VLOOKUP(Data[[#This Row],[TDS]],'[7]Static Int by TDS'!$A$6:$O$305,6,FALSE),0)</f>
        <v>1</v>
      </c>
      <c r="AF81" s="20" t="str">
        <f>VLOOKUP(Data[[#This Row],[DEVELOPMENT]],[8]Developments!$A$2:$A$312,1,FALSE)</f>
        <v>DAVIDSON</v>
      </c>
    </row>
    <row r="82" spans="1:32" x14ac:dyDescent="0.25">
      <c r="A82" t="s">
        <v>208</v>
      </c>
      <c r="B82" s="20" t="str">
        <f>VLOOKUP(Data[[#This Row],[DEVELOPMENT]],'[2]NYCHA_Development_Data_Book 201'!$B$2:$AY$324,40,FALSE)</f>
        <v>MANHATTAN</v>
      </c>
      <c r="C82" s="20" t="str">
        <f>VLOOKUP(Data[[#This Row],[DEVELOPMENT]],'[3]Cheat-Sheet'!$D$2:$Q$341,2,FALSE)</f>
        <v>WISE TOWERS</v>
      </c>
      <c r="D82" s="20" t="str">
        <f>IF(VLOOKUP(Data[[#This Row],[DEVELOPMENT]],'[4]IC Categories'!$A$2:$G$325,3,FALSE)=0,"",VLOOKUP(Data[[#This Row],[DEVELOPMENT]],'[4]IC Categories'!$A$2:$G$325,3,FALSE))</f>
        <v/>
      </c>
      <c r="E82" s="20">
        <f>VLOOKUP(Data[[#This Row],[DEVELOPMENT]],'[2]NYCHA_Development_Data_Book 201'!$B$2:$AY$324,21,FALSE)</f>
        <v>1</v>
      </c>
      <c r="F82" s="20">
        <f>VLOOKUP(Data[[#This Row],[DEVELOPMENT]],'[2]NYCHA_Development_Data_Book 201'!$B$2:$AY$324,23,FALSE)</f>
        <v>1</v>
      </c>
      <c r="G82" s="20">
        <f>VLOOKUP(Data[[#This Row],[DEVELOPMENT]],'[2]NYCHA_Development_Data_Book 201'!$B$2:$AY$324,12,FALSE)</f>
        <v>219</v>
      </c>
      <c r="J82">
        <f>IFERROR(VLOOKUP(Data[[#This Row],[DEVELOPMENT]],[5]!Table1[[DEVELOPMENTS]:[Installation Date of Exterior Compactor]],4,FALSE),0)</f>
        <v>0</v>
      </c>
      <c r="K82" s="20">
        <f>IFERROR(VLOOKUP(Data[[#This Row],[DEVELOPMENT]],[5]!Table1[[DEVELOPMENTS]:[Installation Date of Exterior Compactor]],7,FALSE),0)</f>
        <v>0</v>
      </c>
      <c r="L82" s="42" t="str">
        <f>IF(Data[[#This Row],['# Interior Compactors]]=0,"",VLOOKUP(Data[[#This Row],[DEVELOPMENT]],[5]!Table1[[DEVELOPMENTS]:[Installation Date of Exterior Compactor]],5,FALSE))</f>
        <v/>
      </c>
      <c r="M82" s="43" t="str">
        <f>IF(Data[[#This Row],['# Exterior Compactors]]=0,"",VLOOKUP(Data[[#This Row],[DEVELOPMENT]],[5]!Table1[[DEVELOPMENTS]:[Installation Date of Exterior Compactor]],8,FALSE))</f>
        <v/>
      </c>
      <c r="N82" s="20">
        <f>Data[[#This Row],['# Interior Compactors]]</f>
        <v>0</v>
      </c>
      <c r="O82" s="20">
        <f>1</f>
        <v>1</v>
      </c>
      <c r="P82" s="20">
        <f>1</f>
        <v>1</v>
      </c>
      <c r="Q82" s="20">
        <f>1</f>
        <v>1</v>
      </c>
      <c r="R82" s="20">
        <f>1</f>
        <v>1</v>
      </c>
      <c r="S82" s="20">
        <f>1</f>
        <v>1</v>
      </c>
      <c r="T82" s="20">
        <f>Data[[#This Row],[DUs]]</f>
        <v>219</v>
      </c>
      <c r="U8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2" s="101">
        <f>VLOOKUP(Data[[#This Row],[DEVELOPMENT]],'[2]NYCHA_Development_Data_Book 201'!$B$2:$E$324,3,FALSE)</f>
        <v>155</v>
      </c>
      <c r="Y82" s="20"/>
      <c r="Z82" s="20">
        <f>IFERROR(VLOOKUP(Data[[#This Row],[TDS]],'[7]Static Ext by TDS'!$A$5:$E$120,2,FALSE),0)</f>
        <v>0</v>
      </c>
      <c r="AA82" s="20">
        <f>IFERROR(VLOOKUP(Data[[#This Row],[TDS]],'[7]Static Int by TDS'!$A$6:$O$305,2,FALSE),0)</f>
        <v>2</v>
      </c>
      <c r="AB82" s="20"/>
      <c r="AC82" s="20"/>
      <c r="AD82" s="20">
        <f>IFERROR(VLOOKUP(Data[[#This Row],[TDS]],'[7]Static Ext by TDS'!$A$5:$P$120,3,FALSE)+VLOOKUP(Data[[#This Row],[TDS]],'[7]Static Ext by TDS'!$A$5:$P$120,6,FALSE),0)</f>
        <v>0</v>
      </c>
      <c r="AE82" s="20">
        <f>IFERROR(VLOOKUP(Data[[#This Row],[TDS]],'[7]Static Int by TDS'!$A$6:$O$305,3,FALSE)+VLOOKUP(Data[[#This Row],[TDS]],'[7]Static Int by TDS'!$A$6:$O$305,6,FALSE),0)</f>
        <v>2</v>
      </c>
      <c r="AF82" s="20" t="str">
        <f>VLOOKUP(Data[[#This Row],[DEVELOPMENT]],[8]Developments!$A$2:$A$312,1,FALSE)</f>
        <v>DE HOSTOS APARTMENTS</v>
      </c>
    </row>
    <row r="83" spans="1:32" x14ac:dyDescent="0.25">
      <c r="A83" t="s">
        <v>385</v>
      </c>
      <c r="B83" s="20" t="str">
        <f>VLOOKUP(Data[[#This Row],[DEVELOPMENT]],'[2]NYCHA_Development_Data_Book 201'!$B$2:$AY$324,40,FALSE)</f>
        <v>MANHATTAN</v>
      </c>
      <c r="C83" s="20" t="e">
        <f>VLOOKUP(Data[[#This Row],[DEVELOPMENT]],'[3]Cheat-Sheet'!$D$2:$Q$341,2,FALSE)</f>
        <v>#N/A</v>
      </c>
      <c r="D83" s="20" t="e">
        <f>IF(VLOOKUP(Data[[#This Row],[DEVELOPMENT]],'[4]IC Categories'!$A$2:$G$325,3,FALSE)=0,"",VLOOKUP(Data[[#This Row],[DEVELOPMENT]],'[4]IC Categories'!$A$2:$G$325,3,FALSE))</f>
        <v>#N/A</v>
      </c>
      <c r="E83" s="20">
        <f>VLOOKUP(Data[[#This Row],[DEVELOPMENT]],'[2]NYCHA_Development_Data_Book 201'!$B$2:$AY$324,21,FALSE)</f>
        <v>17</v>
      </c>
      <c r="F83" s="20">
        <f>VLOOKUP(Data[[#This Row],[DEVELOPMENT]],'[2]NYCHA_Development_Data_Book 201'!$B$2:$AY$324,23,FALSE)</f>
        <v>17</v>
      </c>
      <c r="G83" s="20">
        <f>VLOOKUP(Data[[#This Row],[DEVELOPMENT]],'[2]NYCHA_Development_Data_Book 201'!$B$2:$AY$324,12,FALSE)</f>
        <v>2054</v>
      </c>
      <c r="J83">
        <f>IFERROR(VLOOKUP(Data[[#This Row],[DEVELOPMENT]],[5]!Table1[[DEVELOPMENTS]:[Installation Date of Exterior Compactor]],4,FALSE),0)</f>
        <v>0</v>
      </c>
      <c r="K83" s="20">
        <f>IFERROR(VLOOKUP(Data[[#This Row],[DEVELOPMENT]],[5]!Table1[[DEVELOPMENTS]:[Installation Date of Exterior Compactor]],7,FALSE),0)</f>
        <v>0</v>
      </c>
      <c r="L83" s="42" t="str">
        <f>IF(Data[[#This Row],['# Interior Compactors]]=0,"",VLOOKUP(Data[[#This Row],[DEVELOPMENT]],[5]!Table1[[DEVELOPMENTS]:[Installation Date of Exterior Compactor]],5,FALSE))</f>
        <v/>
      </c>
      <c r="M83" s="43" t="str">
        <f>IF(Data[[#This Row],['# Exterior Compactors]]=0,"",VLOOKUP(Data[[#This Row],[DEVELOPMENT]],[5]!Table1[[DEVELOPMENTS]:[Installation Date of Exterior Compactor]],8,FALSE))</f>
        <v/>
      </c>
      <c r="N83" s="20">
        <f>Data[[#This Row],['# Interior Compactors]]</f>
        <v>0</v>
      </c>
      <c r="O83" s="20">
        <f>1</f>
        <v>1</v>
      </c>
      <c r="P83" s="20">
        <f>1</f>
        <v>1</v>
      </c>
      <c r="Q83" s="20">
        <f>1</f>
        <v>1</v>
      </c>
      <c r="R83" s="20">
        <f>1</f>
        <v>1</v>
      </c>
      <c r="S83" s="20">
        <f>1</f>
        <v>1</v>
      </c>
      <c r="T83" s="20">
        <f>Data[[#This Row],[DUs]]</f>
        <v>2054</v>
      </c>
      <c r="U8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3" s="101" t="str">
        <f>VLOOKUP(Data[[#This Row],[DEVELOPMENT]],'[2]NYCHA_Development_Data_Book 201'!$B$2:$E$324,3,FALSE)</f>
        <v>082, 582</v>
      </c>
      <c r="Y83" s="20"/>
      <c r="Z83" s="20">
        <f>IFERROR(VLOOKUP(Data[[#This Row],[TDS]],'[7]Static Ext by TDS'!$A$5:$E$120,2,FALSE),0)</f>
        <v>0</v>
      </c>
      <c r="AA83" s="20">
        <f>IFERROR(VLOOKUP(Data[[#This Row],[TDS]],'[7]Static Int by TDS'!$A$6:$O$305,2,FALSE),0)</f>
        <v>0</v>
      </c>
      <c r="AB83" s="20"/>
      <c r="AC83" s="20"/>
      <c r="AD83" s="20">
        <f>IFERROR(VLOOKUP(Data[[#This Row],[TDS]],'[7]Static Ext by TDS'!$A$5:$P$120,3,FALSE)+VLOOKUP(Data[[#This Row],[TDS]],'[7]Static Ext by TDS'!$A$5:$P$120,6,FALSE),0)</f>
        <v>0</v>
      </c>
      <c r="AE83" s="20">
        <f>IFERROR(VLOOKUP(Data[[#This Row],[TDS]],'[7]Static Int by TDS'!$A$6:$O$305,3,FALSE)+VLOOKUP(Data[[#This Row],[TDS]],'[7]Static Int by TDS'!$A$6:$O$305,6,FALSE),0)</f>
        <v>0</v>
      </c>
      <c r="AF83" s="20" t="e">
        <f>VLOOKUP(Data[[#This Row],[DEVELOPMENT]],[8]Developments!$A$2:$A$312,1,FALSE)</f>
        <v>#N/A</v>
      </c>
    </row>
    <row r="84" spans="1:32" x14ac:dyDescent="0.25">
      <c r="A84" t="s">
        <v>75</v>
      </c>
      <c r="B84" t="str">
        <f>VLOOKUP(Data[[#This Row],[DEVELOPMENT]],'[2]NYCHA_Development_Data_Book 201'!$B$2:$AY$324,40,FALSE)</f>
        <v>MANHATTAN</v>
      </c>
      <c r="C84" t="str">
        <f>VLOOKUP(Data[[#This Row],[DEVELOPMENT]],'[3]Cheat-Sheet'!$D$2:$Q$341,2,FALSE)</f>
        <v>DOUGLASS</v>
      </c>
      <c r="D84" t="str">
        <f>IF(VLOOKUP(Data[[#This Row],[DEVELOPMENT]],'[4]IC Categories'!$A$2:$G$325,3,FALSE)=0,"",VLOOKUP(Data[[#This Row],[DEVELOPMENT]],'[4]IC Categories'!$A$2:$G$325,3,FALSE))</f>
        <v/>
      </c>
      <c r="E84">
        <f>VLOOKUP(Data[[#This Row],[DEVELOPMENT]],'[2]NYCHA_Development_Data_Book 201'!$B$2:$AY$324,21,FALSE)</f>
        <v>1</v>
      </c>
      <c r="F84">
        <f>VLOOKUP(Data[[#This Row],[DEVELOPMENT]],'[2]NYCHA_Development_Data_Book 201'!$B$2:$AY$324,23,FALSE)</f>
        <v>1</v>
      </c>
      <c r="G84">
        <f>VLOOKUP(Data[[#This Row],[DEVELOPMENT]],'[2]NYCHA_Development_Data_Book 201'!$B$2:$AY$324,12,FALSE)</f>
        <v>135</v>
      </c>
      <c r="H84" t="s">
        <v>474</v>
      </c>
      <c r="I84" t="s">
        <v>471</v>
      </c>
      <c r="J84">
        <f>IFERROR(VLOOKUP(Data[[#This Row],[DEVELOPMENT]],[5]!Table1[[DEVELOPMENTS]:[Installation Date of Exterior Compactor]],4,FALSE),0)</f>
        <v>0</v>
      </c>
      <c r="K84" s="20">
        <f>IFERROR(VLOOKUP(Data[[#This Row],[DEVELOPMENT]],[5]!Table1[[DEVELOPMENTS]:[Installation Date of Exterior Compactor]],7,FALSE),0)</f>
        <v>0</v>
      </c>
      <c r="L84" s="42" t="str">
        <f>IF(Data[[#This Row],['# Interior Compactors]]=0,"",VLOOKUP(Data[[#This Row],[DEVELOPMENT]],[5]!Table1[[DEVELOPMENTS]:[Installation Date of Exterior Compactor]],5,FALSE))</f>
        <v/>
      </c>
      <c r="M84" s="43" t="str">
        <f>IF(Data[[#This Row],['# Exterior Compactors]]=0,"",VLOOKUP(Data[[#This Row],[DEVELOPMENT]],[5]!Table1[[DEVELOPMENTS]:[Installation Date of Exterior Compactor]],8,FALSE))</f>
        <v/>
      </c>
      <c r="N84">
        <f>Data[[#This Row],['# Interior Compactors]]</f>
        <v>0</v>
      </c>
      <c r="O84" s="20">
        <f>1</f>
        <v>1</v>
      </c>
      <c r="P84" s="20">
        <f>1</f>
        <v>1</v>
      </c>
      <c r="Q84" s="20">
        <f>1</f>
        <v>1</v>
      </c>
      <c r="R84" s="20">
        <f>1</f>
        <v>1</v>
      </c>
      <c r="S84" s="20">
        <f>1</f>
        <v>1</v>
      </c>
      <c r="T84" s="20">
        <f>Data[[#This Row],[DUs]]</f>
        <v>135</v>
      </c>
      <c r="U8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4" s="101">
        <f>VLOOKUP(Data[[#This Row],[DEVELOPMENT]],'[2]NYCHA_Development_Data_Book 201'!$B$2:$E$324,3,FALSE)</f>
        <v>148</v>
      </c>
      <c r="Y84" s="20"/>
      <c r="Z84" s="20">
        <f>IFERROR(VLOOKUP(Data[[#This Row],[TDS]],'[7]Static Ext by TDS'!$A$5:$E$120,2,FALSE),0)</f>
        <v>0</v>
      </c>
      <c r="AA84" s="20">
        <f>IFERROR(VLOOKUP(Data[[#This Row],[TDS]],'[7]Static Int by TDS'!$A$6:$O$305,2,FALSE),0)</f>
        <v>1</v>
      </c>
      <c r="AB84" s="20"/>
      <c r="AC84" s="20"/>
      <c r="AD84" s="20">
        <f>IFERROR(VLOOKUP(Data[[#This Row],[TDS]],'[7]Static Ext by TDS'!$A$5:$P$120,3,FALSE)+VLOOKUP(Data[[#This Row],[TDS]],'[7]Static Ext by TDS'!$A$5:$P$120,6,FALSE),0)</f>
        <v>0</v>
      </c>
      <c r="AE84" s="20">
        <f>IFERROR(VLOOKUP(Data[[#This Row],[TDS]],'[7]Static Int by TDS'!$A$6:$O$305,3,FALSE)+VLOOKUP(Data[[#This Row],[TDS]],'[7]Static Int by TDS'!$A$6:$O$305,6,FALSE),0)</f>
        <v>1</v>
      </c>
      <c r="AF84" s="20" t="str">
        <f>VLOOKUP(Data[[#This Row],[DEVELOPMENT]],[8]Developments!$A$2:$A$312,1,FALSE)</f>
        <v>DOUGLASS ADDITION</v>
      </c>
    </row>
    <row r="85" spans="1:32" x14ac:dyDescent="0.25">
      <c r="A85" t="s">
        <v>130</v>
      </c>
      <c r="B85" t="str">
        <f>VLOOKUP(Data[[#This Row],[DEVELOPMENT]],'[2]NYCHA_Development_Data_Book 201'!$B$2:$AY$324,40,FALSE)</f>
        <v>MANHATTAN</v>
      </c>
      <c r="C85" t="str">
        <f>VLOOKUP(Data[[#This Row],[DEVELOPMENT]],'[3]Cheat-Sheet'!$D$2:$Q$341,2,FALSE)</f>
        <v>DOUGLASS</v>
      </c>
      <c r="D85" t="str">
        <f>IF(VLOOKUP(Data[[#This Row],[DEVELOPMENT]],'[4]IC Categories'!$A$2:$G$325,3,FALSE)=0,"",VLOOKUP(Data[[#This Row],[DEVELOPMENT]],'[4]IC Categories'!$A$2:$G$325,3,FALSE))</f>
        <v/>
      </c>
      <c r="E85">
        <f>VLOOKUP(Data[[#This Row],[DEVELOPMENT]],'[2]NYCHA_Development_Data_Book 201'!$B$2:$AY$324,21,FALSE)</f>
        <v>11</v>
      </c>
      <c r="F85">
        <f>VLOOKUP(Data[[#This Row],[DEVELOPMENT]],'[2]NYCHA_Development_Data_Book 201'!$B$2:$AY$324,23,FALSE)</f>
        <v>11</v>
      </c>
      <c r="G85">
        <f>VLOOKUP(Data[[#This Row],[DEVELOPMENT]],'[2]NYCHA_Development_Data_Book 201'!$B$2:$AY$324,12,FALSE)</f>
        <v>1302</v>
      </c>
      <c r="H85" t="s">
        <v>474</v>
      </c>
      <c r="I85" t="s">
        <v>478</v>
      </c>
      <c r="J85">
        <f>IFERROR(VLOOKUP(Data[[#This Row],[DEVELOPMENT]],[5]!Table1[[DEVELOPMENTS]:[Installation Date of Exterior Compactor]],4,FALSE),0)</f>
        <v>0</v>
      </c>
      <c r="K85" s="20">
        <f>IFERROR(VLOOKUP(Data[[#This Row],[DEVELOPMENT]],[5]!Table1[[DEVELOPMENTS]:[Installation Date of Exterior Compactor]],7,FALSE),0)</f>
        <v>0</v>
      </c>
      <c r="L85" s="42" t="str">
        <f>IF(Data[[#This Row],['# Interior Compactors]]=0,"",VLOOKUP(Data[[#This Row],[DEVELOPMENT]],[5]!Table1[[DEVELOPMENTS]:[Installation Date of Exterior Compactor]],5,FALSE))</f>
        <v/>
      </c>
      <c r="M85" s="43" t="str">
        <f>IF(Data[[#This Row],['# Exterior Compactors]]=0,"",VLOOKUP(Data[[#This Row],[DEVELOPMENT]],[5]!Table1[[DEVELOPMENTS]:[Installation Date of Exterior Compactor]],8,FALSE))</f>
        <v/>
      </c>
      <c r="N85">
        <f>Data[[#This Row],['# Interior Compactors]]</f>
        <v>0</v>
      </c>
      <c r="O85" s="20">
        <f>1</f>
        <v>1</v>
      </c>
      <c r="P85" s="20">
        <f>1</f>
        <v>1</v>
      </c>
      <c r="Q85" s="20">
        <f>1</f>
        <v>1</v>
      </c>
      <c r="R85" s="20">
        <f>1</f>
        <v>1</v>
      </c>
      <c r="S85" s="20">
        <f>1</f>
        <v>1</v>
      </c>
      <c r="T85" s="20">
        <f>Data[[#This Row],[DUs]]</f>
        <v>1302</v>
      </c>
      <c r="U8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5" s="101">
        <f>VLOOKUP(Data[[#This Row],[DEVELOPMENT]],'[2]NYCHA_Development_Data_Book 201'!$B$2:$E$324,3,FALSE)</f>
        <v>82</v>
      </c>
      <c r="Y85" s="20"/>
      <c r="Z85" s="20">
        <f>IFERROR(VLOOKUP(Data[[#This Row],[TDS]],'[7]Static Ext by TDS'!$A$5:$E$120,2,FALSE),0)</f>
        <v>0</v>
      </c>
      <c r="AA85" s="20">
        <f>IFERROR(VLOOKUP(Data[[#This Row],[TDS]],'[7]Static Int by TDS'!$A$6:$O$305,2,FALSE),0)</f>
        <v>11</v>
      </c>
      <c r="AB85" s="20"/>
      <c r="AC85" s="20"/>
      <c r="AD85" s="20">
        <f>IFERROR(VLOOKUP(Data[[#This Row],[TDS]],'[7]Static Ext by TDS'!$A$5:$P$120,3,FALSE)+VLOOKUP(Data[[#This Row],[TDS]],'[7]Static Ext by TDS'!$A$5:$P$120,6,FALSE),0)</f>
        <v>0</v>
      </c>
      <c r="AE85" s="20">
        <f>IFERROR(VLOOKUP(Data[[#This Row],[TDS]],'[7]Static Int by TDS'!$A$6:$O$305,3,FALSE)+VLOOKUP(Data[[#This Row],[TDS]],'[7]Static Int by TDS'!$A$6:$O$305,6,FALSE),0)</f>
        <v>11</v>
      </c>
      <c r="AF85" s="20" t="str">
        <f>VLOOKUP(Data[[#This Row],[DEVELOPMENT]],[8]Developments!$A$2:$A$312,1,FALSE)</f>
        <v>DOUGLASS I</v>
      </c>
    </row>
    <row r="86" spans="1:32" x14ac:dyDescent="0.25">
      <c r="A86" t="s">
        <v>76</v>
      </c>
      <c r="B86" t="str">
        <f>VLOOKUP(Data[[#This Row],[DEVELOPMENT]],'[2]NYCHA_Development_Data_Book 201'!$B$2:$AY$324,40,FALSE)</f>
        <v>MANHATTAN</v>
      </c>
      <c r="C86" t="str">
        <f>VLOOKUP(Data[[#This Row],[DEVELOPMENT]],'[3]Cheat-Sheet'!$D$2:$Q$341,2,FALSE)</f>
        <v>DOUGLASS</v>
      </c>
      <c r="D86" t="str">
        <f>IF(VLOOKUP(Data[[#This Row],[DEVELOPMENT]],'[4]IC Categories'!$A$2:$G$325,3,FALSE)=0,"",VLOOKUP(Data[[#This Row],[DEVELOPMENT]],'[4]IC Categories'!$A$2:$G$325,3,FALSE))</f>
        <v/>
      </c>
      <c r="E86">
        <f>VLOOKUP(Data[[#This Row],[DEVELOPMENT]],'[2]NYCHA_Development_Data_Book 201'!$B$2:$AY$324,21,FALSE)</f>
        <v>6</v>
      </c>
      <c r="F86">
        <f>VLOOKUP(Data[[#This Row],[DEVELOPMENT]],'[2]NYCHA_Development_Data_Book 201'!$B$2:$AY$324,23,FALSE)</f>
        <v>6</v>
      </c>
      <c r="G86">
        <f>VLOOKUP(Data[[#This Row],[DEVELOPMENT]],'[2]NYCHA_Development_Data_Book 201'!$B$2:$AY$324,12,FALSE)</f>
        <v>752</v>
      </c>
      <c r="H86" t="s">
        <v>474</v>
      </c>
      <c r="I86" t="s">
        <v>478</v>
      </c>
      <c r="J86">
        <f>IFERROR(VLOOKUP(Data[[#This Row],[DEVELOPMENT]],[5]!Table1[[DEVELOPMENTS]:[Installation Date of Exterior Compactor]],4,FALSE),0)</f>
        <v>0</v>
      </c>
      <c r="K86" s="20">
        <f>IFERROR(VLOOKUP(Data[[#This Row],[DEVELOPMENT]],[5]!Table1[[DEVELOPMENTS]:[Installation Date of Exterior Compactor]],7,FALSE),0)</f>
        <v>0</v>
      </c>
      <c r="L86" s="42" t="str">
        <f>IF(Data[[#This Row],['# Interior Compactors]]=0,"",VLOOKUP(Data[[#This Row],[DEVELOPMENT]],[5]!Table1[[DEVELOPMENTS]:[Installation Date of Exterior Compactor]],5,FALSE))</f>
        <v/>
      </c>
      <c r="M86" s="43" t="str">
        <f>IF(Data[[#This Row],['# Exterior Compactors]]=0,"",VLOOKUP(Data[[#This Row],[DEVELOPMENT]],[5]!Table1[[DEVELOPMENTS]:[Installation Date of Exterior Compactor]],8,FALSE))</f>
        <v/>
      </c>
      <c r="N86">
        <f>Data[[#This Row],['# Interior Compactors]]</f>
        <v>0</v>
      </c>
      <c r="O86" s="20">
        <f>1</f>
        <v>1</v>
      </c>
      <c r="P86" s="20">
        <f>1</f>
        <v>1</v>
      </c>
      <c r="Q86" s="20">
        <f>1</f>
        <v>1</v>
      </c>
      <c r="R86" s="20">
        <f>1</f>
        <v>1</v>
      </c>
      <c r="S86" s="20">
        <f>1</f>
        <v>1</v>
      </c>
      <c r="T86" s="20">
        <f>Data[[#This Row],[DUs]]</f>
        <v>752</v>
      </c>
      <c r="U8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6" s="101">
        <f>VLOOKUP(Data[[#This Row],[DEVELOPMENT]],'[2]NYCHA_Development_Data_Book 201'!$B$2:$E$324,3,FALSE)</f>
        <v>582</v>
      </c>
      <c r="Y86" s="20"/>
      <c r="Z86" s="20">
        <f>IFERROR(VLOOKUP(Data[[#This Row],[TDS]],'[7]Static Ext by TDS'!$A$5:$E$120,2,FALSE),0)</f>
        <v>0</v>
      </c>
      <c r="AA86" s="20">
        <f>IFERROR(VLOOKUP(Data[[#This Row],[TDS]],'[7]Static Int by TDS'!$A$6:$O$305,2,FALSE),0)</f>
        <v>6</v>
      </c>
      <c r="AB86" s="20"/>
      <c r="AC86" s="20"/>
      <c r="AD86" s="20">
        <f>IFERROR(VLOOKUP(Data[[#This Row],[TDS]],'[7]Static Ext by TDS'!$A$5:$P$120,3,FALSE)+VLOOKUP(Data[[#This Row],[TDS]],'[7]Static Ext by TDS'!$A$5:$P$120,6,FALSE),0)</f>
        <v>0</v>
      </c>
      <c r="AE86" s="20">
        <f>IFERROR(VLOOKUP(Data[[#This Row],[TDS]],'[7]Static Int by TDS'!$A$6:$O$305,3,FALSE)+VLOOKUP(Data[[#This Row],[TDS]],'[7]Static Int by TDS'!$A$6:$O$305,6,FALSE),0)</f>
        <v>6</v>
      </c>
      <c r="AF86" s="20" t="str">
        <f>VLOOKUP(Data[[#This Row],[DEVELOPMENT]],[8]Developments!$A$2:$A$312,1,FALSE)</f>
        <v>DOUGLASS II</v>
      </c>
    </row>
    <row r="87" spans="1:32" x14ac:dyDescent="0.25">
      <c r="A87" t="s">
        <v>77</v>
      </c>
      <c r="B87" t="str">
        <f>VLOOKUP(Data[[#This Row],[DEVELOPMENT]],'[2]NYCHA_Development_Data_Book 201'!$B$2:$AY$324,40,FALSE)</f>
        <v>MANHATTAN</v>
      </c>
      <c r="C87" t="str">
        <f>VLOOKUP(Data[[#This Row],[DEVELOPMENT]],'[3]Cheat-Sheet'!$D$2:$Q$341,2,FALSE)</f>
        <v>DREW-HAMILTON</v>
      </c>
      <c r="D87" t="str">
        <f>IF(VLOOKUP(Data[[#This Row],[DEVELOPMENT]],'[4]IC Categories'!$A$2:$G$325,3,FALSE)=0,"",VLOOKUP(Data[[#This Row],[DEVELOPMENT]],'[4]IC Categories'!$A$2:$G$325,3,FALSE))</f>
        <v/>
      </c>
      <c r="E87">
        <f>VLOOKUP(Data[[#This Row],[DEVELOPMENT]],'[2]NYCHA_Development_Data_Book 201'!$B$2:$AY$324,21,FALSE)</f>
        <v>5</v>
      </c>
      <c r="F87">
        <f>VLOOKUP(Data[[#This Row],[DEVELOPMENT]],'[2]NYCHA_Development_Data_Book 201'!$B$2:$AY$324,23,FALSE)</f>
        <v>5</v>
      </c>
      <c r="G87">
        <f>VLOOKUP(Data[[#This Row],[DEVELOPMENT]],'[2]NYCHA_Development_Data_Book 201'!$B$2:$AY$324,12,FALSE)</f>
        <v>1211</v>
      </c>
      <c r="H87" t="s">
        <v>470</v>
      </c>
      <c r="I87" t="s">
        <v>471</v>
      </c>
      <c r="J87">
        <f>IFERROR(VLOOKUP(Data[[#This Row],[DEVELOPMENT]],[5]!Table1[[DEVELOPMENTS]:[Installation Date of Exterior Compactor]],4,FALSE),0)</f>
        <v>0</v>
      </c>
      <c r="K87" s="20">
        <f>IFERROR(VLOOKUP(Data[[#This Row],[DEVELOPMENT]],[5]!Table1[[DEVELOPMENTS]:[Installation Date of Exterior Compactor]],7,FALSE),0)</f>
        <v>0</v>
      </c>
      <c r="L87" s="42" t="str">
        <f>IF(Data[[#This Row],['# Interior Compactors]]=0,"",VLOOKUP(Data[[#This Row],[DEVELOPMENT]],[5]!Table1[[DEVELOPMENTS]:[Installation Date of Exterior Compactor]],5,FALSE))</f>
        <v/>
      </c>
      <c r="M87" s="43" t="str">
        <f>IF(Data[[#This Row],['# Exterior Compactors]]=0,"",VLOOKUP(Data[[#This Row],[DEVELOPMENT]],[5]!Table1[[DEVELOPMENTS]:[Installation Date of Exterior Compactor]],8,FALSE))</f>
        <v/>
      </c>
      <c r="N87">
        <f>Data[[#This Row],['# Interior Compactors]]</f>
        <v>0</v>
      </c>
      <c r="O87" s="20">
        <f>1</f>
        <v>1</v>
      </c>
      <c r="P87" s="20">
        <f>1</f>
        <v>1</v>
      </c>
      <c r="Q87" s="20">
        <f>1</f>
        <v>1</v>
      </c>
      <c r="R87" s="20">
        <f>1</f>
        <v>1</v>
      </c>
      <c r="S87" s="20">
        <f>1</f>
        <v>1</v>
      </c>
      <c r="T87" s="20">
        <f>Data[[#This Row],[DUs]]</f>
        <v>1211</v>
      </c>
      <c r="U8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7" s="101">
        <f>VLOOKUP(Data[[#This Row],[DEVELOPMENT]],'[2]NYCHA_Development_Data_Book 201'!$B$2:$E$324,3,FALSE)</f>
        <v>111</v>
      </c>
      <c r="Y87" s="20"/>
      <c r="Z87" s="20">
        <f>IFERROR(VLOOKUP(Data[[#This Row],[TDS]],'[7]Static Ext by TDS'!$A$5:$E$120,2,FALSE),0)</f>
        <v>2</v>
      </c>
      <c r="AA87" s="20">
        <f>IFERROR(VLOOKUP(Data[[#This Row],[TDS]],'[7]Static Int by TDS'!$A$6:$O$305,2,FALSE),0)</f>
        <v>5</v>
      </c>
      <c r="AB87" s="20"/>
      <c r="AC87" s="20"/>
      <c r="AD87" s="20">
        <f>IFERROR(VLOOKUP(Data[[#This Row],[TDS]],'[7]Static Ext by TDS'!$A$5:$P$120,3,FALSE)+VLOOKUP(Data[[#This Row],[TDS]],'[7]Static Ext by TDS'!$A$5:$P$120,6,FALSE),0)</f>
        <v>2</v>
      </c>
      <c r="AE87" s="20">
        <f>IFERROR(VLOOKUP(Data[[#This Row],[TDS]],'[7]Static Int by TDS'!$A$6:$O$305,3,FALSE)+VLOOKUP(Data[[#This Row],[TDS]],'[7]Static Int by TDS'!$A$6:$O$305,6,FALSE),0)</f>
        <v>5</v>
      </c>
      <c r="AF87" s="20" t="str">
        <f>VLOOKUP(Data[[#This Row],[DEVELOPMENT]],[8]Developments!$A$2:$A$312,1,FALSE)</f>
        <v>DREW-HAMILTON</v>
      </c>
    </row>
    <row r="88" spans="1:32" x14ac:dyDescent="0.25">
      <c r="A88" t="s">
        <v>209</v>
      </c>
      <c r="B88" s="20" t="str">
        <f>VLOOKUP(Data[[#This Row],[DEVELOPMENT]],'[2]NYCHA_Development_Data_Book 201'!$B$2:$AY$324,40,FALSE)</f>
        <v>MANHATTAN</v>
      </c>
      <c r="C88" s="20" t="str">
        <f>VLOOKUP(Data[[#This Row],[DEVELOPMENT]],'[3]Cheat-Sheet'!$D$2:$Q$341,2,FALSE)</f>
        <v>DYCKMAN</v>
      </c>
      <c r="D88" s="20" t="str">
        <f>IF(VLOOKUP(Data[[#This Row],[DEVELOPMENT]],'[4]IC Categories'!$A$2:$G$325,3,FALSE)=0,"",VLOOKUP(Data[[#This Row],[DEVELOPMENT]],'[4]IC Categories'!$A$2:$G$325,3,FALSE))</f>
        <v/>
      </c>
      <c r="E88" s="20">
        <f>VLOOKUP(Data[[#This Row],[DEVELOPMENT]],'[2]NYCHA_Development_Data_Book 201'!$B$2:$AY$324,21,FALSE)</f>
        <v>7</v>
      </c>
      <c r="F88" s="20">
        <f>VLOOKUP(Data[[#This Row],[DEVELOPMENT]],'[2]NYCHA_Development_Data_Book 201'!$B$2:$AY$324,23,FALSE)</f>
        <v>8</v>
      </c>
      <c r="G88" s="20">
        <f>VLOOKUP(Data[[#This Row],[DEVELOPMENT]],'[2]NYCHA_Development_Data_Book 201'!$B$2:$AY$324,12,FALSE)</f>
        <v>1167</v>
      </c>
      <c r="J88">
        <f>IFERROR(VLOOKUP(Data[[#This Row],[DEVELOPMENT]],[5]!Table1[[DEVELOPMENTS]:[Installation Date of Exterior Compactor]],4,FALSE),0)</f>
        <v>0</v>
      </c>
      <c r="K88" s="20">
        <f>IFERROR(VLOOKUP(Data[[#This Row],[DEVELOPMENT]],[5]!Table1[[DEVELOPMENTS]:[Installation Date of Exterior Compactor]],7,FALSE),0)</f>
        <v>0</v>
      </c>
      <c r="L88" s="42" t="str">
        <f>IF(Data[[#This Row],['# Interior Compactors]]=0,"",VLOOKUP(Data[[#This Row],[DEVELOPMENT]],[5]!Table1[[DEVELOPMENTS]:[Installation Date of Exterior Compactor]],5,FALSE))</f>
        <v/>
      </c>
      <c r="M88" s="43" t="str">
        <f>IF(Data[[#This Row],['# Exterior Compactors]]=0,"",VLOOKUP(Data[[#This Row],[DEVELOPMENT]],[5]!Table1[[DEVELOPMENTS]:[Installation Date of Exterior Compactor]],8,FALSE))</f>
        <v/>
      </c>
      <c r="N88" s="20">
        <f>Data[[#This Row],['# Interior Compactors]]</f>
        <v>0</v>
      </c>
      <c r="O88" s="20">
        <f>1</f>
        <v>1</v>
      </c>
      <c r="P88" s="20">
        <f>1</f>
        <v>1</v>
      </c>
      <c r="Q88" s="20">
        <f>1</f>
        <v>1</v>
      </c>
      <c r="R88" s="20">
        <f>1</f>
        <v>1</v>
      </c>
      <c r="S88" s="20">
        <f>1</f>
        <v>1</v>
      </c>
      <c r="T88" s="20">
        <f>Data[[#This Row],[DUs]]</f>
        <v>1167</v>
      </c>
      <c r="U8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8" s="101">
        <f>VLOOKUP(Data[[#This Row],[DEVELOPMENT]],'[2]NYCHA_Development_Data_Book 201'!$B$2:$E$324,3,FALSE)</f>
        <v>41</v>
      </c>
      <c r="Y88" s="20"/>
      <c r="Z88" s="20">
        <f>IFERROR(VLOOKUP(Data[[#This Row],[TDS]],'[7]Static Ext by TDS'!$A$5:$E$120,2,FALSE),0)</f>
        <v>2</v>
      </c>
      <c r="AA88" s="20">
        <f>IFERROR(VLOOKUP(Data[[#This Row],[TDS]],'[7]Static Int by TDS'!$A$6:$O$305,2,FALSE),0)</f>
        <v>14</v>
      </c>
      <c r="AB88" s="20"/>
      <c r="AC88" s="20"/>
      <c r="AD88" s="20">
        <f>IFERROR(VLOOKUP(Data[[#This Row],[TDS]],'[7]Static Ext by TDS'!$A$5:$P$120,3,FALSE)+VLOOKUP(Data[[#This Row],[TDS]],'[7]Static Ext by TDS'!$A$5:$P$120,6,FALSE),0)</f>
        <v>0</v>
      </c>
      <c r="AE88" s="20">
        <f>IFERROR(VLOOKUP(Data[[#This Row],[TDS]],'[7]Static Int by TDS'!$A$6:$O$305,3,FALSE)+VLOOKUP(Data[[#This Row],[TDS]],'[7]Static Int by TDS'!$A$6:$O$305,6,FALSE),0)</f>
        <v>14</v>
      </c>
      <c r="AF88" s="20" t="str">
        <f>VLOOKUP(Data[[#This Row],[DEVELOPMENT]],[8]Developments!$A$2:$A$312,1,FALSE)</f>
        <v>DYCKMAN</v>
      </c>
    </row>
    <row r="89" spans="1:32" x14ac:dyDescent="0.25">
      <c r="A89" t="s">
        <v>210</v>
      </c>
      <c r="B89" s="20" t="str">
        <f>VLOOKUP(Data[[#This Row],[DEVELOPMENT]],'[2]NYCHA_Development_Data_Book 201'!$B$2:$AY$324,40,FALSE)</f>
        <v>BRONX</v>
      </c>
      <c r="C89" s="20" t="str">
        <f>VLOOKUP(Data[[#This Row],[DEVELOPMENT]],'[3]Cheat-Sheet'!$D$2:$Q$341,2,FALSE)</f>
        <v>FOREST</v>
      </c>
      <c r="D89" s="20" t="str">
        <f>IF(VLOOKUP(Data[[#This Row],[DEVELOPMENT]],'[4]IC Categories'!$A$2:$G$325,3,FALSE)=0,"",VLOOKUP(Data[[#This Row],[DEVELOPMENT]],'[4]IC Categories'!$A$2:$G$325,3,FALSE))</f>
        <v/>
      </c>
      <c r="E89" s="20">
        <f>VLOOKUP(Data[[#This Row],[DEVELOPMENT]],'[2]NYCHA_Development_Data_Book 201'!$B$2:$AY$324,21,FALSE)</f>
        <v>1</v>
      </c>
      <c r="F89" s="20">
        <f>VLOOKUP(Data[[#This Row],[DEVELOPMENT]],'[2]NYCHA_Development_Data_Book 201'!$B$2:$AY$324,23,FALSE)</f>
        <v>1</v>
      </c>
      <c r="G89" s="20">
        <f>VLOOKUP(Data[[#This Row],[DEVELOPMENT]],'[2]NYCHA_Development_Data_Book 201'!$B$2:$AY$324,12,FALSE)</f>
        <v>65</v>
      </c>
      <c r="J89">
        <f>IFERROR(VLOOKUP(Data[[#This Row],[DEVELOPMENT]],[5]!Table1[[DEVELOPMENTS]:[Installation Date of Exterior Compactor]],4,FALSE),0)</f>
        <v>0</v>
      </c>
      <c r="K89" s="20">
        <f>IFERROR(VLOOKUP(Data[[#This Row],[DEVELOPMENT]],[5]!Table1[[DEVELOPMENTS]:[Installation Date of Exterior Compactor]],7,FALSE),0)</f>
        <v>0</v>
      </c>
      <c r="L89" s="42" t="str">
        <f>IF(Data[[#This Row],['# Interior Compactors]]=0,"",VLOOKUP(Data[[#This Row],[DEVELOPMENT]],[5]!Table1[[DEVELOPMENTS]:[Installation Date of Exterior Compactor]],5,FALSE))</f>
        <v/>
      </c>
      <c r="M89" s="43" t="str">
        <f>IF(Data[[#This Row],['# Exterior Compactors]]=0,"",VLOOKUP(Data[[#This Row],[DEVELOPMENT]],[5]!Table1[[DEVELOPMENTS]:[Installation Date of Exterior Compactor]],8,FALSE))</f>
        <v/>
      </c>
      <c r="N89" s="20">
        <f>Data[[#This Row],['# Interior Compactors]]</f>
        <v>0</v>
      </c>
      <c r="O89" s="20">
        <f>1</f>
        <v>1</v>
      </c>
      <c r="P89" s="20">
        <f>1</f>
        <v>1</v>
      </c>
      <c r="Q89" s="20">
        <f>1</f>
        <v>1</v>
      </c>
      <c r="R89" s="20">
        <f>1</f>
        <v>1</v>
      </c>
      <c r="S89" s="20">
        <f>1</f>
        <v>1</v>
      </c>
      <c r="T89" s="20">
        <f>Data[[#This Row],[DUs]]</f>
        <v>65</v>
      </c>
      <c r="U8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8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8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89" s="101">
        <f>VLOOKUP(Data[[#This Row],[DEVELOPMENT]],'[2]NYCHA_Development_Data_Book 201'!$B$2:$E$324,3,FALSE)</f>
        <v>224</v>
      </c>
      <c r="Y89" s="20"/>
      <c r="Z89" s="20">
        <f>IFERROR(VLOOKUP(Data[[#This Row],[TDS]],'[7]Static Ext by TDS'!$A$5:$E$120,2,FALSE),0)</f>
        <v>0</v>
      </c>
      <c r="AA89" s="20">
        <f>IFERROR(VLOOKUP(Data[[#This Row],[TDS]],'[7]Static Int by TDS'!$A$6:$O$305,2,FALSE),0)</f>
        <v>1</v>
      </c>
      <c r="AB89" s="20"/>
      <c r="AC89" s="20"/>
      <c r="AD89" s="20">
        <f>IFERROR(VLOOKUP(Data[[#This Row],[TDS]],'[7]Static Ext by TDS'!$A$5:$P$120,3,FALSE)+VLOOKUP(Data[[#This Row],[TDS]],'[7]Static Ext by TDS'!$A$5:$P$120,6,FALSE),0)</f>
        <v>0</v>
      </c>
      <c r="AE89" s="20">
        <f>IFERROR(VLOOKUP(Data[[#This Row],[TDS]],'[7]Static Int by TDS'!$A$6:$O$305,3,FALSE)+VLOOKUP(Data[[#This Row],[TDS]],'[7]Static Int by TDS'!$A$6:$O$305,6,FALSE),0)</f>
        <v>1</v>
      </c>
      <c r="AF89" s="20" t="str">
        <f>VLOOKUP(Data[[#This Row],[DEVELOPMENT]],[8]Developments!$A$2:$A$312,1,FALSE)</f>
        <v>EAGLE AVENUE-EAST 163RD STREET</v>
      </c>
    </row>
    <row r="90" spans="1:32" x14ac:dyDescent="0.25">
      <c r="A90" t="s">
        <v>211</v>
      </c>
      <c r="B90" s="20" t="str">
        <f>VLOOKUP(Data[[#This Row],[DEVELOPMENT]],'[2]NYCHA_Development_Data_Book 201'!$B$2:$AY$324,40,FALSE)</f>
        <v>BRONX</v>
      </c>
      <c r="C90" s="20" t="str">
        <f>VLOOKUP(Data[[#This Row],[DEVELOPMENT]],'[3]Cheat-Sheet'!$D$2:$Q$341,2,FALSE)</f>
        <v>MELROSE</v>
      </c>
      <c r="D90" s="20">
        <f>IF(VLOOKUP(Data[[#This Row],[DEVELOPMENT]],'[4]IC Categories'!$A$2:$G$325,3,FALSE)=0,"",VLOOKUP(Data[[#This Row],[DEVELOPMENT]],'[4]IC Categories'!$A$2:$G$325,3,FALSE))</f>
        <v>2023</v>
      </c>
      <c r="E90" s="20">
        <f>VLOOKUP(Data[[#This Row],[DEVELOPMENT]],'[2]NYCHA_Development_Data_Book 201'!$B$2:$AY$324,21,FALSE)</f>
        <v>2</v>
      </c>
      <c r="F90" s="20">
        <f>VLOOKUP(Data[[#This Row],[DEVELOPMENT]],'[2]NYCHA_Development_Data_Book 201'!$B$2:$AY$324,23,FALSE)</f>
        <v>2</v>
      </c>
      <c r="G90" s="20">
        <f>VLOOKUP(Data[[#This Row],[DEVELOPMENT]],'[2]NYCHA_Development_Data_Book 201'!$B$2:$AY$324,12,FALSE)</f>
        <v>221</v>
      </c>
      <c r="J90">
        <f>IFERROR(VLOOKUP(Data[[#This Row],[DEVELOPMENT]],[5]!Table1[[DEVELOPMENTS]:[Installation Date of Exterior Compactor]],4,FALSE),0)</f>
        <v>0</v>
      </c>
      <c r="K90" s="20">
        <f>IFERROR(VLOOKUP(Data[[#This Row],[DEVELOPMENT]],[5]!Table1[[DEVELOPMENTS]:[Installation Date of Exterior Compactor]],7,FALSE),0)</f>
        <v>0</v>
      </c>
      <c r="L90" s="42" t="str">
        <f>IF(Data[[#This Row],['# Interior Compactors]]=0,"",VLOOKUP(Data[[#This Row],[DEVELOPMENT]],[5]!Table1[[DEVELOPMENTS]:[Installation Date of Exterior Compactor]],5,FALSE))</f>
        <v/>
      </c>
      <c r="M90" s="43" t="str">
        <f>IF(Data[[#This Row],['# Exterior Compactors]]=0,"",VLOOKUP(Data[[#This Row],[DEVELOPMENT]],[5]!Table1[[DEVELOPMENTS]:[Installation Date of Exterior Compactor]],8,FALSE))</f>
        <v/>
      </c>
      <c r="N90" s="20">
        <f>Data[[#This Row],['# Interior Compactors]]</f>
        <v>0</v>
      </c>
      <c r="O90" s="20">
        <f>1</f>
        <v>1</v>
      </c>
      <c r="P90" s="20">
        <f>1</f>
        <v>1</v>
      </c>
      <c r="Q90" s="20">
        <f>1</f>
        <v>1</v>
      </c>
      <c r="R90" s="20">
        <f>1</f>
        <v>1</v>
      </c>
      <c r="S90" s="20">
        <f>1</f>
        <v>1</v>
      </c>
      <c r="T90" s="20">
        <f>Data[[#This Row],[DUs]]</f>
        <v>221</v>
      </c>
      <c r="U9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0" s="101">
        <f>VLOOKUP(Data[[#This Row],[DEVELOPMENT]],'[2]NYCHA_Development_Data_Book 201'!$B$2:$E$324,3,FALSE)</f>
        <v>237</v>
      </c>
      <c r="Y90" s="20"/>
      <c r="Z90" s="20">
        <f>IFERROR(VLOOKUP(Data[[#This Row],[TDS]],'[7]Static Ext by TDS'!$A$5:$E$120,2,FALSE),0)</f>
        <v>1</v>
      </c>
      <c r="AA90" s="20">
        <f>IFERROR(VLOOKUP(Data[[#This Row],[TDS]],'[7]Static Int by TDS'!$A$6:$O$305,2,FALSE),0)</f>
        <v>2</v>
      </c>
      <c r="AB90" s="20"/>
      <c r="AC90" s="20"/>
      <c r="AD90" s="20">
        <f>IFERROR(VLOOKUP(Data[[#This Row],[TDS]],'[7]Static Ext by TDS'!$A$5:$P$120,3,FALSE)+VLOOKUP(Data[[#This Row],[TDS]],'[7]Static Ext by TDS'!$A$5:$P$120,6,FALSE),0)</f>
        <v>1</v>
      </c>
      <c r="AE90" s="20">
        <f>IFERROR(VLOOKUP(Data[[#This Row],[TDS]],'[7]Static Int by TDS'!$A$6:$O$305,3,FALSE)+VLOOKUP(Data[[#This Row],[TDS]],'[7]Static Int by TDS'!$A$6:$O$305,6,FALSE),0)</f>
        <v>2</v>
      </c>
      <c r="AF90" s="20" t="str">
        <f>VLOOKUP(Data[[#This Row],[DEVELOPMENT]],[8]Developments!$A$2:$A$312,1,FALSE)</f>
        <v>EAST 152ND STREET-COURTLANDT AVENUE</v>
      </c>
    </row>
    <row r="91" spans="1:32" x14ac:dyDescent="0.25">
      <c r="A91" t="s">
        <v>212</v>
      </c>
      <c r="B91" s="20" t="str">
        <f>VLOOKUP(Data[[#This Row],[DEVELOPMENT]],'[2]NYCHA_Development_Data_Book 201'!$B$2:$AY$324,40,FALSE)</f>
        <v>BRONX</v>
      </c>
      <c r="C91" s="20" t="str">
        <f>VLOOKUP(Data[[#This Row],[DEVELOPMENT]],'[3]Cheat-Sheet'!$D$2:$Q$341,2,FALSE)</f>
        <v>BUILDING MANAGEMENT ASSOCIATES (PRIVATE - BX 1)</v>
      </c>
      <c r="D91" s="20" t="str">
        <f>IF(VLOOKUP(Data[[#This Row],[DEVELOPMENT]],'[4]IC Categories'!$A$2:$G$325,3,FALSE)=0,"",VLOOKUP(Data[[#This Row],[DEVELOPMENT]],'[4]IC Categories'!$A$2:$G$325,3,FALSE))</f>
        <v/>
      </c>
      <c r="E91" s="20">
        <f>VLOOKUP(Data[[#This Row],[DEVELOPMENT]],'[2]NYCHA_Development_Data_Book 201'!$B$2:$AY$324,21,FALSE)</f>
        <v>5</v>
      </c>
      <c r="F91" s="20">
        <f>VLOOKUP(Data[[#This Row],[DEVELOPMENT]],'[2]NYCHA_Development_Data_Book 201'!$B$2:$AY$324,23,FALSE)</f>
        <v>19</v>
      </c>
      <c r="G91" s="20">
        <f>VLOOKUP(Data[[#This Row],[DEVELOPMENT]],'[2]NYCHA_Development_Data_Book 201'!$B$2:$AY$324,12,FALSE)</f>
        <v>111</v>
      </c>
      <c r="H91" t="s">
        <v>476</v>
      </c>
      <c r="J91">
        <f>IFERROR(VLOOKUP(Data[[#This Row],[DEVELOPMENT]],[5]!Table1[[DEVELOPMENTS]:[Installation Date of Exterior Compactor]],4,FALSE),0)</f>
        <v>0</v>
      </c>
      <c r="K91" s="20">
        <f>IFERROR(VLOOKUP(Data[[#This Row],[DEVELOPMENT]],[5]!Table1[[DEVELOPMENTS]:[Installation Date of Exterior Compactor]],7,FALSE),0)</f>
        <v>0</v>
      </c>
      <c r="L91" s="42" t="str">
        <f>IF(Data[[#This Row],['# Interior Compactors]]=0,"",VLOOKUP(Data[[#This Row],[DEVELOPMENT]],[5]!Table1[[DEVELOPMENTS]:[Installation Date of Exterior Compactor]],5,FALSE))</f>
        <v/>
      </c>
      <c r="M91" s="43" t="str">
        <f>IF(Data[[#This Row],['# Exterior Compactors]]=0,"",VLOOKUP(Data[[#This Row],[DEVELOPMENT]],[5]!Table1[[DEVELOPMENTS]:[Installation Date of Exterior Compactor]],8,FALSE))</f>
        <v/>
      </c>
      <c r="N91" s="20">
        <f>Data[[#This Row],['# Interior Compactors]]</f>
        <v>0</v>
      </c>
      <c r="O91" s="20">
        <f>1</f>
        <v>1</v>
      </c>
      <c r="P91" s="20">
        <f>1</f>
        <v>1</v>
      </c>
      <c r="Q91" s="20">
        <f>1</f>
        <v>1</v>
      </c>
      <c r="R91" s="20">
        <f>1</f>
        <v>1</v>
      </c>
      <c r="S91" s="20">
        <f>1</f>
        <v>1</v>
      </c>
      <c r="T91" s="20">
        <f>Data[[#This Row],[DUs]]</f>
        <v>111</v>
      </c>
      <c r="U9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1" s="101">
        <f>VLOOKUP(Data[[#This Row],[DEVELOPMENT]],'[2]NYCHA_Development_Data_Book 201'!$B$2:$E$324,3,FALSE)</f>
        <v>304</v>
      </c>
      <c r="Y91" s="20"/>
      <c r="Z91" s="20">
        <f>IFERROR(VLOOKUP(Data[[#This Row],[TDS]],'[7]Static Ext by TDS'!$A$5:$E$120,2,FALSE),0)</f>
        <v>0</v>
      </c>
      <c r="AA91" s="20">
        <f>IFERROR(VLOOKUP(Data[[#This Row],[TDS]],'[7]Static Int by TDS'!$A$6:$O$305,2,FALSE),0)</f>
        <v>0</v>
      </c>
      <c r="AB91" s="20"/>
      <c r="AC91" s="20"/>
      <c r="AD91" s="20">
        <f>IFERROR(VLOOKUP(Data[[#This Row],[TDS]],'[7]Static Ext by TDS'!$A$5:$P$120,3,FALSE)+VLOOKUP(Data[[#This Row],[TDS]],'[7]Static Ext by TDS'!$A$5:$P$120,6,FALSE),0)</f>
        <v>0</v>
      </c>
      <c r="AE91" s="20">
        <f>IFERROR(VLOOKUP(Data[[#This Row],[TDS]],'[7]Static Int by TDS'!$A$6:$O$305,3,FALSE)+VLOOKUP(Data[[#This Row],[TDS]],'[7]Static Int by TDS'!$A$6:$O$305,6,FALSE),0)</f>
        <v>0</v>
      </c>
      <c r="AF91" s="20" t="str">
        <f>VLOOKUP(Data[[#This Row],[DEVELOPMENT]],[8]Developments!$A$2:$A$312,1,FALSE)</f>
        <v>EAST 165TH STREET-BRYANT AVENUE</v>
      </c>
    </row>
    <row r="92" spans="1:32" x14ac:dyDescent="0.25">
      <c r="A92" t="s">
        <v>213</v>
      </c>
      <c r="B92" s="20" t="str">
        <f>VLOOKUP(Data[[#This Row],[DEVELOPMENT]],'[2]NYCHA_Development_Data_Book 201'!$B$2:$AY$324,40,FALSE)</f>
        <v>BRONX</v>
      </c>
      <c r="C92" s="20" t="str">
        <f>VLOOKUP(Data[[#This Row],[DEVELOPMENT]],'[3]Cheat-Sheet'!$D$2:$Q$341,2,FALSE)</f>
        <v>BUILDING MANAGEMENT ASSOCIATES (PRIVATE - BX 1)</v>
      </c>
      <c r="D92" s="20" t="str">
        <f>IF(VLOOKUP(Data[[#This Row],[DEVELOPMENT]],'[4]IC Categories'!$A$2:$G$325,3,FALSE)=0,"",VLOOKUP(Data[[#This Row],[DEVELOPMENT]],'[4]IC Categories'!$A$2:$G$325,3,FALSE))</f>
        <v/>
      </c>
      <c r="E92" s="20">
        <f>VLOOKUP(Data[[#This Row],[DEVELOPMENT]],'[2]NYCHA_Development_Data_Book 201'!$B$2:$AY$324,21,FALSE)</f>
        <v>7</v>
      </c>
      <c r="F92" s="20">
        <f>VLOOKUP(Data[[#This Row],[DEVELOPMENT]],'[2]NYCHA_Development_Data_Book 201'!$B$2:$AY$324,23,FALSE)</f>
        <v>28</v>
      </c>
      <c r="G92" s="20">
        <f>VLOOKUP(Data[[#This Row],[DEVELOPMENT]],'[2]NYCHA_Development_Data_Book 201'!$B$2:$AY$324,12,FALSE)</f>
        <v>168</v>
      </c>
      <c r="H92" t="s">
        <v>476</v>
      </c>
      <c r="J92">
        <f>IFERROR(VLOOKUP(Data[[#This Row],[DEVELOPMENT]],[5]!Table1[[DEVELOPMENTS]:[Installation Date of Exterior Compactor]],4,FALSE),0)</f>
        <v>0</v>
      </c>
      <c r="K92" s="20">
        <f>IFERROR(VLOOKUP(Data[[#This Row],[DEVELOPMENT]],[5]!Table1[[DEVELOPMENTS]:[Installation Date of Exterior Compactor]],7,FALSE),0)</f>
        <v>0</v>
      </c>
      <c r="L92" s="42" t="str">
        <f>IF(Data[[#This Row],['# Interior Compactors]]=0,"",VLOOKUP(Data[[#This Row],[DEVELOPMENT]],[5]!Table1[[DEVELOPMENTS]:[Installation Date of Exterior Compactor]],5,FALSE))</f>
        <v/>
      </c>
      <c r="M92" s="43" t="str">
        <f>IF(Data[[#This Row],['# Exterior Compactors]]=0,"",VLOOKUP(Data[[#This Row],[DEVELOPMENT]],[5]!Table1[[DEVELOPMENTS]:[Installation Date of Exterior Compactor]],8,FALSE))</f>
        <v/>
      </c>
      <c r="N92" s="20">
        <f>Data[[#This Row],['# Interior Compactors]]</f>
        <v>0</v>
      </c>
      <c r="O92" s="20">
        <f>1</f>
        <v>1</v>
      </c>
      <c r="P92" s="20">
        <f>1</f>
        <v>1</v>
      </c>
      <c r="Q92" s="20">
        <f>1</f>
        <v>1</v>
      </c>
      <c r="R92" s="20">
        <f>1</f>
        <v>1</v>
      </c>
      <c r="S92" s="20">
        <f>1</f>
        <v>1</v>
      </c>
      <c r="T92" s="20">
        <f>Data[[#This Row],[DUs]]</f>
        <v>168</v>
      </c>
      <c r="U9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2" s="101">
        <f>VLOOKUP(Data[[#This Row],[DEVELOPMENT]],'[2]NYCHA_Development_Data_Book 201'!$B$2:$E$324,3,FALSE)</f>
        <v>338</v>
      </c>
      <c r="Y92" s="20"/>
      <c r="Z92" s="20">
        <f>IFERROR(VLOOKUP(Data[[#This Row],[TDS]],'[7]Static Ext by TDS'!$A$5:$E$120,2,FALSE),0)</f>
        <v>0</v>
      </c>
      <c r="AA92" s="20">
        <f>IFERROR(VLOOKUP(Data[[#This Row],[TDS]],'[7]Static Int by TDS'!$A$6:$O$305,2,FALSE),0)</f>
        <v>0</v>
      </c>
      <c r="AB92" s="20"/>
      <c r="AC92" s="20"/>
      <c r="AD92" s="20">
        <f>IFERROR(VLOOKUP(Data[[#This Row],[TDS]],'[7]Static Ext by TDS'!$A$5:$P$120,3,FALSE)+VLOOKUP(Data[[#This Row],[TDS]],'[7]Static Ext by TDS'!$A$5:$P$120,6,FALSE),0)</f>
        <v>0</v>
      </c>
      <c r="AE92" s="20">
        <f>IFERROR(VLOOKUP(Data[[#This Row],[TDS]],'[7]Static Int by TDS'!$A$6:$O$305,3,FALSE)+VLOOKUP(Data[[#This Row],[TDS]],'[7]Static Int by TDS'!$A$6:$O$305,6,FALSE),0)</f>
        <v>0</v>
      </c>
      <c r="AF92" s="20" t="str">
        <f>VLOOKUP(Data[[#This Row],[DEVELOPMENT]],[8]Developments!$A$2:$A$312,1,FALSE)</f>
        <v>EAST 173RD STREET-VYSE AVENUE</v>
      </c>
    </row>
    <row r="93" spans="1:32" x14ac:dyDescent="0.25">
      <c r="A93" s="17" t="s">
        <v>121</v>
      </c>
      <c r="B93" s="17" t="str">
        <f>VLOOKUP(Data[[#This Row],[DEVELOPMENT]],'[2]NYCHA_Development_Data_Book 201'!$B$2:$AY$324,40,FALSE)</f>
        <v>BRONX</v>
      </c>
      <c r="C93" t="str">
        <f>VLOOKUP(Data[[#This Row],[DEVELOPMENT]],'[3]Cheat-Sheet'!$D$2:$Q$341,2,FALSE)</f>
        <v>TWIN PARKS CONSOLIDATED</v>
      </c>
      <c r="D93" t="str">
        <f>IF(VLOOKUP(Data[[#This Row],[DEVELOPMENT]],'[4]IC Categories'!$A$2:$G$325,3,FALSE)=0,"",VLOOKUP(Data[[#This Row],[DEVELOPMENT]],'[4]IC Categories'!$A$2:$G$325,3,FALSE))</f>
        <v/>
      </c>
      <c r="E93">
        <f>VLOOKUP(Data[[#This Row],[DEVELOPMENT]],'[2]NYCHA_Development_Data_Book 201'!$B$2:$AY$324,21,FALSE)</f>
        <v>1</v>
      </c>
      <c r="F93">
        <f>VLOOKUP(Data[[#This Row],[DEVELOPMENT]],'[2]NYCHA_Development_Data_Book 201'!$B$2:$AY$324,23,FALSE)</f>
        <v>3</v>
      </c>
      <c r="G93">
        <f>VLOOKUP(Data[[#This Row],[DEVELOPMENT]],'[2]NYCHA_Development_Data_Book 201'!$B$2:$AY$324,12,FALSE)</f>
        <v>239</v>
      </c>
      <c r="H93" t="s">
        <v>472</v>
      </c>
      <c r="I93" t="s">
        <v>475</v>
      </c>
      <c r="J93">
        <f>IFERROR(VLOOKUP(Data[[#This Row],[DEVELOPMENT]],[5]!Table1[[DEVELOPMENTS]:[Installation Date of Exterior Compactor]],4,FALSE),0)</f>
        <v>0</v>
      </c>
      <c r="K93" s="20">
        <f>IFERROR(VLOOKUP(Data[[#This Row],[DEVELOPMENT]],[5]!Table1[[DEVELOPMENTS]:[Installation Date of Exterior Compactor]],7,FALSE),0)</f>
        <v>0</v>
      </c>
      <c r="L93" s="42" t="str">
        <f>IF(Data[[#This Row],['# Interior Compactors]]=0,"",VLOOKUP(Data[[#This Row],[DEVELOPMENT]],[5]!Table1[[DEVELOPMENTS]:[Installation Date of Exterior Compactor]],5,FALSE))</f>
        <v/>
      </c>
      <c r="M93" s="43" t="str">
        <f>IF(Data[[#This Row],['# Exterior Compactors]]=0,"",VLOOKUP(Data[[#This Row],[DEVELOPMENT]],[5]!Table1[[DEVELOPMENTS]:[Installation Date of Exterior Compactor]],8,FALSE))</f>
        <v/>
      </c>
      <c r="N93">
        <f>Data[[#This Row],['# Interior Compactors]]</f>
        <v>0</v>
      </c>
      <c r="O93" s="20">
        <f>1</f>
        <v>1</v>
      </c>
      <c r="P93" s="20">
        <f>1</f>
        <v>1</v>
      </c>
      <c r="Q93" s="20">
        <f>1</f>
        <v>1</v>
      </c>
      <c r="R93" s="20">
        <f>1</f>
        <v>1</v>
      </c>
      <c r="S93" s="20">
        <f>1</f>
        <v>1</v>
      </c>
      <c r="T93" s="20">
        <f>Data[[#This Row],[DUs]]</f>
        <v>239</v>
      </c>
      <c r="U9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3" s="101">
        <f>VLOOKUP(Data[[#This Row],[DEVELOPMENT]],'[2]NYCHA_Development_Data_Book 201'!$B$2:$E$324,3,FALSE)</f>
        <v>208</v>
      </c>
      <c r="Y93" s="20"/>
      <c r="Z93" s="20">
        <f>IFERROR(VLOOKUP(Data[[#This Row],[TDS]],'[7]Static Ext by TDS'!$A$5:$E$120,2,FALSE),0)</f>
        <v>1</v>
      </c>
      <c r="AA93" s="20">
        <f>IFERROR(VLOOKUP(Data[[#This Row],[TDS]],'[7]Static Int by TDS'!$A$6:$O$305,2,FALSE),0)</f>
        <v>2</v>
      </c>
      <c r="AB93" s="20"/>
      <c r="AC93" s="20"/>
      <c r="AD93" s="20">
        <f>IFERROR(VLOOKUP(Data[[#This Row],[TDS]],'[7]Static Ext by TDS'!$A$5:$P$120,3,FALSE)+VLOOKUP(Data[[#This Row],[TDS]],'[7]Static Ext by TDS'!$A$5:$P$120,6,FALSE),0)</f>
        <v>1</v>
      </c>
      <c r="AE93" s="20">
        <f>IFERROR(VLOOKUP(Data[[#This Row],[TDS]],'[7]Static Int by TDS'!$A$6:$O$305,3,FALSE)+VLOOKUP(Data[[#This Row],[TDS]],'[7]Static Int by TDS'!$A$6:$O$305,6,FALSE),0)</f>
        <v>2</v>
      </c>
      <c r="AF93" s="20" t="str">
        <f>VLOOKUP(Data[[#This Row],[DEVELOPMENT]],[8]Developments!$A$2:$A$312,1,FALSE)</f>
        <v>EAST 180TH STREET-MONTEREY AVENUE</v>
      </c>
    </row>
    <row r="94" spans="1:32" x14ac:dyDescent="0.25">
      <c r="A94" t="s">
        <v>214</v>
      </c>
      <c r="B94" s="20" t="str">
        <f>VLOOKUP(Data[[#This Row],[DEVELOPMENT]],'[2]NYCHA_Development_Data_Book 201'!$B$2:$AY$324,40,FALSE)</f>
        <v>BROOKLYN</v>
      </c>
      <c r="C94" s="20" t="str">
        <f>VLOOKUP(Data[[#This Row],[DEVELOPMENT]],'[3]Cheat-Sheet'!$D$2:$Q$341,2,FALSE)</f>
        <v>CYPRESS HILLS</v>
      </c>
      <c r="D94" s="20">
        <f>IF(VLOOKUP(Data[[#This Row],[DEVELOPMENT]],'[4]IC Categories'!$A$2:$G$325,3,FALSE)=0,"",VLOOKUP(Data[[#This Row],[DEVELOPMENT]],'[4]IC Categories'!$A$2:$G$325,3,FALSE))</f>
        <v>2023</v>
      </c>
      <c r="E94" s="20">
        <f>VLOOKUP(Data[[#This Row],[DEVELOPMENT]],'[2]NYCHA_Development_Data_Book 201'!$B$2:$AY$324,21,FALSE)</f>
        <v>33</v>
      </c>
      <c r="F94" s="20">
        <f>VLOOKUP(Data[[#This Row],[DEVELOPMENT]],'[2]NYCHA_Development_Data_Book 201'!$B$2:$AY$324,23,FALSE)</f>
        <v>33</v>
      </c>
      <c r="G94" s="20">
        <f>VLOOKUP(Data[[#This Row],[DEVELOPMENT]],'[2]NYCHA_Development_Data_Book 201'!$B$2:$AY$324,12,FALSE)</f>
        <v>66</v>
      </c>
      <c r="J94">
        <f>IFERROR(VLOOKUP(Data[[#This Row],[DEVELOPMENT]],[5]!Table1[[DEVELOPMENTS]:[Installation Date of Exterior Compactor]],4,FALSE),0)</f>
        <v>0</v>
      </c>
      <c r="K94" s="20">
        <f>IFERROR(VLOOKUP(Data[[#This Row],[DEVELOPMENT]],[5]!Table1[[DEVELOPMENTS]:[Installation Date of Exterior Compactor]],7,FALSE),0)</f>
        <v>0</v>
      </c>
      <c r="L94" s="42" t="str">
        <f>IF(Data[[#This Row],['# Interior Compactors]]=0,"",VLOOKUP(Data[[#This Row],[DEVELOPMENT]],[5]!Table1[[DEVELOPMENTS]:[Installation Date of Exterior Compactor]],5,FALSE))</f>
        <v/>
      </c>
      <c r="M94" s="43" t="str">
        <f>IF(Data[[#This Row],['# Exterior Compactors]]=0,"",VLOOKUP(Data[[#This Row],[DEVELOPMENT]],[5]!Table1[[DEVELOPMENTS]:[Installation Date of Exterior Compactor]],8,FALSE))</f>
        <v/>
      </c>
      <c r="N94" s="20">
        <f>Data[[#This Row],['# Interior Compactors]]</f>
        <v>0</v>
      </c>
      <c r="O94" s="20">
        <f>1</f>
        <v>1</v>
      </c>
      <c r="P94" s="20">
        <f>1</f>
        <v>1</v>
      </c>
      <c r="Q94" s="20">
        <f>1</f>
        <v>1</v>
      </c>
      <c r="R94" s="20">
        <f>1</f>
        <v>1</v>
      </c>
      <c r="S94" s="20">
        <f>1</f>
        <v>1</v>
      </c>
      <c r="T94" s="20">
        <f>Data[[#This Row],[DUs]]</f>
        <v>66</v>
      </c>
      <c r="U9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4" s="101">
        <f>VLOOKUP(Data[[#This Row],[DEVELOPMENT]],'[2]NYCHA_Development_Data_Book 201'!$B$2:$E$324,3,FALSE)</f>
        <v>263</v>
      </c>
      <c r="Y94" s="20"/>
      <c r="Z94" s="20">
        <f>IFERROR(VLOOKUP(Data[[#This Row],[TDS]],'[7]Static Ext by TDS'!$A$5:$E$120,2,FALSE),0)</f>
        <v>0</v>
      </c>
      <c r="AA94" s="20">
        <f>IFERROR(VLOOKUP(Data[[#This Row],[TDS]],'[7]Static Int by TDS'!$A$6:$O$305,2,FALSE),0)</f>
        <v>0</v>
      </c>
      <c r="AB94" s="20"/>
      <c r="AC94" s="20"/>
      <c r="AD94" s="20">
        <f>IFERROR(VLOOKUP(Data[[#This Row],[TDS]],'[7]Static Ext by TDS'!$A$5:$P$120,3,FALSE)+VLOOKUP(Data[[#This Row],[TDS]],'[7]Static Ext by TDS'!$A$5:$P$120,6,FALSE),0)</f>
        <v>0</v>
      </c>
      <c r="AE94" s="20">
        <f>IFERROR(VLOOKUP(Data[[#This Row],[TDS]],'[7]Static Int by TDS'!$A$6:$O$305,3,FALSE)+VLOOKUP(Data[[#This Row],[TDS]],'[7]Static Int by TDS'!$A$6:$O$305,6,FALSE),0)</f>
        <v>0</v>
      </c>
      <c r="AF94" s="20" t="str">
        <f>VLOOKUP(Data[[#This Row],[DEVELOPMENT]],[8]Developments!$A$2:$A$312,1,FALSE)</f>
        <v>EAST NEW YORK CITY LINE</v>
      </c>
    </row>
    <row r="95" spans="1:32" x14ac:dyDescent="0.25">
      <c r="A95" t="s">
        <v>78</v>
      </c>
      <c r="B95" t="str">
        <f>VLOOKUP(Data[[#This Row],[DEVELOPMENT]],'[2]NYCHA_Development_Data_Book 201'!$B$2:$AY$324,40,FALSE)</f>
        <v>MANHATTAN</v>
      </c>
      <c r="C95" t="str">
        <f>VLOOKUP(Data[[#This Row],[DEVELOPMENT]],'[3]Cheat-Sheet'!$D$2:$Q$341,2,FALSE)</f>
        <v>EAST RIVER</v>
      </c>
      <c r="D95">
        <f>IF(VLOOKUP(Data[[#This Row],[DEVELOPMENT]],'[4]IC Categories'!$A$2:$G$325,3,FALSE)=0,"",VLOOKUP(Data[[#This Row],[DEVELOPMENT]],'[4]IC Categories'!$A$2:$G$325,3,FALSE))</f>
        <v>2024</v>
      </c>
      <c r="E95">
        <f>VLOOKUP(Data[[#This Row],[DEVELOPMENT]],'[2]NYCHA_Development_Data_Book 201'!$B$2:$AY$324,21,FALSE)</f>
        <v>10</v>
      </c>
      <c r="F95">
        <f>VLOOKUP(Data[[#This Row],[DEVELOPMENT]],'[2]NYCHA_Development_Data_Book 201'!$B$2:$AY$324,23,FALSE)</f>
        <v>30</v>
      </c>
      <c r="G95">
        <f>VLOOKUP(Data[[#This Row],[DEVELOPMENT]],'[2]NYCHA_Development_Data_Book 201'!$B$2:$AY$324,12,FALSE)</f>
        <v>1156</v>
      </c>
      <c r="H95" t="s">
        <v>470</v>
      </c>
      <c r="I95" t="s">
        <v>471</v>
      </c>
      <c r="J95">
        <f>IFERROR(VLOOKUP(Data[[#This Row],[DEVELOPMENT]],[5]!Table1[[DEVELOPMENTS]:[Installation Date of Exterior Compactor]],4,FALSE),0)</f>
        <v>0</v>
      </c>
      <c r="K95" s="20">
        <f>IFERROR(VLOOKUP(Data[[#This Row],[DEVELOPMENT]],[5]!Table1[[DEVELOPMENTS]:[Installation Date of Exterior Compactor]],7,FALSE),0)</f>
        <v>0</v>
      </c>
      <c r="L95" s="42" t="str">
        <f>IF(Data[[#This Row],['# Interior Compactors]]=0,"",VLOOKUP(Data[[#This Row],[DEVELOPMENT]],[5]!Table1[[DEVELOPMENTS]:[Installation Date of Exterior Compactor]],5,FALSE))</f>
        <v/>
      </c>
      <c r="M95" s="43" t="str">
        <f>IF(Data[[#This Row],['# Exterior Compactors]]=0,"",VLOOKUP(Data[[#This Row],[DEVELOPMENT]],[5]!Table1[[DEVELOPMENTS]:[Installation Date of Exterior Compactor]],8,FALSE))</f>
        <v/>
      </c>
      <c r="N95">
        <f>Data[[#This Row],['# Interior Compactors]]</f>
        <v>0</v>
      </c>
      <c r="O95" s="20">
        <f>1</f>
        <v>1</v>
      </c>
      <c r="P95" s="20">
        <f>1</f>
        <v>1</v>
      </c>
      <c r="Q95" s="20">
        <f>1</f>
        <v>1</v>
      </c>
      <c r="R95" s="20">
        <f>1</f>
        <v>1</v>
      </c>
      <c r="S95" s="20">
        <f>1</f>
        <v>1</v>
      </c>
      <c r="T95" s="20">
        <f>Data[[#This Row],[DUs]]</f>
        <v>1156</v>
      </c>
      <c r="U9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5" s="101">
        <f>VLOOKUP(Data[[#This Row],[DEVELOPMENT]],'[2]NYCHA_Development_Data_Book 201'!$B$2:$E$324,3,FALSE)</f>
        <v>9</v>
      </c>
      <c r="Y95" s="20"/>
      <c r="Z95" s="20">
        <f>IFERROR(VLOOKUP(Data[[#This Row],[TDS]],'[7]Static Ext by TDS'!$A$5:$E$120,2,FALSE),0)</f>
        <v>2</v>
      </c>
      <c r="AA95" s="20">
        <f>IFERROR(VLOOKUP(Data[[#This Row],[TDS]],'[7]Static Int by TDS'!$A$6:$O$305,2,FALSE),0)</f>
        <v>29</v>
      </c>
      <c r="AB95" s="20"/>
      <c r="AC95" s="20"/>
      <c r="AD95" s="20">
        <f>IFERROR(VLOOKUP(Data[[#This Row],[TDS]],'[7]Static Ext by TDS'!$A$5:$P$120,3,FALSE)+VLOOKUP(Data[[#This Row],[TDS]],'[7]Static Ext by TDS'!$A$5:$P$120,6,FALSE),0)</f>
        <v>2</v>
      </c>
      <c r="AE95" s="20">
        <f>IFERROR(VLOOKUP(Data[[#This Row],[TDS]],'[7]Static Int by TDS'!$A$6:$O$305,3,FALSE)+VLOOKUP(Data[[#This Row],[TDS]],'[7]Static Int by TDS'!$A$6:$O$305,6,FALSE),0)</f>
        <v>29</v>
      </c>
      <c r="AF95" s="20" t="str">
        <f>VLOOKUP(Data[[#This Row],[DEVELOPMENT]],[8]Developments!$A$2:$A$312,1,FALSE)</f>
        <v>EAST RIVER</v>
      </c>
    </row>
    <row r="96" spans="1:32" x14ac:dyDescent="0.25">
      <c r="A96" t="s">
        <v>215</v>
      </c>
      <c r="B96" s="20" t="str">
        <f>VLOOKUP(Data[[#This Row],[DEVELOPMENT]],'[2]NYCHA_Development_Data_Book 201'!$B$2:$AY$324,40,FALSE)</f>
        <v>BRONX</v>
      </c>
      <c r="C96" s="20" t="str">
        <f>VLOOKUP(Data[[#This Row],[DEVELOPMENT]],'[3]Cheat-Sheet'!$D$2:$Q$341,2,FALSE)</f>
        <v>EASTCHESTER GARDENS</v>
      </c>
      <c r="D96" s="20">
        <f>IF(VLOOKUP(Data[[#This Row],[DEVELOPMENT]],'[4]IC Categories'!$A$2:$G$325,3,FALSE)=0,"",VLOOKUP(Data[[#This Row],[DEVELOPMENT]],'[4]IC Categories'!$A$2:$G$325,3,FALSE))</f>
        <v>2026</v>
      </c>
      <c r="E96" s="20">
        <f>VLOOKUP(Data[[#This Row],[DEVELOPMENT]],'[2]NYCHA_Development_Data_Book 201'!$B$2:$AY$324,21,FALSE)</f>
        <v>10</v>
      </c>
      <c r="F96" s="20">
        <f>VLOOKUP(Data[[#This Row],[DEVELOPMENT]],'[2]NYCHA_Development_Data_Book 201'!$B$2:$AY$324,23,FALSE)</f>
        <v>15</v>
      </c>
      <c r="G96" s="20">
        <f>VLOOKUP(Data[[#This Row],[DEVELOPMENT]],'[2]NYCHA_Development_Data_Book 201'!$B$2:$AY$324,12,FALSE)</f>
        <v>877</v>
      </c>
      <c r="J96">
        <f>IFERROR(VLOOKUP(Data[[#This Row],[DEVELOPMENT]],[5]!Table1[[DEVELOPMENTS]:[Installation Date of Exterior Compactor]],4,FALSE),0)</f>
        <v>0</v>
      </c>
      <c r="K96" s="20">
        <f>IFERROR(VLOOKUP(Data[[#This Row],[DEVELOPMENT]],[5]!Table1[[DEVELOPMENTS]:[Installation Date of Exterior Compactor]],7,FALSE),0)</f>
        <v>0</v>
      </c>
      <c r="L96" s="42" t="str">
        <f>IF(Data[[#This Row],['# Interior Compactors]]=0,"",VLOOKUP(Data[[#This Row],[DEVELOPMENT]],[5]!Table1[[DEVELOPMENTS]:[Installation Date of Exterior Compactor]],5,FALSE))</f>
        <v/>
      </c>
      <c r="M96" s="43" t="str">
        <f>IF(Data[[#This Row],['# Exterior Compactors]]=0,"",VLOOKUP(Data[[#This Row],[DEVELOPMENT]],[5]!Table1[[DEVELOPMENTS]:[Installation Date of Exterior Compactor]],8,FALSE))</f>
        <v/>
      </c>
      <c r="N96" s="20">
        <f>Data[[#This Row],['# Interior Compactors]]</f>
        <v>0</v>
      </c>
      <c r="O96" s="20">
        <f>1</f>
        <v>1</v>
      </c>
      <c r="P96" s="20">
        <f>1</f>
        <v>1</v>
      </c>
      <c r="Q96" s="20">
        <f>1</f>
        <v>1</v>
      </c>
      <c r="R96" s="20">
        <f>1</f>
        <v>1</v>
      </c>
      <c r="S96" s="20">
        <f>1</f>
        <v>1</v>
      </c>
      <c r="T96" s="20">
        <f>Data[[#This Row],[DUs]]</f>
        <v>877</v>
      </c>
      <c r="U9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6" s="101">
        <f>VLOOKUP(Data[[#This Row],[DEVELOPMENT]],'[2]NYCHA_Development_Data_Book 201'!$B$2:$E$324,3,FALSE)</f>
        <v>34</v>
      </c>
      <c r="Y96" s="20"/>
      <c r="Z96" s="20">
        <f>IFERROR(VLOOKUP(Data[[#This Row],[TDS]],'[7]Static Ext by TDS'!$A$5:$E$120,2,FALSE),0)</f>
        <v>2</v>
      </c>
      <c r="AA96" s="20">
        <f>IFERROR(VLOOKUP(Data[[#This Row],[TDS]],'[7]Static Int by TDS'!$A$6:$O$305,2,FALSE),0)</f>
        <v>15</v>
      </c>
      <c r="AB96" s="20"/>
      <c r="AC96" s="20"/>
      <c r="AD96" s="20">
        <f>IFERROR(VLOOKUP(Data[[#This Row],[TDS]],'[7]Static Ext by TDS'!$A$5:$P$120,3,FALSE)+VLOOKUP(Data[[#This Row],[TDS]],'[7]Static Ext by TDS'!$A$5:$P$120,6,FALSE),0)</f>
        <v>2</v>
      </c>
      <c r="AE96" s="20">
        <f>IFERROR(VLOOKUP(Data[[#This Row],[TDS]],'[7]Static Int by TDS'!$A$6:$O$305,3,FALSE)+VLOOKUP(Data[[#This Row],[TDS]],'[7]Static Int by TDS'!$A$6:$O$305,6,FALSE),0)</f>
        <v>15</v>
      </c>
      <c r="AF96" s="20" t="str">
        <f>VLOOKUP(Data[[#This Row],[DEVELOPMENT]],[8]Developments!$A$2:$A$312,1,FALSE)</f>
        <v>EASTCHESTER GARDENS</v>
      </c>
    </row>
    <row r="97" spans="1:32" x14ac:dyDescent="0.25">
      <c r="A97" t="s">
        <v>216</v>
      </c>
      <c r="B97" s="20" t="str">
        <f>VLOOKUP(Data[[#This Row],[DEVELOPMENT]],'[2]NYCHA_Development_Data_Book 201'!$B$2:$AY$324,40,FALSE)</f>
        <v>BRONX</v>
      </c>
      <c r="C97" s="20" t="str">
        <f>VLOOKUP(Data[[#This Row],[DEVELOPMENT]],'[3]Cheat-Sheet'!$D$2:$Q$341,2,FALSE)</f>
        <v>EDENWALD</v>
      </c>
      <c r="D97" s="20">
        <f>IF(VLOOKUP(Data[[#This Row],[DEVELOPMENT]],'[4]IC Categories'!$A$2:$G$325,3,FALSE)=0,"",VLOOKUP(Data[[#This Row],[DEVELOPMENT]],'[4]IC Categories'!$A$2:$G$325,3,FALSE))</f>
        <v>2022</v>
      </c>
      <c r="E97" s="20">
        <f>VLOOKUP(Data[[#This Row],[DEVELOPMENT]],'[2]NYCHA_Development_Data_Book 201'!$B$2:$AY$324,21,FALSE)</f>
        <v>40</v>
      </c>
      <c r="F97" s="20">
        <f>VLOOKUP(Data[[#This Row],[DEVELOPMENT]],'[2]NYCHA_Development_Data_Book 201'!$B$2:$AY$324,23,FALSE)</f>
        <v>71</v>
      </c>
      <c r="G97" s="20">
        <f>VLOOKUP(Data[[#This Row],[DEVELOPMENT]],'[2]NYCHA_Development_Data_Book 201'!$B$2:$AY$324,12,FALSE)</f>
        <v>2035</v>
      </c>
      <c r="J97">
        <f>IFERROR(VLOOKUP(Data[[#This Row],[DEVELOPMENT]],[5]!Table1[[DEVELOPMENTS]:[Installation Date of Exterior Compactor]],4,FALSE),0)</f>
        <v>0</v>
      </c>
      <c r="K97" s="20">
        <f>IFERROR(VLOOKUP(Data[[#This Row],[DEVELOPMENT]],[5]!Table1[[DEVELOPMENTS]:[Installation Date of Exterior Compactor]],7,FALSE),0)</f>
        <v>0</v>
      </c>
      <c r="L97" s="42" t="str">
        <f>IF(Data[[#This Row],['# Interior Compactors]]=0,"",VLOOKUP(Data[[#This Row],[DEVELOPMENT]],[5]!Table1[[DEVELOPMENTS]:[Installation Date of Exterior Compactor]],5,FALSE))</f>
        <v/>
      </c>
      <c r="M97" s="43" t="str">
        <f>IF(Data[[#This Row],['# Exterior Compactors]]=0,"",VLOOKUP(Data[[#This Row],[DEVELOPMENT]],[5]!Table1[[DEVELOPMENTS]:[Installation Date of Exterior Compactor]],8,FALSE))</f>
        <v/>
      </c>
      <c r="N97" s="20">
        <f>Data[[#This Row],['# Interior Compactors]]</f>
        <v>0</v>
      </c>
      <c r="O97" s="20">
        <f>1</f>
        <v>1</v>
      </c>
      <c r="P97" s="20">
        <f>1</f>
        <v>1</v>
      </c>
      <c r="Q97" s="20">
        <f>1</f>
        <v>1</v>
      </c>
      <c r="R97" s="20">
        <f>1</f>
        <v>1</v>
      </c>
      <c r="S97" s="20">
        <f>1</f>
        <v>1</v>
      </c>
      <c r="T97" s="20">
        <f>Data[[#This Row],[DUs]]</f>
        <v>2035</v>
      </c>
      <c r="U9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7" s="101">
        <f>VLOOKUP(Data[[#This Row],[DEVELOPMENT]],'[2]NYCHA_Development_Data_Book 201'!$B$2:$E$324,3,FALSE)</f>
        <v>57</v>
      </c>
      <c r="Y97" s="20"/>
      <c r="Z97" s="20">
        <f>IFERROR(VLOOKUP(Data[[#This Row],[TDS]],'[7]Static Ext by TDS'!$A$5:$E$120,2,FALSE),0)</f>
        <v>5</v>
      </c>
      <c r="AA97" s="20">
        <f>IFERROR(VLOOKUP(Data[[#This Row],[TDS]],'[7]Static Int by TDS'!$A$6:$O$305,2,FALSE),0)</f>
        <v>62</v>
      </c>
      <c r="AB97" s="20"/>
      <c r="AC97" s="20"/>
      <c r="AD97" s="20">
        <f>IFERROR(VLOOKUP(Data[[#This Row],[TDS]],'[7]Static Ext by TDS'!$A$5:$P$120,3,FALSE)+VLOOKUP(Data[[#This Row],[TDS]],'[7]Static Ext by TDS'!$A$5:$P$120,6,FALSE),0)</f>
        <v>0</v>
      </c>
      <c r="AE97" s="20">
        <f>IFERROR(VLOOKUP(Data[[#This Row],[TDS]],'[7]Static Int by TDS'!$A$6:$O$305,3,FALSE)+VLOOKUP(Data[[#This Row],[TDS]],'[7]Static Int by TDS'!$A$6:$O$305,6,FALSE),0)</f>
        <v>3</v>
      </c>
      <c r="AF97" s="20" t="str">
        <f>VLOOKUP(Data[[#This Row],[DEVELOPMENT]],[8]Developments!$A$2:$A$312,1,FALSE)</f>
        <v>EDENWALD</v>
      </c>
    </row>
    <row r="98" spans="1:32" x14ac:dyDescent="0.25">
      <c r="A98" t="s">
        <v>217</v>
      </c>
      <c r="B98" s="20" t="str">
        <f>VLOOKUP(Data[[#This Row],[DEVELOPMENT]],'[2]NYCHA_Development_Data_Book 201'!$B$2:$AY$324,40,FALSE)</f>
        <v>MANHATTAN</v>
      </c>
      <c r="C98" s="20" t="str">
        <f>VLOOKUP(Data[[#This Row],[DEVELOPMENT]],'[3]Cheat-Sheet'!$D$2:$Q$341,2,FALSE)</f>
        <v>CHELSEA</v>
      </c>
      <c r="D98" s="20" t="str">
        <f>IF(VLOOKUP(Data[[#This Row],[DEVELOPMENT]],'[4]IC Categories'!$A$2:$G$325,3,FALSE)=0,"",VLOOKUP(Data[[#This Row],[DEVELOPMENT]],'[4]IC Categories'!$A$2:$G$325,3,FALSE))</f>
        <v/>
      </c>
      <c r="E98" s="20">
        <f>VLOOKUP(Data[[#This Row],[DEVELOPMENT]],'[2]NYCHA_Development_Data_Book 201'!$B$2:$AY$324,21,FALSE)</f>
        <v>4</v>
      </c>
      <c r="F98" s="20">
        <f>VLOOKUP(Data[[#This Row],[DEVELOPMENT]],'[2]NYCHA_Development_Data_Book 201'!$B$2:$AY$324,23,FALSE)</f>
        <v>8</v>
      </c>
      <c r="G98" s="20">
        <f>VLOOKUP(Data[[#This Row],[DEVELOPMENT]],'[2]NYCHA_Development_Data_Book 201'!$B$2:$AY$324,12,FALSE)</f>
        <v>606</v>
      </c>
      <c r="J98">
        <f>IFERROR(VLOOKUP(Data[[#This Row],[DEVELOPMENT]],[5]!Table1[[DEVELOPMENTS]:[Installation Date of Exterior Compactor]],4,FALSE),0)</f>
        <v>0</v>
      </c>
      <c r="K98" s="20">
        <f>IFERROR(VLOOKUP(Data[[#This Row],[DEVELOPMENT]],[5]!Table1[[DEVELOPMENTS]:[Installation Date of Exterior Compactor]],7,FALSE),0)</f>
        <v>0</v>
      </c>
      <c r="L98" s="42" t="str">
        <f>IF(Data[[#This Row],['# Interior Compactors]]=0,"",VLOOKUP(Data[[#This Row],[DEVELOPMENT]],[5]!Table1[[DEVELOPMENTS]:[Installation Date of Exterior Compactor]],5,FALSE))</f>
        <v/>
      </c>
      <c r="M98" s="43" t="str">
        <f>IF(Data[[#This Row],['# Exterior Compactors]]=0,"",VLOOKUP(Data[[#This Row],[DEVELOPMENT]],[5]!Table1[[DEVELOPMENTS]:[Installation Date of Exterior Compactor]],8,FALSE))</f>
        <v/>
      </c>
      <c r="N98" s="20">
        <f>Data[[#This Row],['# Interior Compactors]]</f>
        <v>0</v>
      </c>
      <c r="O98" s="20">
        <f>1</f>
        <v>1</v>
      </c>
      <c r="P98" s="20">
        <f>1</f>
        <v>1</v>
      </c>
      <c r="Q98" s="20">
        <f>1</f>
        <v>1</v>
      </c>
      <c r="R98" s="20">
        <f>1</f>
        <v>1</v>
      </c>
      <c r="S98" s="20">
        <f>1</f>
        <v>1</v>
      </c>
      <c r="T98" s="20">
        <f>Data[[#This Row],[DUs]]</f>
        <v>606</v>
      </c>
      <c r="U9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8" s="101">
        <f>VLOOKUP(Data[[#This Row],[DEVELOPMENT]],'[2]NYCHA_Development_Data_Book 201'!$B$2:$E$324,3,FALSE)</f>
        <v>15</v>
      </c>
      <c r="Y98" s="20"/>
      <c r="Z98" s="20">
        <f>IFERROR(VLOOKUP(Data[[#This Row],[TDS]],'[7]Static Ext by TDS'!$A$5:$E$120,2,FALSE),0)</f>
        <v>2</v>
      </c>
      <c r="AA98" s="20">
        <f>IFERROR(VLOOKUP(Data[[#This Row],[TDS]],'[7]Static Int by TDS'!$A$6:$O$305,2,FALSE),0)</f>
        <v>8</v>
      </c>
      <c r="AB98" s="20"/>
      <c r="AC98" s="20"/>
      <c r="AD98" s="20">
        <f>IFERROR(VLOOKUP(Data[[#This Row],[TDS]],'[7]Static Ext by TDS'!$A$5:$P$120,3,FALSE)+VLOOKUP(Data[[#This Row],[TDS]],'[7]Static Ext by TDS'!$A$5:$P$120,6,FALSE),0)</f>
        <v>0</v>
      </c>
      <c r="AE98" s="20">
        <f>IFERROR(VLOOKUP(Data[[#This Row],[TDS]],'[7]Static Int by TDS'!$A$6:$O$305,3,FALSE)+VLOOKUP(Data[[#This Row],[TDS]],'[7]Static Int by TDS'!$A$6:$O$305,6,FALSE),0)</f>
        <v>8</v>
      </c>
      <c r="AF98" s="20" t="str">
        <f>VLOOKUP(Data[[#This Row],[DEVELOPMENT]],[8]Developments!$A$2:$A$312,1,FALSE)</f>
        <v>ELLIOTT</v>
      </c>
    </row>
    <row r="99" spans="1:32" x14ac:dyDescent="0.25">
      <c r="A99" t="s">
        <v>218</v>
      </c>
      <c r="B99" s="20" t="str">
        <f>VLOOKUP(Data[[#This Row],[DEVELOPMENT]],'[2]NYCHA_Development_Data_Book 201'!$B$2:$AY$324,40,FALSE)</f>
        <v>BROOKLYN</v>
      </c>
      <c r="C99" s="20" t="str">
        <f>VLOOKUP(Data[[#This Row],[DEVELOPMENT]],'[3]Cheat-Sheet'!$D$2:$Q$341,2,FALSE)</f>
        <v>FARRAGUT</v>
      </c>
      <c r="D99" s="20">
        <f>IF(VLOOKUP(Data[[#This Row],[DEVELOPMENT]],'[4]IC Categories'!$A$2:$G$325,3,FALSE)=0,"",VLOOKUP(Data[[#This Row],[DEVELOPMENT]],'[4]IC Categories'!$A$2:$G$325,3,FALSE))</f>
        <v>2027</v>
      </c>
      <c r="E99" s="20">
        <f>VLOOKUP(Data[[#This Row],[DEVELOPMENT]],'[2]NYCHA_Development_Data_Book 201'!$B$2:$AY$324,21,FALSE)</f>
        <v>10</v>
      </c>
      <c r="F99" s="20">
        <f>VLOOKUP(Data[[#This Row],[DEVELOPMENT]],'[2]NYCHA_Development_Data_Book 201'!$B$2:$AY$324,23,FALSE)</f>
        <v>10</v>
      </c>
      <c r="G99" s="20">
        <f>VLOOKUP(Data[[#This Row],[DEVELOPMENT]],'[2]NYCHA_Development_Data_Book 201'!$B$2:$AY$324,12,FALSE)</f>
        <v>1389</v>
      </c>
      <c r="J99">
        <f>IFERROR(VLOOKUP(Data[[#This Row],[DEVELOPMENT]],[5]!Table1[[DEVELOPMENTS]:[Installation Date of Exterior Compactor]],4,FALSE),0)</f>
        <v>0</v>
      </c>
      <c r="K99" s="20">
        <f>IFERROR(VLOOKUP(Data[[#This Row],[DEVELOPMENT]],[5]!Table1[[DEVELOPMENTS]:[Installation Date of Exterior Compactor]],7,FALSE),0)</f>
        <v>0</v>
      </c>
      <c r="L99" s="42" t="str">
        <f>IF(Data[[#This Row],['# Interior Compactors]]=0,"",VLOOKUP(Data[[#This Row],[DEVELOPMENT]],[5]!Table1[[DEVELOPMENTS]:[Installation Date of Exterior Compactor]],5,FALSE))</f>
        <v/>
      </c>
      <c r="M99" s="43" t="str">
        <f>IF(Data[[#This Row],['# Exterior Compactors]]=0,"",VLOOKUP(Data[[#This Row],[DEVELOPMENT]],[5]!Table1[[DEVELOPMENTS]:[Installation Date of Exterior Compactor]],8,FALSE))</f>
        <v/>
      </c>
      <c r="N99" s="20">
        <f>Data[[#This Row],['# Interior Compactors]]</f>
        <v>0</v>
      </c>
      <c r="O99" s="20">
        <f>1</f>
        <v>1</v>
      </c>
      <c r="P99" s="20">
        <f>1</f>
        <v>1</v>
      </c>
      <c r="Q99" s="20">
        <f>1</f>
        <v>1</v>
      </c>
      <c r="R99" s="20">
        <f>1</f>
        <v>1</v>
      </c>
      <c r="S99" s="20">
        <f>1</f>
        <v>1</v>
      </c>
      <c r="T99" s="20">
        <f>Data[[#This Row],[DUs]]</f>
        <v>1389</v>
      </c>
      <c r="U9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9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9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99" s="101">
        <f>VLOOKUP(Data[[#This Row],[DEVELOPMENT]],'[2]NYCHA_Development_Data_Book 201'!$B$2:$E$324,3,FALSE)</f>
        <v>29</v>
      </c>
      <c r="Y99" s="20" t="s">
        <v>473</v>
      </c>
      <c r="Z99" s="20">
        <f>IFERROR(VLOOKUP(Data[[#This Row],[TDS]],'[7]Static Ext by TDS'!$A$5:$E$120,2,FALSE),0)</f>
        <v>1</v>
      </c>
      <c r="AA99" s="20">
        <f>IFERROR(VLOOKUP(Data[[#This Row],[TDS]],'[7]Static Int by TDS'!$A$6:$O$305,2,FALSE),0)</f>
        <v>10</v>
      </c>
      <c r="AB99" s="20"/>
      <c r="AC99" s="20"/>
      <c r="AD99" s="20">
        <f>IFERROR(VLOOKUP(Data[[#This Row],[TDS]],'[7]Static Ext by TDS'!$A$5:$P$120,3,FALSE)+VLOOKUP(Data[[#This Row],[TDS]],'[7]Static Ext by TDS'!$A$5:$P$120,6,FALSE),0)</f>
        <v>1</v>
      </c>
      <c r="AE99" s="20">
        <f>IFERROR(VLOOKUP(Data[[#This Row],[TDS]],'[7]Static Int by TDS'!$A$6:$O$305,3,FALSE)+VLOOKUP(Data[[#This Row],[TDS]],'[7]Static Int by TDS'!$A$6:$O$305,6,FALSE),0)</f>
        <v>10</v>
      </c>
      <c r="AF99" s="20" t="str">
        <f>VLOOKUP(Data[[#This Row],[DEVELOPMENT]],[8]Developments!$A$2:$A$312,1,FALSE)</f>
        <v>FARRAGUT</v>
      </c>
    </row>
    <row r="100" spans="1:32" x14ac:dyDescent="0.25">
      <c r="A100" t="s">
        <v>219</v>
      </c>
      <c r="B100" s="20" t="str">
        <f>VLOOKUP(Data[[#This Row],[DEVELOPMENT]],'[2]NYCHA_Development_Data_Book 201'!$B$2:$AY$324,40,FALSE)</f>
        <v>BROOKLYN</v>
      </c>
      <c r="C100" s="20" t="str">
        <f>VLOOKUP(Data[[#This Row],[DEVELOPMENT]],'[3]Cheat-Sheet'!$D$2:$Q$341,2,FALSE)</f>
        <v>REID APARTMENTS</v>
      </c>
      <c r="D100" s="20">
        <f>IF(VLOOKUP(Data[[#This Row],[DEVELOPMENT]],'[4]IC Categories'!$A$2:$G$325,3,FALSE)=0,"",VLOOKUP(Data[[#This Row],[DEVELOPMENT]],'[4]IC Categories'!$A$2:$G$325,3,FALSE))</f>
        <v>2021</v>
      </c>
      <c r="E100" s="20">
        <f>VLOOKUP(Data[[#This Row],[DEVELOPMENT]],'[2]NYCHA_Development_Data_Book 201'!$B$2:$AY$324,21,FALSE)</f>
        <v>18</v>
      </c>
      <c r="F100" s="20">
        <f>VLOOKUP(Data[[#This Row],[DEVELOPMENT]],'[2]NYCHA_Development_Data_Book 201'!$B$2:$AY$324,23,FALSE)</f>
        <v>18</v>
      </c>
      <c r="G100" s="20">
        <f>VLOOKUP(Data[[#This Row],[DEVELOPMENT]],'[2]NYCHA_Development_Data_Book 201'!$B$2:$AY$324,12,FALSE)</f>
        <v>36</v>
      </c>
      <c r="J100">
        <f>IFERROR(VLOOKUP(Data[[#This Row],[DEVELOPMENT]],[5]!Table1[[DEVELOPMENTS]:[Installation Date of Exterior Compactor]],4,FALSE),0)</f>
        <v>0</v>
      </c>
      <c r="K100" s="20">
        <f>IFERROR(VLOOKUP(Data[[#This Row],[DEVELOPMENT]],[5]!Table1[[DEVELOPMENTS]:[Installation Date of Exterior Compactor]],7,FALSE),0)</f>
        <v>0</v>
      </c>
      <c r="L100" s="42" t="str">
        <f>IF(Data[[#This Row],['# Interior Compactors]]=0,"",VLOOKUP(Data[[#This Row],[DEVELOPMENT]],[5]!Table1[[DEVELOPMENTS]:[Installation Date of Exterior Compactor]],5,FALSE))</f>
        <v/>
      </c>
      <c r="M100" s="43" t="str">
        <f>IF(Data[[#This Row],['# Exterior Compactors]]=0,"",VLOOKUP(Data[[#This Row],[DEVELOPMENT]],[5]!Table1[[DEVELOPMENTS]:[Installation Date of Exterior Compactor]],8,FALSE))</f>
        <v/>
      </c>
      <c r="N100" s="20">
        <f>Data[[#This Row],['# Interior Compactors]]</f>
        <v>0</v>
      </c>
      <c r="O100" s="20">
        <f>1</f>
        <v>1</v>
      </c>
      <c r="P100" s="20">
        <f>1</f>
        <v>1</v>
      </c>
      <c r="Q100" s="20">
        <f>1</f>
        <v>1</v>
      </c>
      <c r="R100" s="20">
        <f>1</f>
        <v>1</v>
      </c>
      <c r="S100" s="20">
        <f>1</f>
        <v>1</v>
      </c>
      <c r="T100" s="20">
        <f>Data[[#This Row],[DUs]]</f>
        <v>36</v>
      </c>
      <c r="U10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0" s="101">
        <f>VLOOKUP(Data[[#This Row],[DEVELOPMENT]],'[2]NYCHA_Development_Data_Book 201'!$B$2:$E$324,3,FALSE)</f>
        <v>205</v>
      </c>
      <c r="Y100" s="20"/>
      <c r="Z100" s="20">
        <f>IFERROR(VLOOKUP(Data[[#This Row],[TDS]],'[7]Static Ext by TDS'!$A$5:$E$120,2,FALSE),0)</f>
        <v>0</v>
      </c>
      <c r="AA100" s="20">
        <f>IFERROR(VLOOKUP(Data[[#This Row],[TDS]],'[7]Static Int by TDS'!$A$6:$O$305,2,FALSE),0)</f>
        <v>0</v>
      </c>
      <c r="AB100" s="20"/>
      <c r="AC100" s="20"/>
      <c r="AD100" s="20">
        <f>IFERROR(VLOOKUP(Data[[#This Row],[TDS]],'[7]Static Ext by TDS'!$A$5:$P$120,3,FALSE)+VLOOKUP(Data[[#This Row],[TDS]],'[7]Static Ext by TDS'!$A$5:$P$120,6,FALSE),0)</f>
        <v>0</v>
      </c>
      <c r="AE100" s="20">
        <f>IFERROR(VLOOKUP(Data[[#This Row],[TDS]],'[7]Static Int by TDS'!$A$6:$O$305,3,FALSE)+VLOOKUP(Data[[#This Row],[TDS]],'[7]Static Int by TDS'!$A$6:$O$305,6,FALSE),0)</f>
        <v>0</v>
      </c>
      <c r="AF100" s="20" t="str">
        <f>VLOOKUP(Data[[#This Row],[DEVELOPMENT]],[8]Developments!$A$2:$A$312,1,FALSE)</f>
        <v>FENIMORE-LEFFERTS</v>
      </c>
    </row>
    <row r="101" spans="1:32" x14ac:dyDescent="0.25">
      <c r="A101" t="s">
        <v>220</v>
      </c>
      <c r="B101" s="20">
        <f>VLOOKUP(Data[[#This Row],[DEVELOPMENT]],'[2]NYCHA_Development_Data_Book 201'!$B$2:$AY$324,40,FALSE)</f>
        <v>0</v>
      </c>
      <c r="C101" s="20" t="str">
        <f>VLOOKUP(Data[[#This Row],[DEVELOPMENT]],'[3]Cheat-Sheet'!$D$2:$Q$341,2,FALSE)</f>
        <v>BAISLEY PARK</v>
      </c>
      <c r="D101" s="20" t="e">
        <f>IF(VLOOKUP(Data[[#This Row],[DEVELOPMENT]],'[4]IC Categories'!$A$2:$G$325,3,FALSE)=0,"",VLOOKUP(Data[[#This Row],[DEVELOPMENT]],'[4]IC Categories'!$A$2:$G$325,3,FALSE))</f>
        <v>#N/A</v>
      </c>
      <c r="E101" s="20">
        <f>VLOOKUP(Data[[#This Row],[DEVELOPMENT]],'[2]NYCHA_Development_Data_Book 201'!$B$2:$AY$324,21,FALSE)</f>
        <v>26</v>
      </c>
      <c r="F101" s="20">
        <f>VLOOKUP(Data[[#This Row],[DEVELOPMENT]],'[2]NYCHA_Development_Data_Book 201'!$B$2:$AY$324,23,FALSE)</f>
        <v>0</v>
      </c>
      <c r="G101" s="20">
        <f>VLOOKUP(Data[[#This Row],[DEVELOPMENT]],'[2]NYCHA_Development_Data_Book 201'!$B$2:$AY$324,12,FALSE)</f>
        <v>21</v>
      </c>
      <c r="J101">
        <f>IFERROR(VLOOKUP(Data[[#This Row],[DEVELOPMENT]],[5]!Table1[[DEVELOPMENTS]:[Installation Date of Exterior Compactor]],4,FALSE),0)</f>
        <v>0</v>
      </c>
      <c r="K101" s="20">
        <f>IFERROR(VLOOKUP(Data[[#This Row],[DEVELOPMENT]],[5]!Table1[[DEVELOPMENTS]:[Installation Date of Exterior Compactor]],7,FALSE),0)</f>
        <v>0</v>
      </c>
      <c r="L101" s="42" t="str">
        <f>IF(Data[[#This Row],['# Interior Compactors]]=0,"",VLOOKUP(Data[[#This Row],[DEVELOPMENT]],[5]!Table1[[DEVELOPMENTS]:[Installation Date of Exterior Compactor]],5,FALSE))</f>
        <v/>
      </c>
      <c r="M101" s="43" t="str">
        <f>IF(Data[[#This Row],['# Exterior Compactors]]=0,"",VLOOKUP(Data[[#This Row],[DEVELOPMENT]],[5]!Table1[[DEVELOPMENTS]:[Installation Date of Exterior Compactor]],8,FALSE))</f>
        <v/>
      </c>
      <c r="N101" s="20">
        <f>Data[[#This Row],['# Interior Compactors]]</f>
        <v>0</v>
      </c>
      <c r="O101" s="20">
        <f>1</f>
        <v>1</v>
      </c>
      <c r="P101" s="20">
        <f>1</f>
        <v>1</v>
      </c>
      <c r="Q101" s="20">
        <f>1</f>
        <v>1</v>
      </c>
      <c r="R101" s="20">
        <f>1</f>
        <v>1</v>
      </c>
      <c r="S101" s="20">
        <f>1</f>
        <v>1</v>
      </c>
      <c r="T101" s="20">
        <f>Data[[#This Row],[DUs]]</f>
        <v>21</v>
      </c>
      <c r="U10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1" s="101">
        <f>VLOOKUP(Data[[#This Row],[DEVELOPMENT]],'[2]NYCHA_Development_Data_Book 201'!$B$2:$E$324,3,FALSE)</f>
        <v>209</v>
      </c>
      <c r="Y101" s="20"/>
      <c r="Z101" s="20">
        <f>IFERROR(VLOOKUP(Data[[#This Row],[TDS]],'[7]Static Ext by TDS'!$A$5:$E$120,2,FALSE),0)</f>
        <v>0</v>
      </c>
      <c r="AA101" s="20">
        <f>IFERROR(VLOOKUP(Data[[#This Row],[TDS]],'[7]Static Int by TDS'!$A$6:$O$305,2,FALSE),0)</f>
        <v>0</v>
      </c>
      <c r="AB101" s="20"/>
      <c r="AC101" s="20"/>
      <c r="AD101" s="20">
        <f>IFERROR(VLOOKUP(Data[[#This Row],[TDS]],'[7]Static Ext by TDS'!$A$5:$P$120,3,FALSE)+VLOOKUP(Data[[#This Row],[TDS]],'[7]Static Ext by TDS'!$A$5:$P$120,6,FALSE),0)</f>
        <v>0</v>
      </c>
      <c r="AE101" s="20">
        <f>IFERROR(VLOOKUP(Data[[#This Row],[TDS]],'[7]Static Int by TDS'!$A$6:$O$305,3,FALSE)+VLOOKUP(Data[[#This Row],[TDS]],'[7]Static Int by TDS'!$A$6:$O$305,6,FALSE),0)</f>
        <v>0</v>
      </c>
      <c r="AF101" s="20" t="str">
        <f>VLOOKUP(Data[[#This Row],[DEVELOPMENT]],[8]Developments!$A$2:$A$312,1,FALSE)</f>
        <v>FHA REPOSSESSED HOUSES (GROUP I)</v>
      </c>
    </row>
    <row r="102" spans="1:32" x14ac:dyDescent="0.25">
      <c r="A102" t="s">
        <v>221</v>
      </c>
      <c r="B102" s="20">
        <f>VLOOKUP(Data[[#This Row],[DEVELOPMENT]],'[2]NYCHA_Development_Data_Book 201'!$B$2:$AY$324,40,FALSE)</f>
        <v>0</v>
      </c>
      <c r="C102" s="20" t="str">
        <f>VLOOKUP(Data[[#This Row],[DEVELOPMENT]],'[3]Cheat-Sheet'!$D$2:$Q$341,2,FALSE)</f>
        <v>BAISELY PARK</v>
      </c>
      <c r="D102" s="20" t="e">
        <f>IF(VLOOKUP(Data[[#This Row],[DEVELOPMENT]],'[4]IC Categories'!$A$2:$G$325,3,FALSE)=0,"",VLOOKUP(Data[[#This Row],[DEVELOPMENT]],'[4]IC Categories'!$A$2:$G$325,3,FALSE))</f>
        <v>#N/A</v>
      </c>
      <c r="E102" s="20">
        <f>VLOOKUP(Data[[#This Row],[DEVELOPMENT]],'[2]NYCHA_Development_Data_Book 201'!$B$2:$AY$324,21,FALSE)</f>
        <v>12</v>
      </c>
      <c r="F102" s="20">
        <f>VLOOKUP(Data[[#This Row],[DEVELOPMENT]],'[2]NYCHA_Development_Data_Book 201'!$B$2:$AY$324,23,FALSE)</f>
        <v>0</v>
      </c>
      <c r="G102" s="20">
        <f>VLOOKUP(Data[[#This Row],[DEVELOPMENT]],'[2]NYCHA_Development_Data_Book 201'!$B$2:$AY$324,12,FALSE)</f>
        <v>10</v>
      </c>
      <c r="J102">
        <f>IFERROR(VLOOKUP(Data[[#This Row],[DEVELOPMENT]],[5]!Table1[[DEVELOPMENTS]:[Installation Date of Exterior Compactor]],4,FALSE),0)</f>
        <v>0</v>
      </c>
      <c r="K102" s="20">
        <f>IFERROR(VLOOKUP(Data[[#This Row],[DEVELOPMENT]],[5]!Table1[[DEVELOPMENTS]:[Installation Date of Exterior Compactor]],7,FALSE),0)</f>
        <v>0</v>
      </c>
      <c r="L102" s="42" t="str">
        <f>IF(Data[[#This Row],['# Interior Compactors]]=0,"",VLOOKUP(Data[[#This Row],[DEVELOPMENT]],[5]!Table1[[DEVELOPMENTS]:[Installation Date of Exterior Compactor]],5,FALSE))</f>
        <v/>
      </c>
      <c r="M102" s="43" t="str">
        <f>IF(Data[[#This Row],['# Exterior Compactors]]=0,"",VLOOKUP(Data[[#This Row],[DEVELOPMENT]],[5]!Table1[[DEVELOPMENTS]:[Installation Date of Exterior Compactor]],8,FALSE))</f>
        <v/>
      </c>
      <c r="N102" s="20">
        <f>Data[[#This Row],['# Interior Compactors]]</f>
        <v>0</v>
      </c>
      <c r="O102" s="20">
        <f>1</f>
        <v>1</v>
      </c>
      <c r="P102" s="20">
        <f>1</f>
        <v>1</v>
      </c>
      <c r="Q102" s="20">
        <f>1</f>
        <v>1</v>
      </c>
      <c r="R102" s="20">
        <f>1</f>
        <v>1</v>
      </c>
      <c r="S102" s="20">
        <f>1</f>
        <v>1</v>
      </c>
      <c r="T102" s="20">
        <f>Data[[#This Row],[DUs]]</f>
        <v>10</v>
      </c>
      <c r="U10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2" s="101">
        <f>VLOOKUP(Data[[#This Row],[DEVELOPMENT]],'[2]NYCHA_Development_Data_Book 201'!$B$2:$E$324,3,FALSE)</f>
        <v>212</v>
      </c>
      <c r="Y102" s="20"/>
      <c r="Z102" s="20">
        <f>IFERROR(VLOOKUP(Data[[#This Row],[TDS]],'[7]Static Ext by TDS'!$A$5:$E$120,2,FALSE),0)</f>
        <v>0</v>
      </c>
      <c r="AA102" s="20">
        <f>IFERROR(VLOOKUP(Data[[#This Row],[TDS]],'[7]Static Int by TDS'!$A$6:$O$305,2,FALSE),0)</f>
        <v>0</v>
      </c>
      <c r="AB102" s="20"/>
      <c r="AC102" s="20"/>
      <c r="AD102" s="20">
        <f>IFERROR(VLOOKUP(Data[[#This Row],[TDS]],'[7]Static Ext by TDS'!$A$5:$P$120,3,FALSE)+VLOOKUP(Data[[#This Row],[TDS]],'[7]Static Ext by TDS'!$A$5:$P$120,6,FALSE),0)</f>
        <v>0</v>
      </c>
      <c r="AE102" s="20">
        <f>IFERROR(VLOOKUP(Data[[#This Row],[TDS]],'[7]Static Int by TDS'!$A$6:$O$305,3,FALSE)+VLOOKUP(Data[[#This Row],[TDS]],'[7]Static Int by TDS'!$A$6:$O$305,6,FALSE),0)</f>
        <v>0</v>
      </c>
      <c r="AF102" s="20" t="str">
        <f>VLOOKUP(Data[[#This Row],[DEVELOPMENT]],[8]Developments!$A$2:$A$312,1,FALSE)</f>
        <v>FHA REPOSSESSED HOUSES (GROUP II)</v>
      </c>
    </row>
    <row r="103" spans="1:32" x14ac:dyDescent="0.25">
      <c r="A103" t="s">
        <v>222</v>
      </c>
      <c r="B103" s="20">
        <f>VLOOKUP(Data[[#This Row],[DEVELOPMENT]],'[2]NYCHA_Development_Data_Book 201'!$B$2:$AY$324,40,FALSE)</f>
        <v>0</v>
      </c>
      <c r="C103" s="20" t="str">
        <f>VLOOKUP(Data[[#This Row],[DEVELOPMENT]],'[3]Cheat-Sheet'!$D$2:$Q$341,2,FALSE)</f>
        <v>BAISLEY PARK</v>
      </c>
      <c r="D103" s="20" t="e">
        <f>IF(VLOOKUP(Data[[#This Row],[DEVELOPMENT]],'[4]IC Categories'!$A$2:$G$325,3,FALSE)=0,"",VLOOKUP(Data[[#This Row],[DEVELOPMENT]],'[4]IC Categories'!$A$2:$G$325,3,FALSE))</f>
        <v>#N/A</v>
      </c>
      <c r="E103" s="20">
        <f>VLOOKUP(Data[[#This Row],[DEVELOPMENT]],'[2]NYCHA_Development_Data_Book 201'!$B$2:$AY$324,21,FALSE)</f>
        <v>12</v>
      </c>
      <c r="F103" s="20">
        <f>VLOOKUP(Data[[#This Row],[DEVELOPMENT]],'[2]NYCHA_Development_Data_Book 201'!$B$2:$AY$324,23,FALSE)</f>
        <v>0</v>
      </c>
      <c r="G103" s="20">
        <f>VLOOKUP(Data[[#This Row],[DEVELOPMENT]],'[2]NYCHA_Development_Data_Book 201'!$B$2:$AY$324,12,FALSE)</f>
        <v>11</v>
      </c>
      <c r="J103">
        <f>IFERROR(VLOOKUP(Data[[#This Row],[DEVELOPMENT]],[5]!Table1[[DEVELOPMENTS]:[Installation Date of Exterior Compactor]],4,FALSE),0)</f>
        <v>0</v>
      </c>
      <c r="K103" s="20">
        <f>IFERROR(VLOOKUP(Data[[#This Row],[DEVELOPMENT]],[5]!Table1[[DEVELOPMENTS]:[Installation Date of Exterior Compactor]],7,FALSE),0)</f>
        <v>0</v>
      </c>
      <c r="L103" s="42" t="str">
        <f>IF(Data[[#This Row],['# Interior Compactors]]=0,"",VLOOKUP(Data[[#This Row],[DEVELOPMENT]],[5]!Table1[[DEVELOPMENTS]:[Installation Date of Exterior Compactor]],5,FALSE))</f>
        <v/>
      </c>
      <c r="M103" s="43" t="str">
        <f>IF(Data[[#This Row],['# Exterior Compactors]]=0,"",VLOOKUP(Data[[#This Row],[DEVELOPMENT]],[5]!Table1[[DEVELOPMENTS]:[Installation Date of Exterior Compactor]],8,FALSE))</f>
        <v/>
      </c>
      <c r="N103" s="20">
        <f>Data[[#This Row],['# Interior Compactors]]</f>
        <v>0</v>
      </c>
      <c r="O103" s="20">
        <f>1</f>
        <v>1</v>
      </c>
      <c r="P103" s="20">
        <f>1</f>
        <v>1</v>
      </c>
      <c r="Q103" s="20">
        <f>1</f>
        <v>1</v>
      </c>
      <c r="R103" s="20">
        <f>1</f>
        <v>1</v>
      </c>
      <c r="S103" s="20">
        <f>1</f>
        <v>1</v>
      </c>
      <c r="T103" s="20">
        <f>Data[[#This Row],[DUs]]</f>
        <v>11</v>
      </c>
      <c r="U10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3" s="101">
        <f>VLOOKUP(Data[[#This Row],[DEVELOPMENT]],'[2]NYCHA_Development_Data_Book 201'!$B$2:$E$324,3,FALSE)</f>
        <v>213</v>
      </c>
      <c r="Y103" s="20"/>
      <c r="Z103" s="20">
        <f>IFERROR(VLOOKUP(Data[[#This Row],[TDS]],'[7]Static Ext by TDS'!$A$5:$E$120,2,FALSE),0)</f>
        <v>0</v>
      </c>
      <c r="AA103" s="20">
        <f>IFERROR(VLOOKUP(Data[[#This Row],[TDS]],'[7]Static Int by TDS'!$A$6:$O$305,2,FALSE),0)</f>
        <v>0</v>
      </c>
      <c r="AB103" s="20"/>
      <c r="AC103" s="20"/>
      <c r="AD103" s="20">
        <f>IFERROR(VLOOKUP(Data[[#This Row],[TDS]],'[7]Static Ext by TDS'!$A$5:$P$120,3,FALSE)+VLOOKUP(Data[[#This Row],[TDS]],'[7]Static Ext by TDS'!$A$5:$P$120,6,FALSE),0)</f>
        <v>0</v>
      </c>
      <c r="AE103" s="20">
        <f>IFERROR(VLOOKUP(Data[[#This Row],[TDS]],'[7]Static Int by TDS'!$A$6:$O$305,3,FALSE)+VLOOKUP(Data[[#This Row],[TDS]],'[7]Static Int by TDS'!$A$6:$O$305,6,FALSE),0)</f>
        <v>0</v>
      </c>
      <c r="AF103" s="20" t="str">
        <f>VLOOKUP(Data[[#This Row],[DEVELOPMENT]],[8]Developments!$A$2:$A$312,1,FALSE)</f>
        <v>FHA REPOSSESSED HOUSES (GROUP III)</v>
      </c>
    </row>
    <row r="104" spans="1:32" x14ac:dyDescent="0.25">
      <c r="A104" t="s">
        <v>223</v>
      </c>
      <c r="B104" s="20">
        <f>VLOOKUP(Data[[#This Row],[DEVELOPMENT]],'[2]NYCHA_Development_Data_Book 201'!$B$2:$AY$324,40,FALSE)</f>
        <v>0</v>
      </c>
      <c r="C104" s="20" t="str">
        <f>VLOOKUP(Data[[#This Row],[DEVELOPMENT]],'[3]Cheat-Sheet'!$D$2:$Q$341,2,FALSE)</f>
        <v>BAISLEY PARK</v>
      </c>
      <c r="D104" s="20" t="e">
        <f>IF(VLOOKUP(Data[[#This Row],[DEVELOPMENT]],'[4]IC Categories'!$A$2:$G$325,3,FALSE)=0,"",VLOOKUP(Data[[#This Row],[DEVELOPMENT]],'[4]IC Categories'!$A$2:$G$325,3,FALSE))</f>
        <v>#N/A</v>
      </c>
      <c r="E104" s="20">
        <f>VLOOKUP(Data[[#This Row],[DEVELOPMENT]],'[2]NYCHA_Development_Data_Book 201'!$B$2:$AY$324,21,FALSE)</f>
        <v>13</v>
      </c>
      <c r="F104" s="20">
        <f>VLOOKUP(Data[[#This Row],[DEVELOPMENT]],'[2]NYCHA_Development_Data_Book 201'!$B$2:$AY$324,23,FALSE)</f>
        <v>0</v>
      </c>
      <c r="G104" s="20">
        <f>VLOOKUP(Data[[#This Row],[DEVELOPMENT]],'[2]NYCHA_Development_Data_Book 201'!$B$2:$AY$324,12,FALSE)</f>
        <v>10</v>
      </c>
      <c r="J104">
        <f>IFERROR(VLOOKUP(Data[[#This Row],[DEVELOPMENT]],[5]!Table1[[DEVELOPMENTS]:[Installation Date of Exterior Compactor]],4,FALSE),0)</f>
        <v>0</v>
      </c>
      <c r="K104" s="20">
        <f>IFERROR(VLOOKUP(Data[[#This Row],[DEVELOPMENT]],[5]!Table1[[DEVELOPMENTS]:[Installation Date of Exterior Compactor]],7,FALSE),0)</f>
        <v>0</v>
      </c>
      <c r="L104" s="42" t="str">
        <f>IF(Data[[#This Row],['# Interior Compactors]]=0,"",VLOOKUP(Data[[#This Row],[DEVELOPMENT]],[5]!Table1[[DEVELOPMENTS]:[Installation Date of Exterior Compactor]],5,FALSE))</f>
        <v/>
      </c>
      <c r="M104" s="43" t="str">
        <f>IF(Data[[#This Row],['# Exterior Compactors]]=0,"",VLOOKUP(Data[[#This Row],[DEVELOPMENT]],[5]!Table1[[DEVELOPMENTS]:[Installation Date of Exterior Compactor]],8,FALSE))</f>
        <v/>
      </c>
      <c r="N104" s="20">
        <f>Data[[#This Row],['# Interior Compactors]]</f>
        <v>0</v>
      </c>
      <c r="O104" s="20">
        <f>1</f>
        <v>1</v>
      </c>
      <c r="P104" s="20">
        <f>1</f>
        <v>1</v>
      </c>
      <c r="Q104" s="20">
        <f>1</f>
        <v>1</v>
      </c>
      <c r="R104" s="20">
        <f>1</f>
        <v>1</v>
      </c>
      <c r="S104" s="20">
        <f>1</f>
        <v>1</v>
      </c>
      <c r="T104" s="20">
        <f>Data[[#This Row],[DUs]]</f>
        <v>10</v>
      </c>
      <c r="U10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4" s="101">
        <f>VLOOKUP(Data[[#This Row],[DEVELOPMENT]],'[2]NYCHA_Development_Data_Book 201'!$B$2:$E$324,3,FALSE)</f>
        <v>226</v>
      </c>
      <c r="Y104" s="20"/>
      <c r="Z104" s="20">
        <f>IFERROR(VLOOKUP(Data[[#This Row],[TDS]],'[7]Static Ext by TDS'!$A$5:$E$120,2,FALSE),0)</f>
        <v>0</v>
      </c>
      <c r="AA104" s="20">
        <f>IFERROR(VLOOKUP(Data[[#This Row],[TDS]],'[7]Static Int by TDS'!$A$6:$O$305,2,FALSE),0)</f>
        <v>0</v>
      </c>
      <c r="AB104" s="20"/>
      <c r="AC104" s="20"/>
      <c r="AD104" s="20">
        <f>IFERROR(VLOOKUP(Data[[#This Row],[TDS]],'[7]Static Ext by TDS'!$A$5:$P$120,3,FALSE)+VLOOKUP(Data[[#This Row],[TDS]],'[7]Static Ext by TDS'!$A$5:$P$120,6,FALSE),0)</f>
        <v>0</v>
      </c>
      <c r="AE104" s="20">
        <f>IFERROR(VLOOKUP(Data[[#This Row],[TDS]],'[7]Static Int by TDS'!$A$6:$O$305,3,FALSE)+VLOOKUP(Data[[#This Row],[TDS]],'[7]Static Int by TDS'!$A$6:$O$305,6,FALSE),0)</f>
        <v>0</v>
      </c>
      <c r="AF104" s="20" t="str">
        <f>VLOOKUP(Data[[#This Row],[DEVELOPMENT]],[8]Developments!$A$2:$A$312,1,FALSE)</f>
        <v>FHA REPOSSESSED HOUSES (GROUP IV)</v>
      </c>
    </row>
    <row r="105" spans="1:32" x14ac:dyDescent="0.25">
      <c r="A105" t="s">
        <v>224</v>
      </c>
      <c r="B105" s="20">
        <f>VLOOKUP(Data[[#This Row],[DEVELOPMENT]],'[2]NYCHA_Development_Data_Book 201'!$B$2:$AY$324,40,FALSE)</f>
        <v>0</v>
      </c>
      <c r="C105" s="20" t="str">
        <f>VLOOKUP(Data[[#This Row],[DEVELOPMENT]],'[3]Cheat-Sheet'!$D$2:$Q$341,2,FALSE)</f>
        <v>BAISLEY PARK</v>
      </c>
      <c r="D105" s="20" t="e">
        <f>IF(VLOOKUP(Data[[#This Row],[DEVELOPMENT]],'[4]IC Categories'!$A$2:$G$325,3,FALSE)=0,"",VLOOKUP(Data[[#This Row],[DEVELOPMENT]],'[4]IC Categories'!$A$2:$G$325,3,FALSE))</f>
        <v>#N/A</v>
      </c>
      <c r="E105" s="20">
        <f>VLOOKUP(Data[[#This Row],[DEVELOPMENT]],'[2]NYCHA_Development_Data_Book 201'!$B$2:$AY$324,21,FALSE)</f>
        <v>16</v>
      </c>
      <c r="F105" s="20">
        <f>VLOOKUP(Data[[#This Row],[DEVELOPMENT]],'[2]NYCHA_Development_Data_Book 201'!$B$2:$AY$324,23,FALSE)</f>
        <v>0</v>
      </c>
      <c r="G105" s="20">
        <f>VLOOKUP(Data[[#This Row],[DEVELOPMENT]],'[2]NYCHA_Development_Data_Book 201'!$B$2:$AY$324,12,FALSE)</f>
        <v>16</v>
      </c>
      <c r="H105" t="s">
        <v>476</v>
      </c>
      <c r="J105">
        <f>IFERROR(VLOOKUP(Data[[#This Row],[DEVELOPMENT]],[5]!Table1[[DEVELOPMENTS]:[Installation Date of Exterior Compactor]],4,FALSE),0)</f>
        <v>0</v>
      </c>
      <c r="K105" s="20">
        <f>IFERROR(VLOOKUP(Data[[#This Row],[DEVELOPMENT]],[5]!Table1[[DEVELOPMENTS]:[Installation Date of Exterior Compactor]],7,FALSE),0)</f>
        <v>0</v>
      </c>
      <c r="L105" s="42" t="str">
        <f>IF(Data[[#This Row],['# Interior Compactors]]=0,"",VLOOKUP(Data[[#This Row],[DEVELOPMENT]],[5]!Table1[[DEVELOPMENTS]:[Installation Date of Exterior Compactor]],5,FALSE))</f>
        <v/>
      </c>
      <c r="M105" s="43" t="str">
        <f>IF(Data[[#This Row],['# Exterior Compactors]]=0,"",VLOOKUP(Data[[#This Row],[DEVELOPMENT]],[5]!Table1[[DEVELOPMENTS]:[Installation Date of Exterior Compactor]],8,FALSE))</f>
        <v/>
      </c>
      <c r="N105" s="20">
        <f>Data[[#This Row],['# Interior Compactors]]</f>
        <v>0</v>
      </c>
      <c r="O105" s="20">
        <f>1</f>
        <v>1</v>
      </c>
      <c r="P105" s="20">
        <f>1</f>
        <v>1</v>
      </c>
      <c r="Q105" s="20">
        <f>1</f>
        <v>1</v>
      </c>
      <c r="R105" s="20">
        <f>1</f>
        <v>1</v>
      </c>
      <c r="S105" s="20">
        <f>1</f>
        <v>1</v>
      </c>
      <c r="T105" s="20">
        <f>Data[[#This Row],[DUs]]</f>
        <v>16</v>
      </c>
      <c r="U10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5" s="101">
        <f>VLOOKUP(Data[[#This Row],[DEVELOPMENT]],'[2]NYCHA_Development_Data_Book 201'!$B$2:$E$324,3,FALSE)</f>
        <v>283</v>
      </c>
      <c r="Y105" s="20" t="s">
        <v>473</v>
      </c>
      <c r="Z105" s="20">
        <f>IFERROR(VLOOKUP(Data[[#This Row],[TDS]],'[7]Static Ext by TDS'!$A$5:$E$120,2,FALSE),0)</f>
        <v>0</v>
      </c>
      <c r="AA105" s="20">
        <f>IFERROR(VLOOKUP(Data[[#This Row],[TDS]],'[7]Static Int by TDS'!$A$6:$O$305,2,FALSE),0)</f>
        <v>0</v>
      </c>
      <c r="AB105" s="20"/>
      <c r="AC105" s="20"/>
      <c r="AD105" s="20">
        <f>IFERROR(VLOOKUP(Data[[#This Row],[TDS]],'[7]Static Ext by TDS'!$A$5:$P$120,3,FALSE)+VLOOKUP(Data[[#This Row],[TDS]],'[7]Static Ext by TDS'!$A$5:$P$120,6,FALSE),0)</f>
        <v>0</v>
      </c>
      <c r="AE105" s="20">
        <f>IFERROR(VLOOKUP(Data[[#This Row],[TDS]],'[7]Static Int by TDS'!$A$6:$O$305,3,FALSE)+VLOOKUP(Data[[#This Row],[TDS]],'[7]Static Int by TDS'!$A$6:$O$305,6,FALSE),0)</f>
        <v>0</v>
      </c>
      <c r="AF105" s="20" t="str">
        <f>VLOOKUP(Data[[#This Row],[DEVELOPMENT]],[8]Developments!$A$2:$A$312,1,FALSE)</f>
        <v>FHA REPOSSESSED HOUSES (GROUP IX)</v>
      </c>
    </row>
    <row r="106" spans="1:32" x14ac:dyDescent="0.25">
      <c r="A106" t="s">
        <v>225</v>
      </c>
      <c r="B106" s="20">
        <f>VLOOKUP(Data[[#This Row],[DEVELOPMENT]],'[2]NYCHA_Development_Data_Book 201'!$B$2:$AY$324,40,FALSE)</f>
        <v>0</v>
      </c>
      <c r="C106" s="20" t="str">
        <f>VLOOKUP(Data[[#This Row],[DEVELOPMENT]],'[3]Cheat-Sheet'!$D$2:$Q$341,2,FALSE)</f>
        <v>BAISLEY PARK</v>
      </c>
      <c r="D106" s="20" t="e">
        <f>IF(VLOOKUP(Data[[#This Row],[DEVELOPMENT]],'[4]IC Categories'!$A$2:$G$325,3,FALSE)=0,"",VLOOKUP(Data[[#This Row],[DEVELOPMENT]],'[4]IC Categories'!$A$2:$G$325,3,FALSE))</f>
        <v>#N/A</v>
      </c>
      <c r="E106" s="20">
        <f>VLOOKUP(Data[[#This Row],[DEVELOPMENT]],'[2]NYCHA_Development_Data_Book 201'!$B$2:$AY$324,21,FALSE)</f>
        <v>31</v>
      </c>
      <c r="F106" s="20">
        <f>VLOOKUP(Data[[#This Row],[DEVELOPMENT]],'[2]NYCHA_Development_Data_Book 201'!$B$2:$AY$324,23,FALSE)</f>
        <v>0</v>
      </c>
      <c r="G106" s="20">
        <f>VLOOKUP(Data[[#This Row],[DEVELOPMENT]],'[2]NYCHA_Development_Data_Book 201'!$B$2:$AY$324,12,FALSE)</f>
        <v>29</v>
      </c>
      <c r="J106">
        <f>IFERROR(VLOOKUP(Data[[#This Row],[DEVELOPMENT]],[5]!Table1[[DEVELOPMENTS]:[Installation Date of Exterior Compactor]],4,FALSE),0)</f>
        <v>0</v>
      </c>
      <c r="K106" s="20">
        <f>IFERROR(VLOOKUP(Data[[#This Row],[DEVELOPMENT]],[5]!Table1[[DEVELOPMENTS]:[Installation Date of Exterior Compactor]],7,FALSE),0)</f>
        <v>0</v>
      </c>
      <c r="L106" s="42" t="str">
        <f>IF(Data[[#This Row],['# Interior Compactors]]=0,"",VLOOKUP(Data[[#This Row],[DEVELOPMENT]],[5]!Table1[[DEVELOPMENTS]:[Installation Date of Exterior Compactor]],5,FALSE))</f>
        <v/>
      </c>
      <c r="M106" s="43" t="str">
        <f>IF(Data[[#This Row],['# Exterior Compactors]]=0,"",VLOOKUP(Data[[#This Row],[DEVELOPMENT]],[5]!Table1[[DEVELOPMENTS]:[Installation Date of Exterior Compactor]],8,FALSE))</f>
        <v/>
      </c>
      <c r="N106" s="20">
        <f>Data[[#This Row],['# Interior Compactors]]</f>
        <v>0</v>
      </c>
      <c r="O106" s="20">
        <f>1</f>
        <v>1</v>
      </c>
      <c r="P106" s="20">
        <f>1</f>
        <v>1</v>
      </c>
      <c r="Q106" s="20">
        <f>1</f>
        <v>1</v>
      </c>
      <c r="R106" s="20">
        <f>1</f>
        <v>1</v>
      </c>
      <c r="S106" s="20">
        <f>1</f>
        <v>1</v>
      </c>
      <c r="T106" s="20">
        <f>Data[[#This Row],[DUs]]</f>
        <v>29</v>
      </c>
      <c r="U10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6" s="101">
        <f>VLOOKUP(Data[[#This Row],[DEVELOPMENT]],'[2]NYCHA_Development_Data_Book 201'!$B$2:$E$324,3,FALSE)</f>
        <v>260</v>
      </c>
      <c r="Y106" s="20"/>
      <c r="Z106" s="20">
        <f>IFERROR(VLOOKUP(Data[[#This Row],[TDS]],'[7]Static Ext by TDS'!$A$5:$E$120,2,FALSE),0)</f>
        <v>0</v>
      </c>
      <c r="AA106" s="20">
        <f>IFERROR(VLOOKUP(Data[[#This Row],[TDS]],'[7]Static Int by TDS'!$A$6:$O$305,2,FALSE),0)</f>
        <v>0</v>
      </c>
      <c r="AB106" s="20"/>
      <c r="AC106" s="20"/>
      <c r="AD106" s="20">
        <f>IFERROR(VLOOKUP(Data[[#This Row],[TDS]],'[7]Static Ext by TDS'!$A$5:$P$120,3,FALSE)+VLOOKUP(Data[[#This Row],[TDS]],'[7]Static Ext by TDS'!$A$5:$P$120,6,FALSE),0)</f>
        <v>0</v>
      </c>
      <c r="AE106" s="20">
        <f>IFERROR(VLOOKUP(Data[[#This Row],[TDS]],'[7]Static Int by TDS'!$A$6:$O$305,3,FALSE)+VLOOKUP(Data[[#This Row],[TDS]],'[7]Static Int by TDS'!$A$6:$O$305,6,FALSE),0)</f>
        <v>0</v>
      </c>
      <c r="AF106" s="20" t="str">
        <f>VLOOKUP(Data[[#This Row],[DEVELOPMENT]],[8]Developments!$A$2:$A$312,1,FALSE)</f>
        <v>FHA REPOSSESSED HOUSES (GROUP V)</v>
      </c>
    </row>
    <row r="107" spans="1:32" x14ac:dyDescent="0.25">
      <c r="A107" t="s">
        <v>226</v>
      </c>
      <c r="B107" s="20">
        <f>VLOOKUP(Data[[#This Row],[DEVELOPMENT]],'[2]NYCHA_Development_Data_Book 201'!$B$2:$AY$324,40,FALSE)</f>
        <v>0</v>
      </c>
      <c r="C107" s="20" t="str">
        <f>VLOOKUP(Data[[#This Row],[DEVELOPMENT]],'[3]Cheat-Sheet'!$D$2:$Q$341,2,FALSE)</f>
        <v>BAISLEY PARK</v>
      </c>
      <c r="D107" s="20" t="e">
        <f>IF(VLOOKUP(Data[[#This Row],[DEVELOPMENT]],'[4]IC Categories'!$A$2:$G$325,3,FALSE)=0,"",VLOOKUP(Data[[#This Row],[DEVELOPMENT]],'[4]IC Categories'!$A$2:$G$325,3,FALSE))</f>
        <v>#N/A</v>
      </c>
      <c r="E107" s="20">
        <f>VLOOKUP(Data[[#This Row],[DEVELOPMENT]],'[2]NYCHA_Development_Data_Book 201'!$B$2:$AY$324,21,FALSE)</f>
        <v>7</v>
      </c>
      <c r="F107" s="20">
        <f>VLOOKUP(Data[[#This Row],[DEVELOPMENT]],'[2]NYCHA_Development_Data_Book 201'!$B$2:$AY$324,23,FALSE)</f>
        <v>0</v>
      </c>
      <c r="G107" s="20">
        <f>VLOOKUP(Data[[#This Row],[DEVELOPMENT]],'[2]NYCHA_Development_Data_Book 201'!$B$2:$AY$324,12,FALSE)</f>
        <v>6</v>
      </c>
      <c r="J107">
        <f>IFERROR(VLOOKUP(Data[[#This Row],[DEVELOPMENT]],[5]!Table1[[DEVELOPMENTS]:[Installation Date of Exterior Compactor]],4,FALSE),0)</f>
        <v>0</v>
      </c>
      <c r="K107" s="20">
        <f>IFERROR(VLOOKUP(Data[[#This Row],[DEVELOPMENT]],[5]!Table1[[DEVELOPMENTS]:[Installation Date of Exterior Compactor]],7,FALSE),0)</f>
        <v>0</v>
      </c>
      <c r="L107" s="42" t="str">
        <f>IF(Data[[#This Row],['# Interior Compactors]]=0,"",VLOOKUP(Data[[#This Row],[DEVELOPMENT]],[5]!Table1[[DEVELOPMENTS]:[Installation Date of Exterior Compactor]],5,FALSE))</f>
        <v/>
      </c>
      <c r="M107" s="43" t="str">
        <f>IF(Data[[#This Row],['# Exterior Compactors]]=0,"",VLOOKUP(Data[[#This Row],[DEVELOPMENT]],[5]!Table1[[DEVELOPMENTS]:[Installation Date of Exterior Compactor]],8,FALSE))</f>
        <v/>
      </c>
      <c r="N107" s="20">
        <f>Data[[#This Row],['# Interior Compactors]]</f>
        <v>0</v>
      </c>
      <c r="O107" s="20">
        <f>1</f>
        <v>1</v>
      </c>
      <c r="P107" s="20">
        <f>1</f>
        <v>1</v>
      </c>
      <c r="Q107" s="20">
        <f>1</f>
        <v>1</v>
      </c>
      <c r="R107" s="20">
        <f>1</f>
        <v>1</v>
      </c>
      <c r="S107" s="20">
        <f>1</f>
        <v>1</v>
      </c>
      <c r="T107" s="20">
        <f>Data[[#This Row],[DUs]]</f>
        <v>6</v>
      </c>
      <c r="U10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7" s="101">
        <f>VLOOKUP(Data[[#This Row],[DEVELOPMENT]],'[2]NYCHA_Development_Data_Book 201'!$B$2:$E$324,3,FALSE)</f>
        <v>273</v>
      </c>
      <c r="Y107" s="20"/>
      <c r="Z107" s="20">
        <f>IFERROR(VLOOKUP(Data[[#This Row],[TDS]],'[7]Static Ext by TDS'!$A$5:$E$120,2,FALSE),0)</f>
        <v>0</v>
      </c>
      <c r="AA107" s="20">
        <f>IFERROR(VLOOKUP(Data[[#This Row],[TDS]],'[7]Static Int by TDS'!$A$6:$O$305,2,FALSE),0)</f>
        <v>0</v>
      </c>
      <c r="AB107" s="20"/>
      <c r="AC107" s="20"/>
      <c r="AD107" s="20">
        <f>IFERROR(VLOOKUP(Data[[#This Row],[TDS]],'[7]Static Ext by TDS'!$A$5:$P$120,3,FALSE)+VLOOKUP(Data[[#This Row],[TDS]],'[7]Static Ext by TDS'!$A$5:$P$120,6,FALSE),0)</f>
        <v>0</v>
      </c>
      <c r="AE107" s="20">
        <f>IFERROR(VLOOKUP(Data[[#This Row],[TDS]],'[7]Static Int by TDS'!$A$6:$O$305,3,FALSE)+VLOOKUP(Data[[#This Row],[TDS]],'[7]Static Int by TDS'!$A$6:$O$305,6,FALSE),0)</f>
        <v>0</v>
      </c>
      <c r="AF107" s="20" t="str">
        <f>VLOOKUP(Data[[#This Row],[DEVELOPMENT]],[8]Developments!$A$2:$A$312,1,FALSE)</f>
        <v>FHA REPOSSESSED HOUSES (GROUP VI)</v>
      </c>
    </row>
    <row r="108" spans="1:32" x14ac:dyDescent="0.25">
      <c r="A108" t="s">
        <v>227</v>
      </c>
      <c r="B108" s="20">
        <f>VLOOKUP(Data[[#This Row],[DEVELOPMENT]],'[2]NYCHA_Development_Data_Book 201'!$B$2:$AY$324,40,FALSE)</f>
        <v>0</v>
      </c>
      <c r="C108" s="20" t="str">
        <f>VLOOKUP(Data[[#This Row],[DEVELOPMENT]],'[3]Cheat-Sheet'!$D$2:$Q$341,2,FALSE)</f>
        <v>BAISLEY PARK</v>
      </c>
      <c r="D108" s="20" t="e">
        <f>IF(VLOOKUP(Data[[#This Row],[DEVELOPMENT]],'[4]IC Categories'!$A$2:$G$325,3,FALSE)=0,"",VLOOKUP(Data[[#This Row],[DEVELOPMENT]],'[4]IC Categories'!$A$2:$G$325,3,FALSE))</f>
        <v>#N/A</v>
      </c>
      <c r="E108" s="20">
        <f>VLOOKUP(Data[[#This Row],[DEVELOPMENT]],'[2]NYCHA_Development_Data_Book 201'!$B$2:$AY$324,21,FALSE)</f>
        <v>8</v>
      </c>
      <c r="F108" s="20">
        <f>VLOOKUP(Data[[#This Row],[DEVELOPMENT]],'[2]NYCHA_Development_Data_Book 201'!$B$2:$AY$324,23,FALSE)</f>
        <v>0</v>
      </c>
      <c r="G108" s="20">
        <f>VLOOKUP(Data[[#This Row],[DEVELOPMENT]],'[2]NYCHA_Development_Data_Book 201'!$B$2:$AY$324,12,FALSE)</f>
        <v>5</v>
      </c>
      <c r="J108">
        <f>IFERROR(VLOOKUP(Data[[#This Row],[DEVELOPMENT]],[5]!Table1[[DEVELOPMENTS]:[Installation Date of Exterior Compactor]],4,FALSE),0)</f>
        <v>0</v>
      </c>
      <c r="K108" s="20">
        <f>IFERROR(VLOOKUP(Data[[#This Row],[DEVELOPMENT]],[5]!Table1[[DEVELOPMENTS]:[Installation Date of Exterior Compactor]],7,FALSE),0)</f>
        <v>0</v>
      </c>
      <c r="L108" s="42" t="str">
        <f>IF(Data[[#This Row],['# Interior Compactors]]=0,"",VLOOKUP(Data[[#This Row],[DEVELOPMENT]],[5]!Table1[[DEVELOPMENTS]:[Installation Date of Exterior Compactor]],5,FALSE))</f>
        <v/>
      </c>
      <c r="M108" s="43" t="str">
        <f>IF(Data[[#This Row],['# Exterior Compactors]]=0,"",VLOOKUP(Data[[#This Row],[DEVELOPMENT]],[5]!Table1[[DEVELOPMENTS]:[Installation Date of Exterior Compactor]],8,FALSE))</f>
        <v/>
      </c>
      <c r="N108" s="20">
        <f>Data[[#This Row],['# Interior Compactors]]</f>
        <v>0</v>
      </c>
      <c r="O108" s="20">
        <f>1</f>
        <v>1</v>
      </c>
      <c r="P108" s="20">
        <f>1</f>
        <v>1</v>
      </c>
      <c r="Q108" s="20">
        <f>1</f>
        <v>1</v>
      </c>
      <c r="R108" s="20">
        <f>1</f>
        <v>1</v>
      </c>
      <c r="S108" s="20">
        <f>1</f>
        <v>1</v>
      </c>
      <c r="T108" s="20">
        <f>Data[[#This Row],[DUs]]</f>
        <v>5</v>
      </c>
      <c r="U10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8" s="101">
        <f>VLOOKUP(Data[[#This Row],[DEVELOPMENT]],'[2]NYCHA_Development_Data_Book 201'!$B$2:$E$324,3,FALSE)</f>
        <v>274</v>
      </c>
      <c r="Y108" s="20"/>
      <c r="Z108" s="20">
        <f>IFERROR(VLOOKUP(Data[[#This Row],[TDS]],'[7]Static Ext by TDS'!$A$5:$E$120,2,FALSE),0)</f>
        <v>0</v>
      </c>
      <c r="AA108" s="20">
        <f>IFERROR(VLOOKUP(Data[[#This Row],[TDS]],'[7]Static Int by TDS'!$A$6:$O$305,2,FALSE),0)</f>
        <v>0</v>
      </c>
      <c r="AB108" s="20"/>
      <c r="AC108" s="20"/>
      <c r="AD108" s="20">
        <f>IFERROR(VLOOKUP(Data[[#This Row],[TDS]],'[7]Static Ext by TDS'!$A$5:$P$120,3,FALSE)+VLOOKUP(Data[[#This Row],[TDS]],'[7]Static Ext by TDS'!$A$5:$P$120,6,FALSE),0)</f>
        <v>0</v>
      </c>
      <c r="AE108" s="20">
        <f>IFERROR(VLOOKUP(Data[[#This Row],[TDS]],'[7]Static Int by TDS'!$A$6:$O$305,3,FALSE)+VLOOKUP(Data[[#This Row],[TDS]],'[7]Static Int by TDS'!$A$6:$O$305,6,FALSE),0)</f>
        <v>0</v>
      </c>
      <c r="AF108" s="20" t="str">
        <f>VLOOKUP(Data[[#This Row],[DEVELOPMENT]],[8]Developments!$A$2:$A$312,1,FALSE)</f>
        <v>FHA REPOSSESSED HOUSES (GROUP VII)</v>
      </c>
    </row>
    <row r="109" spans="1:32" x14ac:dyDescent="0.25">
      <c r="A109" t="s">
        <v>228</v>
      </c>
      <c r="B109" s="20">
        <f>VLOOKUP(Data[[#This Row],[DEVELOPMENT]],'[2]NYCHA_Development_Data_Book 201'!$B$2:$AY$324,40,FALSE)</f>
        <v>0</v>
      </c>
      <c r="C109" s="20" t="str">
        <f>VLOOKUP(Data[[#This Row],[DEVELOPMENT]],'[3]Cheat-Sheet'!$D$2:$Q$341,2,FALSE)</f>
        <v>BAISLEY PARK</v>
      </c>
      <c r="D109" s="20" t="e">
        <f>IF(VLOOKUP(Data[[#This Row],[DEVELOPMENT]],'[4]IC Categories'!$A$2:$G$325,3,FALSE)=0,"",VLOOKUP(Data[[#This Row],[DEVELOPMENT]],'[4]IC Categories'!$A$2:$G$325,3,FALSE))</f>
        <v>#N/A</v>
      </c>
      <c r="E109" s="20">
        <f>VLOOKUP(Data[[#This Row],[DEVELOPMENT]],'[2]NYCHA_Development_Data_Book 201'!$B$2:$AY$324,21,FALSE)</f>
        <v>9</v>
      </c>
      <c r="F109" s="20">
        <f>VLOOKUP(Data[[#This Row],[DEVELOPMENT]],'[2]NYCHA_Development_Data_Book 201'!$B$2:$AY$324,23,FALSE)</f>
        <v>0</v>
      </c>
      <c r="G109" s="20">
        <f>VLOOKUP(Data[[#This Row],[DEVELOPMENT]],'[2]NYCHA_Development_Data_Book 201'!$B$2:$AY$324,12,FALSE)</f>
        <v>5</v>
      </c>
      <c r="J109">
        <f>IFERROR(VLOOKUP(Data[[#This Row],[DEVELOPMENT]],[5]!Table1[[DEVELOPMENTS]:[Installation Date of Exterior Compactor]],4,FALSE),0)</f>
        <v>0</v>
      </c>
      <c r="K109" s="20">
        <f>IFERROR(VLOOKUP(Data[[#This Row],[DEVELOPMENT]],[5]!Table1[[DEVELOPMENTS]:[Installation Date of Exterior Compactor]],7,FALSE),0)</f>
        <v>0</v>
      </c>
      <c r="L109" s="42" t="str">
        <f>IF(Data[[#This Row],['# Interior Compactors]]=0,"",VLOOKUP(Data[[#This Row],[DEVELOPMENT]],[5]!Table1[[DEVELOPMENTS]:[Installation Date of Exterior Compactor]],5,FALSE))</f>
        <v/>
      </c>
      <c r="M109" s="43" t="str">
        <f>IF(Data[[#This Row],['# Exterior Compactors]]=0,"",VLOOKUP(Data[[#This Row],[DEVELOPMENT]],[5]!Table1[[DEVELOPMENTS]:[Installation Date of Exterior Compactor]],8,FALSE))</f>
        <v/>
      </c>
      <c r="N109" s="20">
        <f>Data[[#This Row],['# Interior Compactors]]</f>
        <v>0</v>
      </c>
      <c r="O109" s="20">
        <f>1</f>
        <v>1</v>
      </c>
      <c r="P109" s="20">
        <f>1</f>
        <v>1</v>
      </c>
      <c r="Q109" s="20">
        <f>1</f>
        <v>1</v>
      </c>
      <c r="R109" s="20">
        <f>1</f>
        <v>1</v>
      </c>
      <c r="S109" s="20">
        <f>1</f>
        <v>1</v>
      </c>
      <c r="T109" s="20">
        <f>Data[[#This Row],[DUs]]</f>
        <v>5</v>
      </c>
      <c r="U10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0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0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09" s="101">
        <f>VLOOKUP(Data[[#This Row],[DEVELOPMENT]],'[2]NYCHA_Development_Data_Book 201'!$B$2:$E$324,3,FALSE)</f>
        <v>275</v>
      </c>
      <c r="Y109" s="20"/>
      <c r="Z109" s="20">
        <f>IFERROR(VLOOKUP(Data[[#This Row],[TDS]],'[7]Static Ext by TDS'!$A$5:$E$120,2,FALSE),0)</f>
        <v>0</v>
      </c>
      <c r="AA109" s="20">
        <f>IFERROR(VLOOKUP(Data[[#This Row],[TDS]],'[7]Static Int by TDS'!$A$6:$O$305,2,FALSE),0)</f>
        <v>0</v>
      </c>
      <c r="AB109" s="20"/>
      <c r="AC109" s="20"/>
      <c r="AD109" s="20">
        <f>IFERROR(VLOOKUP(Data[[#This Row],[TDS]],'[7]Static Ext by TDS'!$A$5:$P$120,3,FALSE)+VLOOKUP(Data[[#This Row],[TDS]],'[7]Static Ext by TDS'!$A$5:$P$120,6,FALSE),0)</f>
        <v>0</v>
      </c>
      <c r="AE109" s="20">
        <f>IFERROR(VLOOKUP(Data[[#This Row],[TDS]],'[7]Static Int by TDS'!$A$6:$O$305,3,FALSE)+VLOOKUP(Data[[#This Row],[TDS]],'[7]Static Int by TDS'!$A$6:$O$305,6,FALSE),0)</f>
        <v>0</v>
      </c>
      <c r="AF109" s="20" t="str">
        <f>VLOOKUP(Data[[#This Row],[DEVELOPMENT]],[8]Developments!$A$2:$A$312,1,FALSE)</f>
        <v>FHA REPOSSESSED HOUSES (GROUP VIII)</v>
      </c>
    </row>
    <row r="110" spans="1:32" x14ac:dyDescent="0.25">
      <c r="A110" t="s">
        <v>229</v>
      </c>
      <c r="B110" s="20">
        <f>VLOOKUP(Data[[#This Row],[DEVELOPMENT]],'[2]NYCHA_Development_Data_Book 201'!$B$2:$AY$324,40,FALSE)</f>
        <v>0</v>
      </c>
      <c r="C110" s="20" t="str">
        <f>VLOOKUP(Data[[#This Row],[DEVELOPMENT]],'[3]Cheat-Sheet'!$D$2:$Q$341,2,FALSE)</f>
        <v>BAISLEY PARK</v>
      </c>
      <c r="D110" s="20" t="e">
        <f>IF(VLOOKUP(Data[[#This Row],[DEVELOPMENT]],'[4]IC Categories'!$A$2:$G$325,3,FALSE)=0,"",VLOOKUP(Data[[#This Row],[DEVELOPMENT]],'[4]IC Categories'!$A$2:$G$325,3,FALSE))</f>
        <v>#N/A</v>
      </c>
      <c r="E110" s="20">
        <f>VLOOKUP(Data[[#This Row],[DEVELOPMENT]],'[2]NYCHA_Development_Data_Book 201'!$B$2:$AY$324,21,FALSE)</f>
        <v>20</v>
      </c>
      <c r="F110" s="20">
        <f>VLOOKUP(Data[[#This Row],[DEVELOPMENT]],'[2]NYCHA_Development_Data_Book 201'!$B$2:$AY$324,23,FALSE)</f>
        <v>0</v>
      </c>
      <c r="G110" s="20">
        <f>VLOOKUP(Data[[#This Row],[DEVELOPMENT]],'[2]NYCHA_Development_Data_Book 201'!$B$2:$AY$324,12,FALSE)</f>
        <v>16</v>
      </c>
      <c r="J110">
        <f>IFERROR(VLOOKUP(Data[[#This Row],[DEVELOPMENT]],[5]!Table1[[DEVELOPMENTS]:[Installation Date of Exterior Compactor]],4,FALSE),0)</f>
        <v>0</v>
      </c>
      <c r="K110" s="20">
        <f>IFERROR(VLOOKUP(Data[[#This Row],[DEVELOPMENT]],[5]!Table1[[DEVELOPMENTS]:[Installation Date of Exterior Compactor]],7,FALSE),0)</f>
        <v>0</v>
      </c>
      <c r="L110" s="42" t="str">
        <f>IF(Data[[#This Row],['# Interior Compactors]]=0,"",VLOOKUP(Data[[#This Row],[DEVELOPMENT]],[5]!Table1[[DEVELOPMENTS]:[Installation Date of Exterior Compactor]],5,FALSE))</f>
        <v/>
      </c>
      <c r="M110" s="43" t="str">
        <f>IF(Data[[#This Row],['# Exterior Compactors]]=0,"",VLOOKUP(Data[[#This Row],[DEVELOPMENT]],[5]!Table1[[DEVELOPMENTS]:[Installation Date of Exterior Compactor]],8,FALSE))</f>
        <v/>
      </c>
      <c r="N110" s="20">
        <f>Data[[#This Row],['# Interior Compactors]]</f>
        <v>0</v>
      </c>
      <c r="O110" s="20">
        <f>1</f>
        <v>1</v>
      </c>
      <c r="P110" s="20">
        <f>1</f>
        <v>1</v>
      </c>
      <c r="Q110" s="20">
        <f>1</f>
        <v>1</v>
      </c>
      <c r="R110" s="20">
        <f>1</f>
        <v>1</v>
      </c>
      <c r="S110" s="20">
        <f>1</f>
        <v>1</v>
      </c>
      <c r="T110" s="20">
        <f>Data[[#This Row],[DUs]]</f>
        <v>16</v>
      </c>
      <c r="U11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0" s="101">
        <f>VLOOKUP(Data[[#This Row],[DEVELOPMENT]],'[2]NYCHA_Development_Data_Book 201'!$B$2:$E$324,3,FALSE)</f>
        <v>284</v>
      </c>
      <c r="Y110" s="20"/>
      <c r="Z110" s="20">
        <f>IFERROR(VLOOKUP(Data[[#This Row],[TDS]],'[7]Static Ext by TDS'!$A$5:$E$120,2,FALSE),0)</f>
        <v>0</v>
      </c>
      <c r="AA110" s="20">
        <f>IFERROR(VLOOKUP(Data[[#This Row],[TDS]],'[7]Static Int by TDS'!$A$6:$O$305,2,FALSE),0)</f>
        <v>0</v>
      </c>
      <c r="AB110" s="20"/>
      <c r="AC110" s="20"/>
      <c r="AD110" s="20">
        <f>IFERROR(VLOOKUP(Data[[#This Row],[TDS]],'[7]Static Ext by TDS'!$A$5:$P$120,3,FALSE)+VLOOKUP(Data[[#This Row],[TDS]],'[7]Static Ext by TDS'!$A$5:$P$120,6,FALSE),0)</f>
        <v>0</v>
      </c>
      <c r="AE110" s="20">
        <f>IFERROR(VLOOKUP(Data[[#This Row],[TDS]],'[7]Static Int by TDS'!$A$6:$O$305,3,FALSE)+VLOOKUP(Data[[#This Row],[TDS]],'[7]Static Int by TDS'!$A$6:$O$305,6,FALSE),0)</f>
        <v>0</v>
      </c>
      <c r="AF110" s="20" t="str">
        <f>VLOOKUP(Data[[#This Row],[DEVELOPMENT]],[8]Developments!$A$2:$A$312,1,FALSE)</f>
        <v>FHA REPOSSESSED HOUSES (GROUP X)</v>
      </c>
    </row>
    <row r="111" spans="1:32" x14ac:dyDescent="0.25">
      <c r="A111" t="s">
        <v>230</v>
      </c>
      <c r="B111" s="20" t="str">
        <f>VLOOKUP(Data[[#This Row],[DEVELOPMENT]],'[2]NYCHA_Development_Data_Book 201'!$B$2:$AY$324,40,FALSE)</f>
        <v>BROOKLYN</v>
      </c>
      <c r="C111" s="20" t="str">
        <f>VLOOKUP(Data[[#This Row],[DEVELOPMENT]],'[3]Cheat-Sheet'!$D$2:$Q$341,2,FALSE)</f>
        <v>UNITY PLAZA</v>
      </c>
      <c r="D111" s="20">
        <f>IF(VLOOKUP(Data[[#This Row],[DEVELOPMENT]],'[4]IC Categories'!$A$2:$G$325,3,FALSE)=0,"",VLOOKUP(Data[[#This Row],[DEVELOPMENT]],'[4]IC Categories'!$A$2:$G$325,3,FALSE))</f>
        <v>2026</v>
      </c>
      <c r="E111" s="20">
        <f>VLOOKUP(Data[[#This Row],[DEVELOPMENT]],'[2]NYCHA_Development_Data_Book 201'!$B$2:$AY$324,21,FALSE)</f>
        <v>8</v>
      </c>
      <c r="F111" s="20">
        <f>VLOOKUP(Data[[#This Row],[DEVELOPMENT]],'[2]NYCHA_Development_Data_Book 201'!$B$2:$AY$324,23,FALSE)</f>
        <v>10</v>
      </c>
      <c r="G111" s="20">
        <f>VLOOKUP(Data[[#This Row],[DEVELOPMENT]],'[2]NYCHA_Development_Data_Book 201'!$B$2:$AY$324,12,FALSE)</f>
        <v>158</v>
      </c>
      <c r="J111">
        <f>IFERROR(VLOOKUP(Data[[#This Row],[DEVELOPMENT]],[5]!Table1[[DEVELOPMENTS]:[Installation Date of Exterior Compactor]],4,FALSE),0)</f>
        <v>0</v>
      </c>
      <c r="K111" s="20">
        <f>IFERROR(VLOOKUP(Data[[#This Row],[DEVELOPMENT]],[5]!Table1[[DEVELOPMENTS]:[Installation Date of Exterior Compactor]],7,FALSE),0)</f>
        <v>0</v>
      </c>
      <c r="L111" s="42" t="str">
        <f>IF(Data[[#This Row],['# Interior Compactors]]=0,"",VLOOKUP(Data[[#This Row],[DEVELOPMENT]],[5]!Table1[[DEVELOPMENTS]:[Installation Date of Exterior Compactor]],5,FALSE))</f>
        <v/>
      </c>
      <c r="M111" s="43" t="str">
        <f>IF(Data[[#This Row],['# Exterior Compactors]]=0,"",VLOOKUP(Data[[#This Row],[DEVELOPMENT]],[5]!Table1[[DEVELOPMENTS]:[Installation Date of Exterior Compactor]],8,FALSE))</f>
        <v/>
      </c>
      <c r="N111" s="20">
        <f>Data[[#This Row],['# Interior Compactors]]</f>
        <v>0</v>
      </c>
      <c r="O111" s="20">
        <f>1</f>
        <v>1</v>
      </c>
      <c r="P111" s="20">
        <f>1</f>
        <v>1</v>
      </c>
      <c r="Q111" s="20">
        <f>1</f>
        <v>1</v>
      </c>
      <c r="R111" s="20">
        <f>1</f>
        <v>1</v>
      </c>
      <c r="S111" s="20">
        <f>1</f>
        <v>1</v>
      </c>
      <c r="T111" s="20">
        <f>Data[[#This Row],[DUs]]</f>
        <v>158</v>
      </c>
      <c r="U11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1" s="101">
        <f>VLOOKUP(Data[[#This Row],[DEVELOPMENT]],'[2]NYCHA_Development_Data_Book 201'!$B$2:$E$324,3,FALSE)</f>
        <v>207</v>
      </c>
      <c r="Y111" s="20"/>
      <c r="Z111" s="20">
        <f>IFERROR(VLOOKUP(Data[[#This Row],[TDS]],'[7]Static Ext by TDS'!$A$5:$E$120,2,FALSE),0)</f>
        <v>0</v>
      </c>
      <c r="AA111" s="20">
        <f>IFERROR(VLOOKUP(Data[[#This Row],[TDS]],'[7]Static Int by TDS'!$A$6:$O$305,2,FALSE),0)</f>
        <v>3</v>
      </c>
      <c r="AB111" s="20"/>
      <c r="AC111" s="20"/>
      <c r="AD111" s="20">
        <f>IFERROR(VLOOKUP(Data[[#This Row],[TDS]],'[7]Static Ext by TDS'!$A$5:$P$120,3,FALSE)+VLOOKUP(Data[[#This Row],[TDS]],'[7]Static Ext by TDS'!$A$5:$P$120,6,FALSE),0)</f>
        <v>0</v>
      </c>
      <c r="AE111" s="20">
        <f>IFERROR(VLOOKUP(Data[[#This Row],[TDS]],'[7]Static Int by TDS'!$A$6:$O$305,3,FALSE)+VLOOKUP(Data[[#This Row],[TDS]],'[7]Static Int by TDS'!$A$6:$O$305,6,FALSE),0)</f>
        <v>3</v>
      </c>
      <c r="AF111" s="20" t="str">
        <f>VLOOKUP(Data[[#This Row],[DEVELOPMENT]],[8]Developments!$A$2:$A$312,1,FALSE)</f>
        <v>FIORENTINO PLAZA</v>
      </c>
    </row>
    <row r="112" spans="1:32" x14ac:dyDescent="0.25">
      <c r="A112" s="17" t="s">
        <v>231</v>
      </c>
      <c r="B112" s="17" t="str">
        <f>VLOOKUP(Data[[#This Row],[DEVELOPMENT]],'[2]NYCHA_Development_Data_Book 201'!$B$2:$AY$324,40,FALSE)</f>
        <v>MANHATTAN</v>
      </c>
      <c r="C112" t="str">
        <f>VLOOKUP(Data[[#This Row],[DEVELOPMENT]],'[3]Cheat-Sheet'!$D$2:$Q$341,2,FALSE)</f>
        <v>LOWER EAST SIDE CONSOLIDATED</v>
      </c>
      <c r="D112">
        <f>IF(VLOOKUP(Data[[#This Row],[DEVELOPMENT]],'[4]IC Categories'!$A$2:$G$325,3,FALSE)=0,"",VLOOKUP(Data[[#This Row],[DEVELOPMENT]],'[4]IC Categories'!$A$2:$G$325,3,FALSE))</f>
        <v>2026</v>
      </c>
      <c r="E112">
        <f>VLOOKUP(Data[[#This Row],[DEVELOPMENT]],'[2]NYCHA_Development_Data_Book 201'!$B$2:$AY$324,21,FALSE)</f>
        <v>8</v>
      </c>
      <c r="F112">
        <f>VLOOKUP(Data[[#This Row],[DEVELOPMENT]],'[2]NYCHA_Development_Data_Book 201'!$B$2:$AY$324,23,FALSE)</f>
        <v>8</v>
      </c>
      <c r="G112">
        <f>VLOOKUP(Data[[#This Row],[DEVELOPMENT]],'[2]NYCHA_Development_Data_Book 201'!$B$2:$AY$324,12,FALSE)</f>
        <v>126</v>
      </c>
      <c r="H112" t="s">
        <v>472</v>
      </c>
      <c r="I112" t="s">
        <v>471</v>
      </c>
      <c r="J112">
        <f>IFERROR(VLOOKUP(Data[[#This Row],[DEVELOPMENT]],[5]!Table1[[DEVELOPMENTS]:[Installation Date of Exterior Compactor]],4,FALSE),0)</f>
        <v>0</v>
      </c>
      <c r="K112" s="20">
        <f>IFERROR(VLOOKUP(Data[[#This Row],[DEVELOPMENT]],[5]!Table1[[DEVELOPMENTS]:[Installation Date of Exterior Compactor]],7,FALSE),0)</f>
        <v>0</v>
      </c>
      <c r="L112" s="42" t="str">
        <f>IF(Data[[#This Row],['# Interior Compactors]]=0,"",VLOOKUP(Data[[#This Row],[DEVELOPMENT]],[5]!Table1[[DEVELOPMENTS]:[Installation Date of Exterior Compactor]],5,FALSE))</f>
        <v/>
      </c>
      <c r="M112" s="43" t="str">
        <f>IF(Data[[#This Row],['# Exterior Compactors]]=0,"",VLOOKUP(Data[[#This Row],[DEVELOPMENT]],[5]!Table1[[DEVELOPMENTS]:[Installation Date of Exterior Compactor]],8,FALSE))</f>
        <v/>
      </c>
      <c r="N112">
        <f>Data[[#This Row],['# Interior Compactors]]</f>
        <v>0</v>
      </c>
      <c r="O112" s="20">
        <f>1</f>
        <v>1</v>
      </c>
      <c r="P112" s="20">
        <f>1</f>
        <v>1</v>
      </c>
      <c r="Q112" s="20">
        <f>1</f>
        <v>1</v>
      </c>
      <c r="R112" s="20">
        <f>1</f>
        <v>1</v>
      </c>
      <c r="S112" s="20">
        <f>1</f>
        <v>1</v>
      </c>
      <c r="T112" s="20">
        <f>Data[[#This Row],[DUs]]</f>
        <v>126</v>
      </c>
      <c r="U11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2" s="101">
        <f>VLOOKUP(Data[[#This Row],[DEVELOPMENT]],'[2]NYCHA_Development_Data_Book 201'!$B$2:$E$324,3,FALSE)</f>
        <v>1</v>
      </c>
      <c r="Y112" s="20" t="s">
        <v>473</v>
      </c>
      <c r="Z112" s="20">
        <f>IFERROR(VLOOKUP(Data[[#This Row],[TDS]],'[7]Static Ext by TDS'!$A$5:$E$120,2,FALSE),0)</f>
        <v>0</v>
      </c>
      <c r="AA112" s="20">
        <f>IFERROR(VLOOKUP(Data[[#This Row],[TDS]],'[7]Static Int by TDS'!$A$6:$O$305,2,FALSE),0)</f>
        <v>8</v>
      </c>
      <c r="AB112" s="20"/>
      <c r="AC112" s="20"/>
      <c r="AD112" s="20">
        <f>IFERROR(VLOOKUP(Data[[#This Row],[TDS]],'[7]Static Ext by TDS'!$A$5:$P$120,3,FALSE)+VLOOKUP(Data[[#This Row],[TDS]],'[7]Static Ext by TDS'!$A$5:$P$120,6,FALSE),0)</f>
        <v>0</v>
      </c>
      <c r="AE112" s="20">
        <f>IFERROR(VLOOKUP(Data[[#This Row],[TDS]],'[7]Static Int by TDS'!$A$6:$O$305,3,FALSE)+VLOOKUP(Data[[#This Row],[TDS]],'[7]Static Int by TDS'!$A$6:$O$305,6,FALSE),0)</f>
        <v>8</v>
      </c>
      <c r="AF112" s="20" t="str">
        <f>VLOOKUP(Data[[#This Row],[DEVELOPMENT]],[8]Developments!$A$2:$A$312,1,FALSE)</f>
        <v>FIRST HOUSES</v>
      </c>
    </row>
    <row r="113" spans="1:32" x14ac:dyDescent="0.25">
      <c r="A113" t="s">
        <v>232</v>
      </c>
      <c r="B113" s="20" t="str">
        <f>VLOOKUP(Data[[#This Row],[DEVELOPMENT]],'[2]NYCHA_Development_Data_Book 201'!$B$2:$AY$324,40,FALSE)</f>
        <v>BRONX</v>
      </c>
      <c r="C113" s="20" t="str">
        <f>VLOOKUP(Data[[#This Row],[DEVELOPMENT]],'[3]Cheat-Sheet'!$D$2:$Q$341,2,FALSE)</f>
        <v>FOREST</v>
      </c>
      <c r="D113" s="20" t="str">
        <f>IF(VLOOKUP(Data[[#This Row],[DEVELOPMENT]],'[4]IC Categories'!$A$2:$G$325,3,FALSE)=0,"",VLOOKUP(Data[[#This Row],[DEVELOPMENT]],'[4]IC Categories'!$A$2:$G$325,3,FALSE))</f>
        <v/>
      </c>
      <c r="E113" s="20">
        <f>VLOOKUP(Data[[#This Row],[DEVELOPMENT]],'[2]NYCHA_Development_Data_Book 201'!$B$2:$AY$324,21,FALSE)</f>
        <v>15</v>
      </c>
      <c r="F113" s="20">
        <f>VLOOKUP(Data[[#This Row],[DEVELOPMENT]],'[2]NYCHA_Development_Data_Book 201'!$B$2:$AY$324,23,FALSE)</f>
        <v>15</v>
      </c>
      <c r="G113" s="20">
        <f>VLOOKUP(Data[[#This Row],[DEVELOPMENT]],'[2]NYCHA_Development_Data_Book 201'!$B$2:$AY$324,12,FALSE)</f>
        <v>1348</v>
      </c>
      <c r="H113" t="s">
        <v>476</v>
      </c>
      <c r="J113">
        <f>IFERROR(VLOOKUP(Data[[#This Row],[DEVELOPMENT]],[5]!Table1[[DEVELOPMENTS]:[Installation Date of Exterior Compactor]],4,FALSE),0)</f>
        <v>0</v>
      </c>
      <c r="K113" s="20">
        <f>IFERROR(VLOOKUP(Data[[#This Row],[DEVELOPMENT]],[5]!Table1[[DEVELOPMENTS]:[Installation Date of Exterior Compactor]],7,FALSE),0)</f>
        <v>0</v>
      </c>
      <c r="L113" s="42" t="str">
        <f>IF(Data[[#This Row],['# Interior Compactors]]=0,"",VLOOKUP(Data[[#This Row],[DEVELOPMENT]],[5]!Table1[[DEVELOPMENTS]:[Installation Date of Exterior Compactor]],5,FALSE))</f>
        <v/>
      </c>
      <c r="M113" s="43" t="str">
        <f>IF(Data[[#This Row],['# Exterior Compactors]]=0,"",VLOOKUP(Data[[#This Row],[DEVELOPMENT]],[5]!Table1[[DEVELOPMENTS]:[Installation Date of Exterior Compactor]],8,FALSE))</f>
        <v/>
      </c>
      <c r="N113" s="20">
        <f>Data[[#This Row],['# Interior Compactors]]</f>
        <v>0</v>
      </c>
      <c r="O113" s="20">
        <f>1</f>
        <v>1</v>
      </c>
      <c r="P113" s="20">
        <f>1</f>
        <v>1</v>
      </c>
      <c r="Q113" s="20">
        <f>1</f>
        <v>1</v>
      </c>
      <c r="R113" s="20">
        <f>1</f>
        <v>1</v>
      </c>
      <c r="S113" s="20">
        <f>1</f>
        <v>1</v>
      </c>
      <c r="T113" s="20">
        <f>Data[[#This Row],[DUs]]</f>
        <v>1348</v>
      </c>
      <c r="U11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3" s="101">
        <f>VLOOKUP(Data[[#This Row],[DEVELOPMENT]],'[2]NYCHA_Development_Data_Book 201'!$B$2:$E$324,3,FALSE)</f>
        <v>59</v>
      </c>
      <c r="Y113" s="20"/>
      <c r="Z113" s="20">
        <f>IFERROR(VLOOKUP(Data[[#This Row],[TDS]],'[7]Static Ext by TDS'!$A$5:$E$120,2,FALSE),0)</f>
        <v>3</v>
      </c>
      <c r="AA113" s="20">
        <f>IFERROR(VLOOKUP(Data[[#This Row],[TDS]],'[7]Static Int by TDS'!$A$6:$O$305,2,FALSE),0)</f>
        <v>15</v>
      </c>
      <c r="AB113" s="20"/>
      <c r="AC113" s="20"/>
      <c r="AD113" s="20">
        <f>IFERROR(VLOOKUP(Data[[#This Row],[TDS]],'[7]Static Ext by TDS'!$A$5:$P$120,3,FALSE)+VLOOKUP(Data[[#This Row],[TDS]],'[7]Static Ext by TDS'!$A$5:$P$120,6,FALSE),0)</f>
        <v>3</v>
      </c>
      <c r="AE113" s="20">
        <f>IFERROR(VLOOKUP(Data[[#This Row],[TDS]],'[7]Static Int by TDS'!$A$6:$O$305,3,FALSE)+VLOOKUP(Data[[#This Row],[TDS]],'[7]Static Int by TDS'!$A$6:$O$305,6,FALSE),0)</f>
        <v>15</v>
      </c>
      <c r="AF113" s="20" t="str">
        <f>VLOOKUP(Data[[#This Row],[DEVELOPMENT]],[8]Developments!$A$2:$A$312,1,FALSE)</f>
        <v>FOREST</v>
      </c>
    </row>
    <row r="114" spans="1:32" x14ac:dyDescent="0.25">
      <c r="A114" t="s">
        <v>233</v>
      </c>
      <c r="B114" s="20" t="str">
        <f>VLOOKUP(Data[[#This Row],[DEVELOPMENT]],'[2]NYCHA_Development_Data_Book 201'!$B$2:$AY$324,40,FALSE)</f>
        <v>BRONX</v>
      </c>
      <c r="C114" s="20" t="str">
        <f>VLOOKUP(Data[[#This Row],[DEVELOPMENT]],'[3]Cheat-Sheet'!$D$2:$Q$341,2,FALSE)</f>
        <v>FORT INDEPENDENCE</v>
      </c>
      <c r="D114" s="20" t="str">
        <f>IF(VLOOKUP(Data[[#This Row],[DEVELOPMENT]],'[4]IC Categories'!$A$2:$G$325,3,FALSE)=0,"",VLOOKUP(Data[[#This Row],[DEVELOPMENT]],'[4]IC Categories'!$A$2:$G$325,3,FALSE))</f>
        <v/>
      </c>
      <c r="E114" s="20">
        <f>VLOOKUP(Data[[#This Row],[DEVELOPMENT]],'[2]NYCHA_Development_Data_Book 201'!$B$2:$AY$324,21,FALSE)</f>
        <v>1</v>
      </c>
      <c r="F114" s="20">
        <f>VLOOKUP(Data[[#This Row],[DEVELOPMENT]],'[2]NYCHA_Development_Data_Book 201'!$B$2:$AY$324,23,FALSE)</f>
        <v>2</v>
      </c>
      <c r="G114" s="20">
        <f>VLOOKUP(Data[[#This Row],[DEVELOPMENT]],'[2]NYCHA_Development_Data_Book 201'!$B$2:$AY$324,12,FALSE)</f>
        <v>342</v>
      </c>
      <c r="J114">
        <f>IFERROR(VLOOKUP(Data[[#This Row],[DEVELOPMENT]],[5]!Table1[[DEVELOPMENTS]:[Installation Date of Exterior Compactor]],4,FALSE),0)</f>
        <v>0</v>
      </c>
      <c r="K114" s="20">
        <f>IFERROR(VLOOKUP(Data[[#This Row],[DEVELOPMENT]],[5]!Table1[[DEVELOPMENTS]:[Installation Date of Exterior Compactor]],7,FALSE),0)</f>
        <v>0</v>
      </c>
      <c r="L114" s="42" t="str">
        <f>IF(Data[[#This Row],['# Interior Compactors]]=0,"",VLOOKUP(Data[[#This Row],[DEVELOPMENT]],[5]!Table1[[DEVELOPMENTS]:[Installation Date of Exterior Compactor]],5,FALSE))</f>
        <v/>
      </c>
      <c r="M114" s="43" t="str">
        <f>IF(Data[[#This Row],['# Exterior Compactors]]=0,"",VLOOKUP(Data[[#This Row],[DEVELOPMENT]],[5]!Table1[[DEVELOPMENTS]:[Installation Date of Exterior Compactor]],8,FALSE))</f>
        <v/>
      </c>
      <c r="N114" s="20">
        <f>Data[[#This Row],['# Interior Compactors]]</f>
        <v>0</v>
      </c>
      <c r="O114" s="20">
        <f>1</f>
        <v>1</v>
      </c>
      <c r="P114" s="20">
        <f>1</f>
        <v>1</v>
      </c>
      <c r="Q114" s="20">
        <f>1</f>
        <v>1</v>
      </c>
      <c r="R114" s="20">
        <f>1</f>
        <v>1</v>
      </c>
      <c r="S114" s="20">
        <f>1</f>
        <v>1</v>
      </c>
      <c r="T114" s="20">
        <f>Data[[#This Row],[DUs]]</f>
        <v>342</v>
      </c>
      <c r="U11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4" s="101">
        <f>VLOOKUP(Data[[#This Row],[DEVELOPMENT]],'[2]NYCHA_Development_Data_Book 201'!$B$2:$E$324,3,FALSE)</f>
        <v>197</v>
      </c>
      <c r="Y114" s="20"/>
      <c r="Z114" s="20">
        <f>IFERROR(VLOOKUP(Data[[#This Row],[TDS]],'[7]Static Ext by TDS'!$A$5:$E$120,2,FALSE),0)</f>
        <v>1</v>
      </c>
      <c r="AA114" s="20">
        <f>IFERROR(VLOOKUP(Data[[#This Row],[TDS]],'[7]Static Int by TDS'!$A$6:$O$305,2,FALSE),0)</f>
        <v>2</v>
      </c>
      <c r="AB114" s="20"/>
      <c r="AC114" s="20"/>
      <c r="AD114" s="20">
        <f>IFERROR(VLOOKUP(Data[[#This Row],[TDS]],'[7]Static Ext by TDS'!$A$5:$P$120,3,FALSE)+VLOOKUP(Data[[#This Row],[TDS]],'[7]Static Ext by TDS'!$A$5:$P$120,6,FALSE),0)</f>
        <v>1</v>
      </c>
      <c r="AE114" s="20">
        <f>IFERROR(VLOOKUP(Data[[#This Row],[TDS]],'[7]Static Int by TDS'!$A$6:$O$305,3,FALSE)+VLOOKUP(Data[[#This Row],[TDS]],'[7]Static Int by TDS'!$A$6:$O$305,6,FALSE),0)</f>
        <v>2</v>
      </c>
      <c r="AF114" s="20" t="str">
        <f>VLOOKUP(Data[[#This Row],[DEVELOPMENT]],[8]Developments!$A$2:$A$312,1,FALSE)</f>
        <v>FORT INDEPENDENCE STREET-HEATH AVENUE</v>
      </c>
    </row>
    <row r="115" spans="1:32" x14ac:dyDescent="0.25">
      <c r="A115" t="s">
        <v>79</v>
      </c>
      <c r="B115" t="str">
        <f>VLOOKUP(Data[[#This Row],[DEVELOPMENT]],'[2]NYCHA_Development_Data_Book 201'!$B$2:$AY$324,40,FALSE)</f>
        <v>MANHATTAN</v>
      </c>
      <c r="C115" t="str">
        <f>VLOOKUP(Data[[#This Row],[DEVELOPMENT]],'[3]Cheat-Sheet'!$D$2:$Q$341,2,FALSE)</f>
        <v>FORT WASHINGTON</v>
      </c>
      <c r="D115">
        <f>IF(VLOOKUP(Data[[#This Row],[DEVELOPMENT]],'[4]IC Categories'!$A$2:$G$325,3,FALSE)=0,"",VLOOKUP(Data[[#This Row],[DEVELOPMENT]],'[4]IC Categories'!$A$2:$G$325,3,FALSE))</f>
        <v>2019</v>
      </c>
      <c r="E115">
        <f>VLOOKUP(Data[[#This Row],[DEVELOPMENT]],'[2]NYCHA_Development_Data_Book 201'!$B$2:$AY$324,21,FALSE)</f>
        <v>1</v>
      </c>
      <c r="F115">
        <f>VLOOKUP(Data[[#This Row],[DEVELOPMENT]],'[2]NYCHA_Development_Data_Book 201'!$B$2:$AY$324,23,FALSE)</f>
        <v>2</v>
      </c>
      <c r="G115">
        <f>VLOOKUP(Data[[#This Row],[DEVELOPMENT]],'[2]NYCHA_Development_Data_Book 201'!$B$2:$AY$324,12,FALSE)</f>
        <v>226</v>
      </c>
      <c r="H115" t="s">
        <v>474</v>
      </c>
      <c r="I115" t="s">
        <v>471</v>
      </c>
      <c r="J115">
        <f>IFERROR(VLOOKUP(Data[[#This Row],[DEVELOPMENT]],[5]!Table1[[DEVELOPMENTS]:[Installation Date of Exterior Compactor]],4,FALSE),0)</f>
        <v>0</v>
      </c>
      <c r="K115" s="20">
        <f>IFERROR(VLOOKUP(Data[[#This Row],[DEVELOPMENT]],[5]!Table1[[DEVELOPMENTS]:[Installation Date of Exterior Compactor]],7,FALSE),0)</f>
        <v>0</v>
      </c>
      <c r="L115" s="42" t="str">
        <f>IF(Data[[#This Row],['# Interior Compactors]]=0,"",VLOOKUP(Data[[#This Row],[DEVELOPMENT]],[5]!Table1[[DEVELOPMENTS]:[Installation Date of Exterior Compactor]],5,FALSE))</f>
        <v/>
      </c>
      <c r="M115" s="43" t="str">
        <f>IF(Data[[#This Row],['# Exterior Compactors]]=0,"",VLOOKUP(Data[[#This Row],[DEVELOPMENT]],[5]!Table1[[DEVELOPMENTS]:[Installation Date of Exterior Compactor]],8,FALSE))</f>
        <v/>
      </c>
      <c r="N115">
        <f>Data[[#This Row],['# Interior Compactors]]</f>
        <v>0</v>
      </c>
      <c r="O115" s="20">
        <f>1</f>
        <v>1</v>
      </c>
      <c r="P115" s="20">
        <f>1</f>
        <v>1</v>
      </c>
      <c r="Q115" s="20">
        <f>1</f>
        <v>1</v>
      </c>
      <c r="R115" s="20">
        <f>1</f>
        <v>1</v>
      </c>
      <c r="S115" s="20">
        <f>1</f>
        <v>1</v>
      </c>
      <c r="T115" s="20">
        <f>Data[[#This Row],[DUs]]</f>
        <v>226</v>
      </c>
      <c r="U11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5" s="101">
        <f>VLOOKUP(Data[[#This Row],[DEVELOPMENT]],'[2]NYCHA_Development_Data_Book 201'!$B$2:$E$324,3,FALSE)</f>
        <v>309</v>
      </c>
      <c r="Y115" s="20"/>
      <c r="Z115" s="20">
        <f>IFERROR(VLOOKUP(Data[[#This Row],[TDS]],'[7]Static Ext by TDS'!$A$5:$E$120,2,FALSE),0)</f>
        <v>0</v>
      </c>
      <c r="AA115" s="20">
        <f>IFERROR(VLOOKUP(Data[[#This Row],[TDS]],'[7]Static Int by TDS'!$A$6:$O$305,2,FALSE),0)</f>
        <v>2</v>
      </c>
      <c r="AB115" s="20"/>
      <c r="AC115" s="20"/>
      <c r="AD115" s="20">
        <f>IFERROR(VLOOKUP(Data[[#This Row],[TDS]],'[7]Static Ext by TDS'!$A$5:$P$120,3,FALSE)+VLOOKUP(Data[[#This Row],[TDS]],'[7]Static Ext by TDS'!$A$5:$P$120,6,FALSE),0)</f>
        <v>0</v>
      </c>
      <c r="AE115" s="20">
        <f>IFERROR(VLOOKUP(Data[[#This Row],[TDS]],'[7]Static Int by TDS'!$A$6:$O$305,3,FALSE)+VLOOKUP(Data[[#This Row],[TDS]],'[7]Static Int by TDS'!$A$6:$O$305,6,FALSE),0)</f>
        <v>2</v>
      </c>
      <c r="AF115" s="20" t="str">
        <f>VLOOKUP(Data[[#This Row],[DEVELOPMENT]],[8]Developments!$A$2:$A$312,1,FALSE)</f>
        <v>FORT WASHINGTON AVENUE REHAB</v>
      </c>
    </row>
    <row r="116" spans="1:32" x14ac:dyDescent="0.25">
      <c r="A116" t="s">
        <v>111</v>
      </c>
      <c r="B116" t="str">
        <f>VLOOKUP(Data[[#This Row],[DEVELOPMENT]],'[2]NYCHA_Development_Data_Book 201'!$B$2:$AY$324,40,FALSE)</f>
        <v>MANHATTAN</v>
      </c>
      <c r="C116" t="str">
        <f>VLOOKUP(Data[[#This Row],[DEVELOPMENT]],'[3]Cheat-Sheet'!$D$2:$Q$341,2,FALSE)</f>
        <v>FULTON</v>
      </c>
      <c r="D116" t="str">
        <f>IF(VLOOKUP(Data[[#This Row],[DEVELOPMENT]],'[4]IC Categories'!$A$2:$G$325,3,FALSE)=0,"",VLOOKUP(Data[[#This Row],[DEVELOPMENT]],'[4]IC Categories'!$A$2:$G$325,3,FALSE))</f>
        <v/>
      </c>
      <c r="E116">
        <f>VLOOKUP(Data[[#This Row],[DEVELOPMENT]],'[2]NYCHA_Development_Data_Book 201'!$B$2:$AY$324,21,FALSE)</f>
        <v>11</v>
      </c>
      <c r="F116">
        <f>VLOOKUP(Data[[#This Row],[DEVELOPMENT]],'[2]NYCHA_Development_Data_Book 201'!$B$2:$AY$324,23,FALSE)</f>
        <v>12</v>
      </c>
      <c r="G116">
        <f>VLOOKUP(Data[[#This Row],[DEVELOPMENT]],'[2]NYCHA_Development_Data_Book 201'!$B$2:$AY$324,12,FALSE)</f>
        <v>944</v>
      </c>
      <c r="H116" t="s">
        <v>474</v>
      </c>
      <c r="I116" t="s">
        <v>471</v>
      </c>
      <c r="J116">
        <f>IFERROR(VLOOKUP(Data[[#This Row],[DEVELOPMENT]],[5]!Table1[[DEVELOPMENTS]:[Installation Date of Exterior Compactor]],4,FALSE),0)</f>
        <v>0</v>
      </c>
      <c r="K116" s="20">
        <f>IFERROR(VLOOKUP(Data[[#This Row],[DEVELOPMENT]],[5]!Table1[[DEVELOPMENTS]:[Installation Date of Exterior Compactor]],7,FALSE),0)</f>
        <v>0</v>
      </c>
      <c r="L116" s="42" t="str">
        <f>IF(Data[[#This Row],['# Interior Compactors]]=0,"",VLOOKUP(Data[[#This Row],[DEVELOPMENT]],[5]!Table1[[DEVELOPMENTS]:[Installation Date of Exterior Compactor]],5,FALSE))</f>
        <v/>
      </c>
      <c r="M116" s="43" t="str">
        <f>IF(Data[[#This Row],['# Exterior Compactors]]=0,"",VLOOKUP(Data[[#This Row],[DEVELOPMENT]],[5]!Table1[[DEVELOPMENTS]:[Installation Date of Exterior Compactor]],8,FALSE))</f>
        <v/>
      </c>
      <c r="N116">
        <f>Data[[#This Row],['# Interior Compactors]]</f>
        <v>0</v>
      </c>
      <c r="O116" s="20">
        <f>1</f>
        <v>1</v>
      </c>
      <c r="P116" s="20">
        <f>1</f>
        <v>1</v>
      </c>
      <c r="Q116" s="20">
        <f>1</f>
        <v>1</v>
      </c>
      <c r="R116" s="20">
        <f>1</f>
        <v>1</v>
      </c>
      <c r="S116" s="20">
        <f>1</f>
        <v>1</v>
      </c>
      <c r="T116" s="20">
        <f>Data[[#This Row],[DUs]]</f>
        <v>944</v>
      </c>
      <c r="U11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6" s="101">
        <f>VLOOKUP(Data[[#This Row],[DEVELOPMENT]],'[2]NYCHA_Development_Data_Book 201'!$B$2:$E$324,3,FALSE)</f>
        <v>136</v>
      </c>
      <c r="Y116" s="20"/>
      <c r="Z116" s="20">
        <f>IFERROR(VLOOKUP(Data[[#This Row],[TDS]],'[7]Static Ext by TDS'!$A$5:$E$120,2,FALSE),0)</f>
        <v>2</v>
      </c>
      <c r="AA116" s="20">
        <f>IFERROR(VLOOKUP(Data[[#This Row],[TDS]],'[7]Static Int by TDS'!$A$6:$O$305,2,FALSE),0)</f>
        <v>19</v>
      </c>
      <c r="AB116" s="20"/>
      <c r="AC116" s="20"/>
      <c r="AD116" s="20">
        <f>IFERROR(VLOOKUP(Data[[#This Row],[TDS]],'[7]Static Ext by TDS'!$A$5:$P$120,3,FALSE)+VLOOKUP(Data[[#This Row],[TDS]],'[7]Static Ext by TDS'!$A$5:$P$120,6,FALSE),0)</f>
        <v>2</v>
      </c>
      <c r="AE116" s="20">
        <f>IFERROR(VLOOKUP(Data[[#This Row],[TDS]],'[7]Static Int by TDS'!$A$6:$O$305,3,FALSE)+VLOOKUP(Data[[#This Row],[TDS]],'[7]Static Int by TDS'!$A$6:$O$305,6,FALSE),0)</f>
        <v>19</v>
      </c>
      <c r="AF116" s="20" t="str">
        <f>VLOOKUP(Data[[#This Row],[DEVELOPMENT]],[8]Developments!$A$2:$A$312,1,FALSE)</f>
        <v>FULTON</v>
      </c>
    </row>
    <row r="117" spans="1:32" x14ac:dyDescent="0.25">
      <c r="A117" t="s">
        <v>234</v>
      </c>
      <c r="B117" s="20" t="str">
        <f>VLOOKUP(Data[[#This Row],[DEVELOPMENT]],'[2]NYCHA_Development_Data_Book 201'!$B$2:$AY$324,40,FALSE)</f>
        <v>BROOKLYN</v>
      </c>
      <c r="C117" s="20" t="str">
        <f>VLOOKUP(Data[[#This Row],[DEVELOPMENT]],'[3]Cheat-Sheet'!$D$2:$Q$341,2,FALSE)</f>
        <v>GARVEY</v>
      </c>
      <c r="D117" s="20" t="str">
        <f>IF(VLOOKUP(Data[[#This Row],[DEVELOPMENT]],'[4]IC Categories'!$A$2:$G$325,3,FALSE)=0,"",VLOOKUP(Data[[#This Row],[DEVELOPMENT]],'[4]IC Categories'!$A$2:$G$325,3,FALSE))</f>
        <v/>
      </c>
      <c r="E117" s="20">
        <f>VLOOKUP(Data[[#This Row],[DEVELOPMENT]],'[2]NYCHA_Development_Data_Book 201'!$B$2:$AY$324,21,FALSE)</f>
        <v>3</v>
      </c>
      <c r="F117" s="20">
        <f>VLOOKUP(Data[[#This Row],[DEVELOPMENT]],'[2]NYCHA_Development_Data_Book 201'!$B$2:$AY$324,23,FALSE)</f>
        <v>6</v>
      </c>
      <c r="G117" s="20">
        <f>VLOOKUP(Data[[#This Row],[DEVELOPMENT]],'[2]NYCHA_Development_Data_Book 201'!$B$2:$AY$324,12,FALSE)</f>
        <v>320</v>
      </c>
      <c r="J117">
        <f>IFERROR(VLOOKUP(Data[[#This Row],[DEVELOPMENT]],[5]!Table1[[DEVELOPMENTS]:[Installation Date of Exterior Compactor]],4,FALSE),0)</f>
        <v>0</v>
      </c>
      <c r="K117" s="20">
        <f>IFERROR(VLOOKUP(Data[[#This Row],[DEVELOPMENT]],[5]!Table1[[DEVELOPMENTS]:[Installation Date of Exterior Compactor]],7,FALSE),0)</f>
        <v>0</v>
      </c>
      <c r="L117" s="42" t="str">
        <f>IF(Data[[#This Row],['# Interior Compactors]]=0,"",VLOOKUP(Data[[#This Row],[DEVELOPMENT]],[5]!Table1[[DEVELOPMENTS]:[Installation Date of Exterior Compactor]],5,FALSE))</f>
        <v/>
      </c>
      <c r="M117" s="43" t="str">
        <f>IF(Data[[#This Row],['# Exterior Compactors]]=0,"",VLOOKUP(Data[[#This Row],[DEVELOPMENT]],[5]!Table1[[DEVELOPMENTS]:[Installation Date of Exterior Compactor]],8,FALSE))</f>
        <v/>
      </c>
      <c r="N117" s="20">
        <f>Data[[#This Row],['# Interior Compactors]]</f>
        <v>0</v>
      </c>
      <c r="O117" s="20">
        <f>1</f>
        <v>1</v>
      </c>
      <c r="P117" s="20">
        <f>1</f>
        <v>1</v>
      </c>
      <c r="Q117" s="20">
        <f>1</f>
        <v>1</v>
      </c>
      <c r="R117" s="20">
        <f>1</f>
        <v>1</v>
      </c>
      <c r="S117" s="20">
        <f>1</f>
        <v>1</v>
      </c>
      <c r="T117" s="20">
        <f>Data[[#This Row],[DUs]]</f>
        <v>320</v>
      </c>
      <c r="U11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7" s="101">
        <f>VLOOKUP(Data[[#This Row],[DEVELOPMENT]],'[2]NYCHA_Development_Data_Book 201'!$B$2:$E$324,3,FALSE)</f>
        <v>252</v>
      </c>
      <c r="Y117" s="20"/>
      <c r="Z117" s="20">
        <f>IFERROR(VLOOKUP(Data[[#This Row],[TDS]],'[7]Static Ext by TDS'!$A$5:$E$120,2,FALSE),0)</f>
        <v>0</v>
      </c>
      <c r="AA117" s="20">
        <f>IFERROR(VLOOKUP(Data[[#This Row],[TDS]],'[7]Static Int by TDS'!$A$6:$O$305,2,FALSE),0)</f>
        <v>5</v>
      </c>
      <c r="AB117" s="20"/>
      <c r="AC117" s="20"/>
      <c r="AD117" s="20">
        <f>IFERROR(VLOOKUP(Data[[#This Row],[TDS]],'[7]Static Ext by TDS'!$A$5:$P$120,3,FALSE)+VLOOKUP(Data[[#This Row],[TDS]],'[7]Static Ext by TDS'!$A$5:$P$120,6,FALSE),0)</f>
        <v>0</v>
      </c>
      <c r="AE117" s="20">
        <f>IFERROR(VLOOKUP(Data[[#This Row],[TDS]],'[7]Static Int by TDS'!$A$6:$O$305,3,FALSE)+VLOOKUP(Data[[#This Row],[TDS]],'[7]Static Int by TDS'!$A$6:$O$305,6,FALSE),0)</f>
        <v>5</v>
      </c>
      <c r="AF117" s="20" t="str">
        <f>VLOOKUP(Data[[#This Row],[DEVELOPMENT]],[8]Developments!$A$2:$A$312,1,FALSE)</f>
        <v>GARVEY (GROUP A)</v>
      </c>
    </row>
    <row r="118" spans="1:32" x14ac:dyDescent="0.25">
      <c r="A118" t="s">
        <v>235</v>
      </c>
      <c r="B118" s="20" t="str">
        <f>VLOOKUP(Data[[#This Row],[DEVELOPMENT]],'[2]NYCHA_Development_Data_Book 201'!$B$2:$AY$324,40,FALSE)</f>
        <v>BRONX</v>
      </c>
      <c r="C118" s="20" t="str">
        <f>VLOOKUP(Data[[#This Row],[DEVELOPMENT]],'[3]Cheat-Sheet'!$D$2:$Q$341,2,FALSE)</f>
        <v>SOTOMAYOR HOUSES</v>
      </c>
      <c r="D118" s="20">
        <f>IF(VLOOKUP(Data[[#This Row],[DEVELOPMENT]],'[4]IC Categories'!$A$2:$G$325,3,FALSE)=0,"",VLOOKUP(Data[[#This Row],[DEVELOPMENT]],'[4]IC Categories'!$A$2:$G$325,3,FALSE))</f>
        <v>2021</v>
      </c>
      <c r="E118" s="20">
        <f>VLOOKUP(Data[[#This Row],[DEVELOPMENT]],'[2]NYCHA_Development_Data_Book 201'!$B$2:$AY$324,21,FALSE)</f>
        <v>1</v>
      </c>
      <c r="F118" s="20">
        <f>VLOOKUP(Data[[#This Row],[DEVELOPMENT]],'[2]NYCHA_Development_Data_Book 201'!$B$2:$AY$324,23,FALSE)</f>
        <v>1</v>
      </c>
      <c r="G118" s="20">
        <f>VLOOKUP(Data[[#This Row],[DEVELOPMENT]],'[2]NYCHA_Development_Data_Book 201'!$B$2:$AY$324,12,FALSE)</f>
        <v>131</v>
      </c>
      <c r="J118">
        <f>IFERROR(VLOOKUP(Data[[#This Row],[DEVELOPMENT]],[5]!Table1[[DEVELOPMENTS]:[Installation Date of Exterior Compactor]],4,FALSE),0)</f>
        <v>0</v>
      </c>
      <c r="K118" s="20">
        <f>IFERROR(VLOOKUP(Data[[#This Row],[DEVELOPMENT]],[5]!Table1[[DEVELOPMENTS]:[Installation Date of Exterior Compactor]],7,FALSE),0)</f>
        <v>0</v>
      </c>
      <c r="L118" s="42" t="str">
        <f>IF(Data[[#This Row],['# Interior Compactors]]=0,"",VLOOKUP(Data[[#This Row],[DEVELOPMENT]],[5]!Table1[[DEVELOPMENTS]:[Installation Date of Exterior Compactor]],5,FALSE))</f>
        <v/>
      </c>
      <c r="M118" s="43" t="str">
        <f>IF(Data[[#This Row],['# Exterior Compactors]]=0,"",VLOOKUP(Data[[#This Row],[DEVELOPMENT]],[5]!Table1[[DEVELOPMENTS]:[Installation Date of Exterior Compactor]],8,FALSE))</f>
        <v/>
      </c>
      <c r="N118" s="20">
        <f>Data[[#This Row],['# Interior Compactors]]</f>
        <v>0</v>
      </c>
      <c r="O118" s="20">
        <f>1</f>
        <v>1</v>
      </c>
      <c r="P118" s="20">
        <f>1</f>
        <v>1</v>
      </c>
      <c r="Q118" s="20">
        <f>1</f>
        <v>1</v>
      </c>
      <c r="R118" s="20">
        <f>1</f>
        <v>1</v>
      </c>
      <c r="S118" s="20">
        <f>1</f>
        <v>1</v>
      </c>
      <c r="T118" s="20">
        <f>Data[[#This Row],[DUs]]</f>
        <v>131</v>
      </c>
      <c r="U11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8" s="101">
        <f>VLOOKUP(Data[[#This Row],[DEVELOPMENT]],'[2]NYCHA_Development_Data_Book 201'!$B$2:$E$324,3,FALSE)</f>
        <v>225</v>
      </c>
      <c r="Y118" s="20"/>
      <c r="Z118" s="20">
        <f>IFERROR(VLOOKUP(Data[[#This Row],[TDS]],'[7]Static Ext by TDS'!$A$5:$E$120,2,FALSE),0)</f>
        <v>0</v>
      </c>
      <c r="AA118" s="20">
        <f>IFERROR(VLOOKUP(Data[[#This Row],[TDS]],'[7]Static Int by TDS'!$A$6:$O$305,2,FALSE),0)</f>
        <v>2</v>
      </c>
      <c r="AB118" s="20"/>
      <c r="AC118" s="20"/>
      <c r="AD118" s="20">
        <f>IFERROR(VLOOKUP(Data[[#This Row],[TDS]],'[7]Static Ext by TDS'!$A$5:$P$120,3,FALSE)+VLOOKUP(Data[[#This Row],[TDS]],'[7]Static Ext by TDS'!$A$5:$P$120,6,FALSE),0)</f>
        <v>0</v>
      </c>
      <c r="AE118" s="20">
        <f>IFERROR(VLOOKUP(Data[[#This Row],[TDS]],'[7]Static Int by TDS'!$A$6:$O$305,3,FALSE)+VLOOKUP(Data[[#This Row],[TDS]],'[7]Static Int by TDS'!$A$6:$O$305,6,FALSE),0)</f>
        <v>2</v>
      </c>
      <c r="AF118" s="20" t="str">
        <f>VLOOKUP(Data[[#This Row],[DEVELOPMENT]],[8]Developments!$A$2:$A$312,1,FALSE)</f>
        <v>GLEBE AVENUE-WESTCHESTER AVENUE</v>
      </c>
    </row>
    <row r="119" spans="1:32" x14ac:dyDescent="0.25">
      <c r="A119" t="s">
        <v>236</v>
      </c>
      <c r="B119" s="20" t="str">
        <f>VLOOKUP(Data[[#This Row],[DEVELOPMENT]],'[2]NYCHA_Development_Data_Book 201'!$B$2:$AY$324,40,FALSE)</f>
        <v>BROOKLYN</v>
      </c>
      <c r="C119" s="20" t="str">
        <f>VLOOKUP(Data[[#This Row],[DEVELOPMENT]],'[3]Cheat-Sheet'!$D$2:$Q$341,2,FALSE)</f>
        <v>LOW HOUSES</v>
      </c>
      <c r="D119" s="20" t="str">
        <f>IF(VLOOKUP(Data[[#This Row],[DEVELOPMENT]],'[4]IC Categories'!$A$2:$G$325,3,FALSE)=0,"",VLOOKUP(Data[[#This Row],[DEVELOPMENT]],'[4]IC Categories'!$A$2:$G$325,3,FALSE))</f>
        <v/>
      </c>
      <c r="E119" s="20">
        <f>VLOOKUP(Data[[#This Row],[DEVELOPMENT]],'[2]NYCHA_Development_Data_Book 201'!$B$2:$AY$324,21,FALSE)</f>
        <v>4</v>
      </c>
      <c r="F119" s="20">
        <f>VLOOKUP(Data[[#This Row],[DEVELOPMENT]],'[2]NYCHA_Development_Data_Book 201'!$B$2:$AY$324,23,FALSE)</f>
        <v>4</v>
      </c>
      <c r="G119" s="20">
        <f>VLOOKUP(Data[[#This Row],[DEVELOPMENT]],'[2]NYCHA_Development_Data_Book 201'!$B$2:$AY$324,12,FALSE)</f>
        <v>439</v>
      </c>
      <c r="J119">
        <f>IFERROR(VLOOKUP(Data[[#This Row],[DEVELOPMENT]],[5]!Table1[[DEVELOPMENTS]:[Installation Date of Exterior Compactor]],4,FALSE),0)</f>
        <v>0</v>
      </c>
      <c r="K119" s="20">
        <f>IFERROR(VLOOKUP(Data[[#This Row],[DEVELOPMENT]],[5]!Table1[[DEVELOPMENTS]:[Installation Date of Exterior Compactor]],7,FALSE),0)</f>
        <v>0</v>
      </c>
      <c r="L119" s="42" t="str">
        <f>IF(Data[[#This Row],['# Interior Compactors]]=0,"",VLOOKUP(Data[[#This Row],[DEVELOPMENT]],[5]!Table1[[DEVELOPMENTS]:[Installation Date of Exterior Compactor]],5,FALSE))</f>
        <v/>
      </c>
      <c r="M119" s="43" t="str">
        <f>IF(Data[[#This Row],['# Exterior Compactors]]=0,"",VLOOKUP(Data[[#This Row],[DEVELOPMENT]],[5]!Table1[[DEVELOPMENTS]:[Installation Date of Exterior Compactor]],8,FALSE))</f>
        <v/>
      </c>
      <c r="N119" s="20">
        <f>Data[[#This Row],['# Interior Compactors]]</f>
        <v>0</v>
      </c>
      <c r="O119" s="20">
        <f>1</f>
        <v>1</v>
      </c>
      <c r="P119" s="20">
        <f>1</f>
        <v>1</v>
      </c>
      <c r="Q119" s="20">
        <f>1</f>
        <v>1</v>
      </c>
      <c r="R119" s="20">
        <f>1</f>
        <v>1</v>
      </c>
      <c r="S119" s="20">
        <f>1</f>
        <v>1</v>
      </c>
      <c r="T119" s="20">
        <f>Data[[#This Row],[DUs]]</f>
        <v>439</v>
      </c>
      <c r="U11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1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1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19" s="101">
        <f>VLOOKUP(Data[[#This Row],[DEVELOPMENT]],'[2]NYCHA_Development_Data_Book 201'!$B$2:$E$324,3,FALSE)</f>
        <v>171</v>
      </c>
      <c r="Y119" s="20"/>
      <c r="Z119" s="20">
        <f>IFERROR(VLOOKUP(Data[[#This Row],[TDS]],'[7]Static Ext by TDS'!$A$5:$E$120,2,FALSE),0)</f>
        <v>0</v>
      </c>
      <c r="AA119" s="20">
        <f>IFERROR(VLOOKUP(Data[[#This Row],[TDS]],'[7]Static Int by TDS'!$A$6:$O$305,2,FALSE),0)</f>
        <v>4</v>
      </c>
      <c r="AB119" s="20"/>
      <c r="AC119" s="20"/>
      <c r="AD119" s="20">
        <f>IFERROR(VLOOKUP(Data[[#This Row],[TDS]],'[7]Static Ext by TDS'!$A$5:$P$120,3,FALSE)+VLOOKUP(Data[[#This Row],[TDS]],'[7]Static Ext by TDS'!$A$5:$P$120,6,FALSE),0)</f>
        <v>0</v>
      </c>
      <c r="AE119" s="20">
        <f>IFERROR(VLOOKUP(Data[[#This Row],[TDS]],'[7]Static Int by TDS'!$A$6:$O$305,3,FALSE)+VLOOKUP(Data[[#This Row],[TDS]],'[7]Static Int by TDS'!$A$6:$O$305,6,FALSE),0)</f>
        <v>4</v>
      </c>
      <c r="AF119" s="20" t="str">
        <f>VLOOKUP(Data[[#This Row],[DEVELOPMENT]],[8]Developments!$A$2:$A$312,1,FALSE)</f>
        <v>GLENMORE PLAZA</v>
      </c>
    </row>
    <row r="120" spans="1:32" x14ac:dyDescent="0.25">
      <c r="A120" t="s">
        <v>237</v>
      </c>
      <c r="B120" s="20" t="str">
        <f>VLOOKUP(Data[[#This Row],[DEVELOPMENT]],'[2]NYCHA_Development_Data_Book 201'!$B$2:$AY$324,40,FALSE)</f>
        <v>BROOKLYN</v>
      </c>
      <c r="C120" s="20" t="str">
        <f>VLOOKUP(Data[[#This Row],[DEVELOPMENT]],'[3]Cheat-Sheet'!$D$2:$Q$341,2,FALSE)</f>
        <v>GLENWOOD</v>
      </c>
      <c r="D120" s="20">
        <f>IF(VLOOKUP(Data[[#This Row],[DEVELOPMENT]],'[4]IC Categories'!$A$2:$G$325,3,FALSE)=0,"",VLOOKUP(Data[[#This Row],[DEVELOPMENT]],'[4]IC Categories'!$A$2:$G$325,3,FALSE))</f>
        <v>2028</v>
      </c>
      <c r="E120" s="20">
        <f>VLOOKUP(Data[[#This Row],[DEVELOPMENT]],'[2]NYCHA_Development_Data_Book 201'!$B$2:$AY$324,21,FALSE)</f>
        <v>20</v>
      </c>
      <c r="F120" s="20">
        <f>VLOOKUP(Data[[#This Row],[DEVELOPMENT]],'[2]NYCHA_Development_Data_Book 201'!$B$2:$AY$324,23,FALSE)</f>
        <v>40</v>
      </c>
      <c r="G120" s="20">
        <f>VLOOKUP(Data[[#This Row],[DEVELOPMENT]],'[2]NYCHA_Development_Data_Book 201'!$B$2:$AY$324,12,FALSE)</f>
        <v>1186</v>
      </c>
      <c r="J120">
        <f>IFERROR(VLOOKUP(Data[[#This Row],[DEVELOPMENT]],[5]!Table1[[DEVELOPMENTS]:[Installation Date of Exterior Compactor]],4,FALSE),0)</f>
        <v>0</v>
      </c>
      <c r="K120" s="20">
        <f>IFERROR(VLOOKUP(Data[[#This Row],[DEVELOPMENT]],[5]!Table1[[DEVELOPMENTS]:[Installation Date of Exterior Compactor]],7,FALSE),0)</f>
        <v>0</v>
      </c>
      <c r="L120" s="42" t="str">
        <f>IF(Data[[#This Row],['# Interior Compactors]]=0,"",VLOOKUP(Data[[#This Row],[DEVELOPMENT]],[5]!Table1[[DEVELOPMENTS]:[Installation Date of Exterior Compactor]],5,FALSE))</f>
        <v/>
      </c>
      <c r="M120" s="43" t="str">
        <f>IF(Data[[#This Row],['# Exterior Compactors]]=0,"",VLOOKUP(Data[[#This Row],[DEVELOPMENT]],[5]!Table1[[DEVELOPMENTS]:[Installation Date of Exterior Compactor]],8,FALSE))</f>
        <v/>
      </c>
      <c r="N120" s="20">
        <f>Data[[#This Row],['# Interior Compactors]]</f>
        <v>0</v>
      </c>
      <c r="O120" s="20">
        <f>1</f>
        <v>1</v>
      </c>
      <c r="P120" s="20">
        <f>1</f>
        <v>1</v>
      </c>
      <c r="Q120" s="20">
        <f>1</f>
        <v>1</v>
      </c>
      <c r="R120" s="20">
        <f>1</f>
        <v>1</v>
      </c>
      <c r="S120" s="20">
        <f>1</f>
        <v>1</v>
      </c>
      <c r="T120" s="20">
        <f>Data[[#This Row],[DUs]]</f>
        <v>1186</v>
      </c>
      <c r="U12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0" s="101">
        <f>VLOOKUP(Data[[#This Row],[DEVELOPMENT]],'[2]NYCHA_Development_Data_Book 201'!$B$2:$E$324,3,FALSE)</f>
        <v>44</v>
      </c>
      <c r="Y120" s="20"/>
      <c r="Z120" s="20">
        <f>IFERROR(VLOOKUP(Data[[#This Row],[TDS]],'[7]Static Ext by TDS'!$A$5:$E$120,2,FALSE),0)</f>
        <v>0</v>
      </c>
      <c r="AA120" s="20">
        <f>IFERROR(VLOOKUP(Data[[#This Row],[TDS]],'[7]Static Int by TDS'!$A$6:$O$305,2,FALSE),0)</f>
        <v>40</v>
      </c>
      <c r="AB120" s="20"/>
      <c r="AC120" s="20"/>
      <c r="AD120" s="20">
        <f>IFERROR(VLOOKUP(Data[[#This Row],[TDS]],'[7]Static Ext by TDS'!$A$5:$P$120,3,FALSE)+VLOOKUP(Data[[#This Row],[TDS]],'[7]Static Ext by TDS'!$A$5:$P$120,6,FALSE),0)</f>
        <v>0</v>
      </c>
      <c r="AE120" s="20">
        <f>IFERROR(VLOOKUP(Data[[#This Row],[TDS]],'[7]Static Int by TDS'!$A$6:$O$305,3,FALSE)+VLOOKUP(Data[[#This Row],[TDS]],'[7]Static Int by TDS'!$A$6:$O$305,6,FALSE),0)</f>
        <v>40</v>
      </c>
      <c r="AF120" s="20" t="str">
        <f>VLOOKUP(Data[[#This Row],[DEVELOPMENT]],[8]Developments!$A$2:$A$312,1,FALSE)</f>
        <v>GLENWOOD</v>
      </c>
    </row>
    <row r="121" spans="1:32" x14ac:dyDescent="0.25">
      <c r="A121" s="17" t="s">
        <v>61</v>
      </c>
      <c r="B121" s="17" t="str">
        <f>VLOOKUP(Data[[#This Row],[DEVELOPMENT]],'[2]NYCHA_Development_Data_Book 201'!$B$2:$AY$324,40,FALSE)</f>
        <v>MANHATTAN</v>
      </c>
      <c r="C121" t="str">
        <f>VLOOKUP(Data[[#This Row],[DEVELOPMENT]],'[3]Cheat-Sheet'!$D$2:$Q$341,2,FALSE)</f>
        <v>GOMPERS</v>
      </c>
      <c r="D121" t="str">
        <f>IF(VLOOKUP(Data[[#This Row],[DEVELOPMENT]],'[4]IC Categories'!$A$2:$G$325,3,FALSE)=0,"",VLOOKUP(Data[[#This Row],[DEVELOPMENT]],'[4]IC Categories'!$A$2:$G$325,3,FALSE))</f>
        <v/>
      </c>
      <c r="E121">
        <f>VLOOKUP(Data[[#This Row],[DEVELOPMENT]],'[2]NYCHA_Development_Data_Book 201'!$B$2:$AY$324,21,FALSE)</f>
        <v>2</v>
      </c>
      <c r="F121">
        <f>VLOOKUP(Data[[#This Row],[DEVELOPMENT]],'[2]NYCHA_Development_Data_Book 201'!$B$2:$AY$324,23,FALSE)</f>
        <v>5</v>
      </c>
      <c r="G121">
        <f>VLOOKUP(Data[[#This Row],[DEVELOPMENT]],'[2]NYCHA_Development_Data_Book 201'!$B$2:$AY$324,12,FALSE)</f>
        <v>472</v>
      </c>
      <c r="H121" t="s">
        <v>472</v>
      </c>
      <c r="I121" t="s">
        <v>471</v>
      </c>
      <c r="J121">
        <f>IFERROR(VLOOKUP(Data[[#This Row],[DEVELOPMENT]],[5]!Table1[[DEVELOPMENTS]:[Installation Date of Exterior Compactor]],4,FALSE),0)</f>
        <v>0</v>
      </c>
      <c r="K121" s="20">
        <f>IFERROR(VLOOKUP(Data[[#This Row],[DEVELOPMENT]],[5]!Table1[[DEVELOPMENTS]:[Installation Date of Exterior Compactor]],7,FALSE),0)</f>
        <v>0</v>
      </c>
      <c r="L121" s="42" t="str">
        <f>IF(Data[[#This Row],['# Interior Compactors]]=0,"",VLOOKUP(Data[[#This Row],[DEVELOPMENT]],[5]!Table1[[DEVELOPMENTS]:[Installation Date of Exterior Compactor]],5,FALSE))</f>
        <v/>
      </c>
      <c r="M121" s="43" t="str">
        <f>IF(Data[[#This Row],['# Exterior Compactors]]=0,"",VLOOKUP(Data[[#This Row],[DEVELOPMENT]],[5]!Table1[[DEVELOPMENTS]:[Installation Date of Exterior Compactor]],8,FALSE))</f>
        <v/>
      </c>
      <c r="N121">
        <f>Data[[#This Row],['# Interior Compactors]]</f>
        <v>0</v>
      </c>
      <c r="O121" s="20">
        <f>1</f>
        <v>1</v>
      </c>
      <c r="P121" s="20">
        <f>1</f>
        <v>1</v>
      </c>
      <c r="Q121" s="20">
        <f>1</f>
        <v>1</v>
      </c>
      <c r="R121" s="20">
        <f>1</f>
        <v>1</v>
      </c>
      <c r="S121" s="20">
        <f>1</f>
        <v>1</v>
      </c>
      <c r="T121" s="20">
        <f>Data[[#This Row],[DUs]]</f>
        <v>472</v>
      </c>
      <c r="U12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1" s="101">
        <f>VLOOKUP(Data[[#This Row],[DEVELOPMENT]],'[2]NYCHA_Development_Data_Book 201'!$B$2:$E$324,3,FALSE)</f>
        <v>100</v>
      </c>
      <c r="Y121" s="20" t="s">
        <v>473</v>
      </c>
      <c r="Z121" s="20">
        <f>IFERROR(VLOOKUP(Data[[#This Row],[TDS]],'[7]Static Ext by TDS'!$A$5:$E$120,2,FALSE),0)</f>
        <v>1</v>
      </c>
      <c r="AA121" s="20">
        <f>IFERROR(VLOOKUP(Data[[#This Row],[TDS]],'[7]Static Int by TDS'!$A$6:$O$305,2,FALSE),0)</f>
        <v>4</v>
      </c>
      <c r="AB121" s="20"/>
      <c r="AC121" s="20"/>
      <c r="AD121" s="20">
        <f>IFERROR(VLOOKUP(Data[[#This Row],[TDS]],'[7]Static Ext by TDS'!$A$5:$P$120,3,FALSE)+VLOOKUP(Data[[#This Row],[TDS]],'[7]Static Ext by TDS'!$A$5:$P$120,6,FALSE),0)</f>
        <v>1</v>
      </c>
      <c r="AE121" s="20">
        <f>IFERROR(VLOOKUP(Data[[#This Row],[TDS]],'[7]Static Int by TDS'!$A$6:$O$305,3,FALSE)+VLOOKUP(Data[[#This Row],[TDS]],'[7]Static Int by TDS'!$A$6:$O$305,6,FALSE),0)</f>
        <v>4</v>
      </c>
      <c r="AF121" s="20" t="str">
        <f>VLOOKUP(Data[[#This Row],[DEVELOPMENT]],[8]Developments!$A$2:$A$312,1,FALSE)</f>
        <v>GOMPERS</v>
      </c>
    </row>
    <row r="122" spans="1:32" x14ac:dyDescent="0.25">
      <c r="A122" t="s">
        <v>238</v>
      </c>
      <c r="B122" s="20" t="str">
        <f>VLOOKUP(Data[[#This Row],[DEVELOPMENT]],'[2]NYCHA_Development_Data_Book 201'!$B$2:$AY$324,40,FALSE)</f>
        <v>BROOKLYN</v>
      </c>
      <c r="C122" s="20" t="str">
        <f>VLOOKUP(Data[[#This Row],[DEVELOPMENT]],'[3]Cheat-Sheet'!$D$2:$Q$341,2,FALSE)</f>
        <v>GOWANUS</v>
      </c>
      <c r="D122" s="20" t="str">
        <f>IF(VLOOKUP(Data[[#This Row],[DEVELOPMENT]],'[4]IC Categories'!$A$2:$G$325,3,FALSE)=0,"",VLOOKUP(Data[[#This Row],[DEVELOPMENT]],'[4]IC Categories'!$A$2:$G$325,3,FALSE))</f>
        <v/>
      </c>
      <c r="E122" s="20">
        <f>VLOOKUP(Data[[#This Row],[DEVELOPMENT]],'[2]NYCHA_Development_Data_Book 201'!$B$2:$AY$324,21,FALSE)</f>
        <v>15</v>
      </c>
      <c r="F122" s="20">
        <f>VLOOKUP(Data[[#This Row],[DEVELOPMENT]],'[2]NYCHA_Development_Data_Book 201'!$B$2:$AY$324,23,FALSE)</f>
        <v>25</v>
      </c>
      <c r="G122" s="20">
        <f>VLOOKUP(Data[[#This Row],[DEVELOPMENT]],'[2]NYCHA_Development_Data_Book 201'!$B$2:$AY$324,12,FALSE)</f>
        <v>1137</v>
      </c>
      <c r="J122">
        <f>IFERROR(VLOOKUP(Data[[#This Row],[DEVELOPMENT]],[5]!Table1[[DEVELOPMENTS]:[Installation Date of Exterior Compactor]],4,FALSE),0)</f>
        <v>0</v>
      </c>
      <c r="K122" s="20">
        <f>IFERROR(VLOOKUP(Data[[#This Row],[DEVELOPMENT]],[5]!Table1[[DEVELOPMENTS]:[Installation Date of Exterior Compactor]],7,FALSE),0)</f>
        <v>0</v>
      </c>
      <c r="L122" s="42" t="str">
        <f>IF(Data[[#This Row],['# Interior Compactors]]=0,"",VLOOKUP(Data[[#This Row],[DEVELOPMENT]],[5]!Table1[[DEVELOPMENTS]:[Installation Date of Exterior Compactor]],5,FALSE))</f>
        <v/>
      </c>
      <c r="M122" s="43" t="str">
        <f>IF(Data[[#This Row],['# Exterior Compactors]]=0,"",VLOOKUP(Data[[#This Row],[DEVELOPMENT]],[5]!Table1[[DEVELOPMENTS]:[Installation Date of Exterior Compactor]],8,FALSE))</f>
        <v/>
      </c>
      <c r="N122" s="20">
        <f>Data[[#This Row],['# Interior Compactors]]</f>
        <v>0</v>
      </c>
      <c r="O122" s="20">
        <f>1</f>
        <v>1</v>
      </c>
      <c r="P122" s="20">
        <f>1</f>
        <v>1</v>
      </c>
      <c r="Q122" s="20">
        <f>1</f>
        <v>1</v>
      </c>
      <c r="R122" s="20">
        <f>1</f>
        <v>1</v>
      </c>
      <c r="S122" s="20">
        <f>1</f>
        <v>1</v>
      </c>
      <c r="T122" s="20">
        <f>Data[[#This Row],[DUs]]</f>
        <v>1137</v>
      </c>
      <c r="U12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2" s="101">
        <f>VLOOKUP(Data[[#This Row],[DEVELOPMENT]],'[2]NYCHA_Development_Data_Book 201'!$B$2:$E$324,3,FALSE)</f>
        <v>25</v>
      </c>
      <c r="Y122" s="20"/>
      <c r="Z122" s="20">
        <f>IFERROR(VLOOKUP(Data[[#This Row],[TDS]],'[7]Static Ext by TDS'!$A$5:$E$120,2,FALSE),0)</f>
        <v>3</v>
      </c>
      <c r="AA122" s="20">
        <f>IFERROR(VLOOKUP(Data[[#This Row],[TDS]],'[7]Static Int by TDS'!$A$6:$O$305,2,FALSE),0)</f>
        <v>24</v>
      </c>
      <c r="AB122" s="20"/>
      <c r="AC122" s="20"/>
      <c r="AD122" s="20">
        <f>IFERROR(VLOOKUP(Data[[#This Row],[TDS]],'[7]Static Ext by TDS'!$A$5:$P$120,3,FALSE)+VLOOKUP(Data[[#This Row],[TDS]],'[7]Static Ext by TDS'!$A$5:$P$120,6,FALSE),0)</f>
        <v>3</v>
      </c>
      <c r="AE122" s="20">
        <f>IFERROR(VLOOKUP(Data[[#This Row],[TDS]],'[7]Static Int by TDS'!$A$6:$O$305,3,FALSE)+VLOOKUP(Data[[#This Row],[TDS]],'[7]Static Int by TDS'!$A$6:$O$305,6,FALSE),0)</f>
        <v>24</v>
      </c>
      <c r="AF122" s="20" t="str">
        <f>VLOOKUP(Data[[#This Row],[DEVELOPMENT]],[8]Developments!$A$2:$A$312,1,FALSE)</f>
        <v>GOWANUS</v>
      </c>
    </row>
    <row r="123" spans="1:32" x14ac:dyDescent="0.25">
      <c r="A123" t="s">
        <v>80</v>
      </c>
      <c r="B123" t="str">
        <f>VLOOKUP(Data[[#This Row],[DEVELOPMENT]],'[2]NYCHA_Development_Data_Book 201'!$B$2:$AY$324,40,FALSE)</f>
        <v>MANHATTAN</v>
      </c>
      <c r="C123" t="str">
        <f>VLOOKUP(Data[[#This Row],[DEVELOPMENT]],'[3]Cheat-Sheet'!$D$2:$Q$341,2,FALSE)</f>
        <v>KING TOWERS</v>
      </c>
      <c r="D123">
        <f>IF(VLOOKUP(Data[[#This Row],[DEVELOPMENT]],'[4]IC Categories'!$A$2:$G$325,3,FALSE)=0,"",VLOOKUP(Data[[#This Row],[DEVELOPMENT]],'[4]IC Categories'!$A$2:$G$325,3,FALSE))</f>
        <v>2019</v>
      </c>
      <c r="E123">
        <f>VLOOKUP(Data[[#This Row],[DEVELOPMENT]],'[2]NYCHA_Development_Data_Book 201'!$B$2:$AY$324,21,FALSE)</f>
        <v>1</v>
      </c>
      <c r="F123">
        <f>VLOOKUP(Data[[#This Row],[DEVELOPMENT]],'[2]NYCHA_Development_Data_Book 201'!$B$2:$AY$324,23,FALSE)</f>
        <v>1</v>
      </c>
      <c r="G123">
        <f>VLOOKUP(Data[[#This Row],[DEVELOPMENT]],'[2]NYCHA_Development_Data_Book 201'!$B$2:$AY$324,12,FALSE)</f>
        <v>35</v>
      </c>
      <c r="H123" t="s">
        <v>474</v>
      </c>
      <c r="I123" t="s">
        <v>471</v>
      </c>
      <c r="J123">
        <f>IFERROR(VLOOKUP(Data[[#This Row],[DEVELOPMENT]],[5]!Table1[[DEVELOPMENTS]:[Installation Date of Exterior Compactor]],4,FALSE),0)</f>
        <v>0</v>
      </c>
      <c r="K123" s="20">
        <f>IFERROR(VLOOKUP(Data[[#This Row],[DEVELOPMENT]],[5]!Table1[[DEVELOPMENTS]:[Installation Date of Exterior Compactor]],7,FALSE),0)</f>
        <v>0</v>
      </c>
      <c r="L123" s="42" t="str">
        <f>IF(Data[[#This Row],['# Interior Compactors]]=0,"",VLOOKUP(Data[[#This Row],[DEVELOPMENT]],[5]!Table1[[DEVELOPMENTS]:[Installation Date of Exterior Compactor]],5,FALSE))</f>
        <v/>
      </c>
      <c r="M123" s="43" t="str">
        <f>IF(Data[[#This Row],['# Exterior Compactors]]=0,"",VLOOKUP(Data[[#This Row],[DEVELOPMENT]],[5]!Table1[[DEVELOPMENTS]:[Installation Date of Exterior Compactor]],8,FALSE))</f>
        <v/>
      </c>
      <c r="N123">
        <f>Data[[#This Row],['# Interior Compactors]]</f>
        <v>0</v>
      </c>
      <c r="O123" s="20">
        <f>1</f>
        <v>1</v>
      </c>
      <c r="P123" s="20">
        <f>1</f>
        <v>1</v>
      </c>
      <c r="Q123" s="20">
        <f>1</f>
        <v>1</v>
      </c>
      <c r="R123" s="20">
        <f>1</f>
        <v>1</v>
      </c>
      <c r="S123" s="20">
        <f>1</f>
        <v>1</v>
      </c>
      <c r="T123" s="20">
        <f>Data[[#This Row],[DUs]]</f>
        <v>35</v>
      </c>
      <c r="U12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3" s="101">
        <f>VLOOKUP(Data[[#This Row],[DEVELOPMENT]],'[2]NYCHA_Development_Data_Book 201'!$B$2:$E$324,3,FALSE)</f>
        <v>281</v>
      </c>
      <c r="Y123" s="20"/>
      <c r="Z123" s="20">
        <f>IFERROR(VLOOKUP(Data[[#This Row],[TDS]],'[7]Static Ext by TDS'!$A$5:$E$120,2,FALSE),0)</f>
        <v>0</v>
      </c>
      <c r="AA123" s="20">
        <f>IFERROR(VLOOKUP(Data[[#This Row],[TDS]],'[7]Static Int by TDS'!$A$6:$O$305,2,FALSE),0)</f>
        <v>1</v>
      </c>
      <c r="AB123" s="20"/>
      <c r="AC123" s="20"/>
      <c r="AD123" s="20">
        <f>IFERROR(VLOOKUP(Data[[#This Row],[TDS]],'[7]Static Ext by TDS'!$A$5:$P$120,3,FALSE)+VLOOKUP(Data[[#This Row],[TDS]],'[7]Static Ext by TDS'!$A$5:$P$120,6,FALSE),0)</f>
        <v>0</v>
      </c>
      <c r="AE123" s="20">
        <f>IFERROR(VLOOKUP(Data[[#This Row],[TDS]],'[7]Static Int by TDS'!$A$6:$O$305,3,FALSE)+VLOOKUP(Data[[#This Row],[TDS]],'[7]Static Int by TDS'!$A$6:$O$305,6,FALSE),0)</f>
        <v>1</v>
      </c>
      <c r="AF123" s="20" t="str">
        <f>VLOOKUP(Data[[#This Row],[DEVELOPMENT]],[8]Developments!$A$2:$A$312,1,FALSE)</f>
        <v>GRAMPION</v>
      </c>
    </row>
    <row r="124" spans="1:32" x14ac:dyDescent="0.25">
      <c r="A124" t="s">
        <v>81</v>
      </c>
      <c r="B124" t="str">
        <f>VLOOKUP(Data[[#This Row],[DEVELOPMENT]],'[2]NYCHA_Development_Data_Book 201'!$B$2:$AY$324,40,FALSE)</f>
        <v>MANHATTAN</v>
      </c>
      <c r="C124" t="str">
        <f>VLOOKUP(Data[[#This Row],[DEVELOPMENT]],'[3]Cheat-Sheet'!$D$2:$Q$341,2,FALSE)</f>
        <v>GRANT</v>
      </c>
      <c r="D124" t="str">
        <f>IF(VLOOKUP(Data[[#This Row],[DEVELOPMENT]],'[4]IC Categories'!$A$2:$G$325,3,FALSE)=0,"",VLOOKUP(Data[[#This Row],[DEVELOPMENT]],'[4]IC Categories'!$A$2:$G$325,3,FALSE))</f>
        <v/>
      </c>
      <c r="E124">
        <f>VLOOKUP(Data[[#This Row],[DEVELOPMENT]],'[2]NYCHA_Development_Data_Book 201'!$B$2:$AY$324,21,FALSE)</f>
        <v>9</v>
      </c>
      <c r="F124">
        <f>VLOOKUP(Data[[#This Row],[DEVELOPMENT]],'[2]NYCHA_Development_Data_Book 201'!$B$2:$AY$324,23,FALSE)</f>
        <v>10</v>
      </c>
      <c r="G124">
        <f>VLOOKUP(Data[[#This Row],[DEVELOPMENT]],'[2]NYCHA_Development_Data_Book 201'!$B$2:$AY$324,12,FALSE)</f>
        <v>1939</v>
      </c>
      <c r="H124" t="s">
        <v>470</v>
      </c>
      <c r="I124" t="s">
        <v>477</v>
      </c>
      <c r="J124">
        <f>IFERROR(VLOOKUP(Data[[#This Row],[DEVELOPMENT]],[5]!Table1[[DEVELOPMENTS]:[Installation Date of Exterior Compactor]],4,FALSE),0)</f>
        <v>0</v>
      </c>
      <c r="K124" s="20">
        <f>IFERROR(VLOOKUP(Data[[#This Row],[DEVELOPMENT]],[5]!Table1[[DEVELOPMENTS]:[Installation Date of Exterior Compactor]],7,FALSE),0)</f>
        <v>0</v>
      </c>
      <c r="L124" s="42" t="str">
        <f>IF(Data[[#This Row],['# Interior Compactors]]=0,"",VLOOKUP(Data[[#This Row],[DEVELOPMENT]],[5]!Table1[[DEVELOPMENTS]:[Installation Date of Exterior Compactor]],5,FALSE))</f>
        <v/>
      </c>
      <c r="M124" s="43" t="str">
        <f>IF(Data[[#This Row],['# Exterior Compactors]]=0,"",VLOOKUP(Data[[#This Row],[DEVELOPMENT]],[5]!Table1[[DEVELOPMENTS]:[Installation Date of Exterior Compactor]],8,FALSE))</f>
        <v/>
      </c>
      <c r="N124">
        <f>Data[[#This Row],['# Interior Compactors]]</f>
        <v>0</v>
      </c>
      <c r="O124" s="20">
        <f>1</f>
        <v>1</v>
      </c>
      <c r="P124" s="20">
        <f>1</f>
        <v>1</v>
      </c>
      <c r="Q124" s="20">
        <f>1</f>
        <v>1</v>
      </c>
      <c r="R124" s="20">
        <f>1</f>
        <v>1</v>
      </c>
      <c r="S124" s="20">
        <f>1</f>
        <v>1</v>
      </c>
      <c r="T124" s="20">
        <f>Data[[#This Row],[DUs]]</f>
        <v>1939</v>
      </c>
      <c r="U12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4" s="101">
        <f>VLOOKUP(Data[[#This Row],[DEVELOPMENT]],'[2]NYCHA_Development_Data_Book 201'!$B$2:$E$324,3,FALSE)</f>
        <v>87</v>
      </c>
      <c r="Y124" s="20"/>
      <c r="Z124" s="20">
        <f>IFERROR(VLOOKUP(Data[[#This Row],[TDS]],'[7]Static Ext by TDS'!$A$5:$E$120,2,FALSE),0)</f>
        <v>2</v>
      </c>
      <c r="AA124" s="20">
        <f>IFERROR(VLOOKUP(Data[[#This Row],[TDS]],'[7]Static Int by TDS'!$A$6:$O$305,2,FALSE),0)</f>
        <v>16</v>
      </c>
      <c r="AB124" s="20"/>
      <c r="AC124" s="20"/>
      <c r="AD124" s="20">
        <f>IFERROR(VLOOKUP(Data[[#This Row],[TDS]],'[7]Static Ext by TDS'!$A$5:$P$120,3,FALSE)+VLOOKUP(Data[[#This Row],[TDS]],'[7]Static Ext by TDS'!$A$5:$P$120,6,FALSE),0)</f>
        <v>2</v>
      </c>
      <c r="AE124" s="20">
        <f>IFERROR(VLOOKUP(Data[[#This Row],[TDS]],'[7]Static Int by TDS'!$A$6:$O$305,3,FALSE)+VLOOKUP(Data[[#This Row],[TDS]],'[7]Static Int by TDS'!$A$6:$O$305,6,FALSE),0)</f>
        <v>16</v>
      </c>
      <c r="AF124" s="20" t="str">
        <f>VLOOKUP(Data[[#This Row],[DEVELOPMENT]],[8]Developments!$A$2:$A$312,1,FALSE)</f>
        <v>GRANT</v>
      </c>
    </row>
    <row r="125" spans="1:32" x14ac:dyDescent="0.25">
      <c r="A125" t="s">
        <v>239</v>
      </c>
      <c r="B125" s="20" t="str">
        <f>VLOOKUP(Data[[#This Row],[DEVELOPMENT]],'[2]NYCHA_Development_Data_Book 201'!$B$2:$AY$324,40,FALSE)</f>
        <v>BROOKLYN</v>
      </c>
      <c r="C125" s="20" t="str">
        <f>VLOOKUP(Data[[#This Row],[DEVELOPMENT]],'[3]Cheat-Sheet'!$D$2:$Q$341,2,FALSE)</f>
        <v>O'DWYER GARDENS</v>
      </c>
      <c r="D125" s="20" t="str">
        <f>IF(VLOOKUP(Data[[#This Row],[DEVELOPMENT]],'[4]IC Categories'!$A$2:$G$325,3,FALSE)=0,"",VLOOKUP(Data[[#This Row],[DEVELOPMENT]],'[4]IC Categories'!$A$2:$G$325,3,FALSE))</f>
        <v/>
      </c>
      <c r="E125" s="20">
        <f>VLOOKUP(Data[[#This Row],[DEVELOPMENT]],'[2]NYCHA_Development_Data_Book 201'!$B$2:$AY$324,21,FALSE)</f>
        <v>15</v>
      </c>
      <c r="F125" s="20">
        <f>VLOOKUP(Data[[#This Row],[DEVELOPMENT]],'[2]NYCHA_Development_Data_Book 201'!$B$2:$AY$324,23,FALSE)</f>
        <v>15</v>
      </c>
      <c r="G125" s="20">
        <f>VLOOKUP(Data[[#This Row],[DEVELOPMENT]],'[2]NYCHA_Development_Data_Book 201'!$B$2:$AY$324,12,FALSE)</f>
        <v>627</v>
      </c>
      <c r="J125">
        <f>IFERROR(VLOOKUP(Data[[#This Row],[DEVELOPMENT]],[5]!Table1[[DEVELOPMENTS]:[Installation Date of Exterior Compactor]],4,FALSE),0)</f>
        <v>0</v>
      </c>
      <c r="K125" s="20">
        <f>IFERROR(VLOOKUP(Data[[#This Row],[DEVELOPMENT]],[5]!Table1[[DEVELOPMENTS]:[Installation Date of Exterior Compactor]],7,FALSE),0)</f>
        <v>0</v>
      </c>
      <c r="L125" s="42" t="str">
        <f>IF(Data[[#This Row],['# Interior Compactors]]=0,"",VLOOKUP(Data[[#This Row],[DEVELOPMENT]],[5]!Table1[[DEVELOPMENTS]:[Installation Date of Exterior Compactor]],5,FALSE))</f>
        <v/>
      </c>
      <c r="M125" s="43" t="str">
        <f>IF(Data[[#This Row],['# Exterior Compactors]]=0,"",VLOOKUP(Data[[#This Row],[DEVELOPMENT]],[5]!Table1[[DEVELOPMENTS]:[Installation Date of Exterior Compactor]],8,FALSE))</f>
        <v/>
      </c>
      <c r="N125" s="20">
        <f>Data[[#This Row],['# Interior Compactors]]</f>
        <v>0</v>
      </c>
      <c r="O125" s="20">
        <f>1</f>
        <v>1</v>
      </c>
      <c r="P125" s="20">
        <f>1</f>
        <v>1</v>
      </c>
      <c r="Q125" s="20">
        <f>1</f>
        <v>1</v>
      </c>
      <c r="R125" s="20">
        <f>1</f>
        <v>1</v>
      </c>
      <c r="S125" s="20">
        <f>1</f>
        <v>1</v>
      </c>
      <c r="T125" s="20">
        <f>Data[[#This Row],[DUs]]</f>
        <v>627</v>
      </c>
      <c r="U12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5" s="101">
        <f>VLOOKUP(Data[[#This Row],[DEVELOPMENT]],'[2]NYCHA_Development_Data_Book 201'!$B$2:$E$324,3,FALSE)</f>
        <v>68</v>
      </c>
      <c r="Y125" s="20"/>
      <c r="Z125" s="20">
        <f>IFERROR(VLOOKUP(Data[[#This Row],[TDS]],'[7]Static Ext by TDS'!$A$5:$E$120,2,FALSE),0)</f>
        <v>0</v>
      </c>
      <c r="AA125" s="20">
        <f>IFERROR(VLOOKUP(Data[[#This Row],[TDS]],'[7]Static Int by TDS'!$A$6:$O$305,2,FALSE),0)</f>
        <v>15</v>
      </c>
      <c r="AB125" s="20"/>
      <c r="AC125" s="20"/>
      <c r="AD125" s="20">
        <f>IFERROR(VLOOKUP(Data[[#This Row],[TDS]],'[7]Static Ext by TDS'!$A$5:$P$120,3,FALSE)+VLOOKUP(Data[[#This Row],[TDS]],'[7]Static Ext by TDS'!$A$5:$P$120,6,FALSE),0)</f>
        <v>0</v>
      </c>
      <c r="AE125" s="20">
        <f>IFERROR(VLOOKUP(Data[[#This Row],[TDS]],'[7]Static Int by TDS'!$A$6:$O$305,3,FALSE)+VLOOKUP(Data[[#This Row],[TDS]],'[7]Static Int by TDS'!$A$6:$O$305,6,FALSE),0)</f>
        <v>2</v>
      </c>
      <c r="AF125" s="20" t="str">
        <f>VLOOKUP(Data[[#This Row],[DEVELOPMENT]],[8]Developments!$A$2:$A$312,1,FALSE)</f>
        <v>GRAVESEND</v>
      </c>
    </row>
    <row r="126" spans="1:32" x14ac:dyDescent="0.25">
      <c r="A126" t="s">
        <v>240</v>
      </c>
      <c r="B126" s="20" t="str">
        <f>VLOOKUP(Data[[#This Row],[DEVELOPMENT]],'[2]NYCHA_Development_Data_Book 201'!$B$2:$AY$324,40,FALSE)</f>
        <v>BRONX</v>
      </c>
      <c r="C126" s="20" t="str">
        <f>VLOOKUP(Data[[#This Row],[DEVELOPMENT]],'[3]Cheat-Sheet'!$D$2:$Q$341,2,FALSE)</f>
        <v>PARKSIDE</v>
      </c>
      <c r="D126" s="20" t="str">
        <f>IF(VLOOKUP(Data[[#This Row],[DEVELOPMENT]],'[4]IC Categories'!$A$2:$G$325,3,FALSE)=0,"",VLOOKUP(Data[[#This Row],[DEVELOPMENT]],'[4]IC Categories'!$A$2:$G$325,3,FALSE))</f>
        <v/>
      </c>
      <c r="E126" s="20">
        <f>VLOOKUP(Data[[#This Row],[DEVELOPMENT]],'[2]NYCHA_Development_Data_Book 201'!$B$2:$AY$324,21,FALSE)</f>
        <v>6</v>
      </c>
      <c r="F126" s="20">
        <f>VLOOKUP(Data[[#This Row],[DEVELOPMENT]],'[2]NYCHA_Development_Data_Book 201'!$B$2:$AY$324,23,FALSE)</f>
        <v>6</v>
      </c>
      <c r="G126" s="20">
        <f>VLOOKUP(Data[[#This Row],[DEVELOPMENT]],'[2]NYCHA_Development_Data_Book 201'!$B$2:$AY$324,12,FALSE)</f>
        <v>732</v>
      </c>
      <c r="J126">
        <f>IFERROR(VLOOKUP(Data[[#This Row],[DEVELOPMENT]],[5]!Table1[[DEVELOPMENTS]:[Installation Date of Exterior Compactor]],4,FALSE),0)</f>
        <v>0</v>
      </c>
      <c r="K126" s="20">
        <f>IFERROR(VLOOKUP(Data[[#This Row],[DEVELOPMENT]],[5]!Table1[[DEVELOPMENTS]:[Installation Date of Exterior Compactor]],7,FALSE),0)</f>
        <v>0</v>
      </c>
      <c r="L126" s="42" t="str">
        <f>IF(Data[[#This Row],['# Interior Compactors]]=0,"",VLOOKUP(Data[[#This Row],[DEVELOPMENT]],[5]!Table1[[DEVELOPMENTS]:[Installation Date of Exterior Compactor]],5,FALSE))</f>
        <v/>
      </c>
      <c r="M126" s="43" t="str">
        <f>IF(Data[[#This Row],['# Exterior Compactors]]=0,"",VLOOKUP(Data[[#This Row],[DEVELOPMENT]],[5]!Table1[[DEVELOPMENTS]:[Installation Date of Exterior Compactor]],8,FALSE))</f>
        <v/>
      </c>
      <c r="N126" s="20">
        <f>Data[[#This Row],['# Interior Compactors]]</f>
        <v>0</v>
      </c>
      <c r="O126" s="20">
        <f>1</f>
        <v>1</v>
      </c>
      <c r="P126" s="20">
        <f>1</f>
        <v>1</v>
      </c>
      <c r="Q126" s="20">
        <f>1</f>
        <v>1</v>
      </c>
      <c r="R126" s="20">
        <f>1</f>
        <v>1</v>
      </c>
      <c r="S126" s="20">
        <f>1</f>
        <v>1</v>
      </c>
      <c r="T126" s="20">
        <f>Data[[#This Row],[DUs]]</f>
        <v>732</v>
      </c>
      <c r="U12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6" s="101">
        <f>VLOOKUP(Data[[#This Row],[DEVELOPMENT]],'[2]NYCHA_Development_Data_Book 201'!$B$2:$E$324,3,FALSE)</f>
        <v>40</v>
      </c>
      <c r="Y126" s="20"/>
      <c r="Z126" s="20">
        <f>IFERROR(VLOOKUP(Data[[#This Row],[TDS]],'[7]Static Ext by TDS'!$A$5:$E$120,2,FALSE),0)</f>
        <v>2</v>
      </c>
      <c r="AA126" s="20">
        <f>IFERROR(VLOOKUP(Data[[#This Row],[TDS]],'[7]Static Int by TDS'!$A$6:$O$305,2,FALSE),0)</f>
        <v>6</v>
      </c>
      <c r="AB126" s="20"/>
      <c r="AC126" s="20"/>
      <c r="AD126" s="20">
        <f>IFERROR(VLOOKUP(Data[[#This Row],[TDS]],'[7]Static Ext by TDS'!$A$5:$P$120,3,FALSE)+VLOOKUP(Data[[#This Row],[TDS]],'[7]Static Ext by TDS'!$A$5:$P$120,6,FALSE),0)</f>
        <v>2</v>
      </c>
      <c r="AE126" s="20">
        <f>IFERROR(VLOOKUP(Data[[#This Row],[TDS]],'[7]Static Int by TDS'!$A$6:$O$305,3,FALSE)+VLOOKUP(Data[[#This Row],[TDS]],'[7]Static Int by TDS'!$A$6:$O$305,6,FALSE),0)</f>
        <v>6</v>
      </c>
      <c r="AF126" s="20" t="str">
        <f>VLOOKUP(Data[[#This Row],[DEVELOPMENT]],[8]Developments!$A$2:$A$312,1,FALSE)</f>
        <v>GUN HILL</v>
      </c>
    </row>
    <row r="127" spans="1:32" x14ac:dyDescent="0.25">
      <c r="A127" t="s">
        <v>241</v>
      </c>
      <c r="B127" s="20" t="str">
        <f>VLOOKUP(Data[[#This Row],[DEVELOPMENT]],'[2]NYCHA_Development_Data_Book 201'!$B$2:$AY$324,40,FALSE)</f>
        <v>BROOKLYN</v>
      </c>
      <c r="C127" s="20" t="str">
        <f>VLOOKUP(Data[[#This Row],[DEVELOPMENT]],'[3]Cheat-Sheet'!$D$2:$Q$341,2,FALSE)</f>
        <v>CAREY GARDENS</v>
      </c>
      <c r="D127" s="20" t="str">
        <f>IF(VLOOKUP(Data[[#This Row],[DEVELOPMENT]],'[4]IC Categories'!$A$2:$G$325,3,FALSE)=0,"",VLOOKUP(Data[[#This Row],[DEVELOPMENT]],'[4]IC Categories'!$A$2:$G$325,3,FALSE))</f>
        <v/>
      </c>
      <c r="E127" s="20">
        <f>VLOOKUP(Data[[#This Row],[DEVELOPMENT]],'[2]NYCHA_Development_Data_Book 201'!$B$2:$AY$324,21,FALSE)</f>
        <v>3</v>
      </c>
      <c r="F127" s="20">
        <f>VLOOKUP(Data[[#This Row],[DEVELOPMENT]],'[2]NYCHA_Development_Data_Book 201'!$B$2:$AY$324,23,FALSE)</f>
        <v>3</v>
      </c>
      <c r="G127" s="20">
        <f>VLOOKUP(Data[[#This Row],[DEVELOPMENT]],'[2]NYCHA_Development_Data_Book 201'!$B$2:$AY$324,12,FALSE)</f>
        <v>380</v>
      </c>
      <c r="J127">
        <f>IFERROR(VLOOKUP(Data[[#This Row],[DEVELOPMENT]],[5]!Table1[[DEVELOPMENTS]:[Installation Date of Exterior Compactor]],4,FALSE),0)</f>
        <v>0</v>
      </c>
      <c r="K127" s="20">
        <f>IFERROR(VLOOKUP(Data[[#This Row],[DEVELOPMENT]],[5]!Table1[[DEVELOPMENTS]:[Installation Date of Exterior Compactor]],7,FALSE),0)</f>
        <v>0</v>
      </c>
      <c r="L127" s="42" t="str">
        <f>IF(Data[[#This Row],['# Interior Compactors]]=0,"",VLOOKUP(Data[[#This Row],[DEVELOPMENT]],[5]!Table1[[DEVELOPMENTS]:[Installation Date of Exterior Compactor]],5,FALSE))</f>
        <v/>
      </c>
      <c r="M127" s="43" t="str">
        <f>IF(Data[[#This Row],['# Exterior Compactors]]=0,"",VLOOKUP(Data[[#This Row],[DEVELOPMENT]],[5]!Table1[[DEVELOPMENTS]:[Installation Date of Exterior Compactor]],8,FALSE))</f>
        <v/>
      </c>
      <c r="N127" s="20">
        <f>Data[[#This Row],['# Interior Compactors]]</f>
        <v>0</v>
      </c>
      <c r="O127" s="20">
        <f>1</f>
        <v>1</v>
      </c>
      <c r="P127" s="20">
        <f>1</f>
        <v>1</v>
      </c>
      <c r="Q127" s="20">
        <f>1</f>
        <v>1</v>
      </c>
      <c r="R127" s="20">
        <f>1</f>
        <v>1</v>
      </c>
      <c r="S127" s="20">
        <f>1</f>
        <v>1</v>
      </c>
      <c r="T127" s="20">
        <f>Data[[#This Row],[DUs]]</f>
        <v>380</v>
      </c>
      <c r="U12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7" s="101">
        <f>VLOOKUP(Data[[#This Row],[DEVELOPMENT]],'[2]NYCHA_Development_Data_Book 201'!$B$2:$E$324,3,FALSE)</f>
        <v>142</v>
      </c>
      <c r="Y127" s="20"/>
      <c r="Z127" s="20">
        <f>IFERROR(VLOOKUP(Data[[#This Row],[TDS]],'[7]Static Ext by TDS'!$A$5:$E$120,2,FALSE),0)</f>
        <v>0</v>
      </c>
      <c r="AA127" s="20">
        <f>IFERROR(VLOOKUP(Data[[#This Row],[TDS]],'[7]Static Int by TDS'!$A$6:$O$305,2,FALSE),0)</f>
        <v>3</v>
      </c>
      <c r="AB127" s="20"/>
      <c r="AC127" s="20"/>
      <c r="AD127" s="20">
        <f>IFERROR(VLOOKUP(Data[[#This Row],[TDS]],'[7]Static Ext by TDS'!$A$5:$P$120,3,FALSE)+VLOOKUP(Data[[#This Row],[TDS]],'[7]Static Ext by TDS'!$A$5:$P$120,6,FALSE),0)</f>
        <v>0</v>
      </c>
      <c r="AE127" s="20">
        <f>IFERROR(VLOOKUP(Data[[#This Row],[TDS]],'[7]Static Int by TDS'!$A$6:$O$305,3,FALSE)+VLOOKUP(Data[[#This Row],[TDS]],'[7]Static Int by TDS'!$A$6:$O$305,6,FALSE),0)</f>
        <v>3</v>
      </c>
      <c r="AF127" s="20" t="str">
        <f>VLOOKUP(Data[[#This Row],[DEVELOPMENT]],[8]Developments!$A$2:$A$312,1,FALSE)</f>
        <v>HABER</v>
      </c>
    </row>
    <row r="128" spans="1:32" x14ac:dyDescent="0.25">
      <c r="A128" t="s">
        <v>242</v>
      </c>
      <c r="B128" s="20" t="str">
        <f>VLOOKUP(Data[[#This Row],[DEVELOPMENT]],'[2]NYCHA_Development_Data_Book 201'!$B$2:$AY$324,40,FALSE)</f>
        <v>QUEENS</v>
      </c>
      <c r="C128" s="20" t="str">
        <f>VLOOKUP(Data[[#This Row],[DEVELOPMENT]],'[3]Cheat-Sheet'!$D$2:$Q$341,2,FALSE)</f>
        <v>HAMMEL</v>
      </c>
      <c r="D128" s="20" t="str">
        <f>IF(VLOOKUP(Data[[#This Row],[DEVELOPMENT]],'[4]IC Categories'!$A$2:$G$325,3,FALSE)=0,"",VLOOKUP(Data[[#This Row],[DEVELOPMENT]],'[4]IC Categories'!$A$2:$G$325,3,FALSE))</f>
        <v/>
      </c>
      <c r="E128" s="20">
        <f>VLOOKUP(Data[[#This Row],[DEVELOPMENT]],'[2]NYCHA_Development_Data_Book 201'!$B$2:$AY$324,21,FALSE)</f>
        <v>14</v>
      </c>
      <c r="F128" s="20">
        <f>VLOOKUP(Data[[#This Row],[DEVELOPMENT]],'[2]NYCHA_Development_Data_Book 201'!$B$2:$AY$324,23,FALSE)</f>
        <v>14</v>
      </c>
      <c r="G128" s="20">
        <f>VLOOKUP(Data[[#This Row],[DEVELOPMENT]],'[2]NYCHA_Development_Data_Book 201'!$B$2:$AY$324,12,FALSE)</f>
        <v>710</v>
      </c>
      <c r="J128">
        <f>IFERROR(VLOOKUP(Data[[#This Row],[DEVELOPMENT]],[5]!Table1[[DEVELOPMENTS]:[Installation Date of Exterior Compactor]],4,FALSE),0)</f>
        <v>0</v>
      </c>
      <c r="K128" s="20">
        <f>IFERROR(VLOOKUP(Data[[#This Row],[DEVELOPMENT]],[5]!Table1[[DEVELOPMENTS]:[Installation Date of Exterior Compactor]],7,FALSE),0)</f>
        <v>0</v>
      </c>
      <c r="L128" s="42" t="str">
        <f>IF(Data[[#This Row],['# Interior Compactors]]=0,"",VLOOKUP(Data[[#This Row],[DEVELOPMENT]],[5]!Table1[[DEVELOPMENTS]:[Installation Date of Exterior Compactor]],5,FALSE))</f>
        <v/>
      </c>
      <c r="M128" s="43" t="str">
        <f>IF(Data[[#This Row],['# Exterior Compactors]]=0,"",VLOOKUP(Data[[#This Row],[DEVELOPMENT]],[5]!Table1[[DEVELOPMENTS]:[Installation Date of Exterior Compactor]],8,FALSE))</f>
        <v/>
      </c>
      <c r="N128" s="20">
        <f>Data[[#This Row],['# Interior Compactors]]</f>
        <v>0</v>
      </c>
      <c r="O128" s="20">
        <f>1</f>
        <v>1</v>
      </c>
      <c r="P128" s="20">
        <f>1</f>
        <v>1</v>
      </c>
      <c r="Q128" s="20">
        <f>1</f>
        <v>1</v>
      </c>
      <c r="R128" s="20">
        <f>1</f>
        <v>1</v>
      </c>
      <c r="S128" s="20">
        <f>1</f>
        <v>1</v>
      </c>
      <c r="T128" s="20">
        <f>Data[[#This Row],[DUs]]</f>
        <v>710</v>
      </c>
      <c r="U12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8" s="101">
        <f>VLOOKUP(Data[[#This Row],[DEVELOPMENT]],'[2]NYCHA_Development_Data_Book 201'!$B$2:$E$324,3,FALSE)</f>
        <v>75</v>
      </c>
      <c r="Y128" s="20"/>
      <c r="Z128" s="20">
        <f>IFERROR(VLOOKUP(Data[[#This Row],[TDS]],'[7]Static Ext by TDS'!$A$5:$E$120,2,FALSE),0)</f>
        <v>2</v>
      </c>
      <c r="AA128" s="20">
        <f>IFERROR(VLOOKUP(Data[[#This Row],[TDS]],'[7]Static Int by TDS'!$A$6:$O$305,2,FALSE),0)</f>
        <v>14</v>
      </c>
      <c r="AB128" s="20"/>
      <c r="AC128" s="20"/>
      <c r="AD128" s="20">
        <f>IFERROR(VLOOKUP(Data[[#This Row],[TDS]],'[7]Static Ext by TDS'!$A$5:$P$120,3,FALSE)+VLOOKUP(Data[[#This Row],[TDS]],'[7]Static Ext by TDS'!$A$5:$P$120,6,FALSE),0)</f>
        <v>2</v>
      </c>
      <c r="AE128" s="20">
        <f>IFERROR(VLOOKUP(Data[[#This Row],[TDS]],'[7]Static Int by TDS'!$A$6:$O$305,3,FALSE)+VLOOKUP(Data[[#This Row],[TDS]],'[7]Static Int by TDS'!$A$6:$O$305,6,FALSE),0)</f>
        <v>14</v>
      </c>
      <c r="AF128" s="20" t="str">
        <f>VLOOKUP(Data[[#This Row],[DEVELOPMENT]],[8]Developments!$A$2:$A$312,1,FALSE)</f>
        <v>HAMMEL</v>
      </c>
    </row>
    <row r="129" spans="1:32" x14ac:dyDescent="0.25">
      <c r="A129" t="s">
        <v>243</v>
      </c>
      <c r="B129" s="20" t="str">
        <f>VLOOKUP(Data[[#This Row],[DEVELOPMENT]],'[2]NYCHA_Development_Data_Book 201'!$B$2:$AY$324,40,FALSE)</f>
        <v>MANHATTAN</v>
      </c>
      <c r="C129" s="20" t="str">
        <f>VLOOKUP(Data[[#This Row],[DEVELOPMENT]],'[3]Cheat-Sheet'!$D$2:$Q$341,2,FALSE)</f>
        <v>AMSTERDAM</v>
      </c>
      <c r="D129" s="20" t="str">
        <f>IF(VLOOKUP(Data[[#This Row],[DEVELOPMENT]],'[4]IC Categories'!$A$2:$G$325,3,FALSE)=0,"",VLOOKUP(Data[[#This Row],[DEVELOPMENT]],'[4]IC Categories'!$A$2:$G$325,3,FALSE))</f>
        <v/>
      </c>
      <c r="E129" s="20">
        <f>VLOOKUP(Data[[#This Row],[DEVELOPMENT]],'[2]NYCHA_Development_Data_Book 201'!$B$2:$AY$324,21,FALSE)</f>
        <v>2</v>
      </c>
      <c r="F129" s="20">
        <f>VLOOKUP(Data[[#This Row],[DEVELOPMENT]],'[2]NYCHA_Development_Data_Book 201'!$B$2:$AY$324,23,FALSE)</f>
        <v>2</v>
      </c>
      <c r="G129" s="20">
        <f>VLOOKUP(Data[[#This Row],[DEVELOPMENT]],'[2]NYCHA_Development_Data_Book 201'!$B$2:$AY$324,12,FALSE)</f>
        <v>377</v>
      </c>
      <c r="J129">
        <f>IFERROR(VLOOKUP(Data[[#This Row],[DEVELOPMENT]],[5]!Table1[[DEVELOPMENTS]:[Installation Date of Exterior Compactor]],4,FALSE),0)</f>
        <v>0</v>
      </c>
      <c r="K129" s="20">
        <f>IFERROR(VLOOKUP(Data[[#This Row],[DEVELOPMENT]],[5]!Table1[[DEVELOPMENTS]:[Installation Date of Exterior Compactor]],7,FALSE),0)</f>
        <v>0</v>
      </c>
      <c r="L129" s="42" t="str">
        <f>IF(Data[[#This Row],['# Interior Compactors]]=0,"",VLOOKUP(Data[[#This Row],[DEVELOPMENT]],[5]!Table1[[DEVELOPMENTS]:[Installation Date of Exterior Compactor]],5,FALSE))</f>
        <v/>
      </c>
      <c r="M129" s="43" t="str">
        <f>IF(Data[[#This Row],['# Exterior Compactors]]=0,"",VLOOKUP(Data[[#This Row],[DEVELOPMENT]],[5]!Table1[[DEVELOPMENTS]:[Installation Date of Exterior Compactor]],8,FALSE))</f>
        <v/>
      </c>
      <c r="N129" s="20">
        <f>Data[[#This Row],['# Interior Compactors]]</f>
        <v>0</v>
      </c>
      <c r="O129" s="20">
        <f>1</f>
        <v>1</v>
      </c>
      <c r="P129" s="20">
        <f>1</f>
        <v>1</v>
      </c>
      <c r="Q129" s="20">
        <f>1</f>
        <v>1</v>
      </c>
      <c r="R129" s="20">
        <f>1</f>
        <v>1</v>
      </c>
      <c r="S129" s="20">
        <f>1</f>
        <v>1</v>
      </c>
      <c r="T129" s="20">
        <f>Data[[#This Row],[DUs]]</f>
        <v>377</v>
      </c>
      <c r="U12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2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2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29" s="101">
        <f>VLOOKUP(Data[[#This Row],[DEVELOPMENT]],'[2]NYCHA_Development_Data_Book 201'!$B$2:$E$324,3,FALSE)</f>
        <v>262</v>
      </c>
      <c r="Y129" s="20"/>
      <c r="Z129" s="20">
        <f>IFERROR(VLOOKUP(Data[[#This Row],[TDS]],'[7]Static Ext by TDS'!$A$5:$E$120,2,FALSE),0)</f>
        <v>1</v>
      </c>
      <c r="AA129" s="20">
        <f>IFERROR(VLOOKUP(Data[[#This Row],[TDS]],'[7]Static Int by TDS'!$A$6:$O$305,2,FALSE),0)</f>
        <v>2</v>
      </c>
      <c r="AB129" s="20"/>
      <c r="AC129" s="20"/>
      <c r="AD129" s="20">
        <f>IFERROR(VLOOKUP(Data[[#This Row],[TDS]],'[7]Static Ext by TDS'!$A$5:$P$120,3,FALSE)+VLOOKUP(Data[[#This Row],[TDS]],'[7]Static Ext by TDS'!$A$5:$P$120,6,FALSE),0)</f>
        <v>1</v>
      </c>
      <c r="AE129" s="20">
        <f>IFERROR(VLOOKUP(Data[[#This Row],[TDS]],'[7]Static Int by TDS'!$A$6:$O$305,3,FALSE)+VLOOKUP(Data[[#This Row],[TDS]],'[7]Static Int by TDS'!$A$6:$O$305,6,FALSE),0)</f>
        <v>2</v>
      </c>
      <c r="AF129" s="20" t="str">
        <f>VLOOKUP(Data[[#This Row],[DEVELOPMENT]],[8]Developments!$A$2:$A$312,1,FALSE)</f>
        <v>HARBORVIEW TERRACE</v>
      </c>
    </row>
    <row r="130" spans="1:32" x14ac:dyDescent="0.25">
      <c r="A130" t="s">
        <v>117</v>
      </c>
      <c r="B130" t="str">
        <f>VLOOKUP(Data[[#This Row],[DEVELOPMENT]],'[2]NYCHA_Development_Data_Book 201'!$B$2:$AY$324,40,FALSE)</f>
        <v>MANHATTAN</v>
      </c>
      <c r="C130" t="str">
        <f>VLOOKUP(Data[[#This Row],[DEVELOPMENT]],'[3]Cheat-Sheet'!$D$2:$Q$341,2,FALSE)</f>
        <v>HARLEM RIVER</v>
      </c>
      <c r="D130">
        <f>IF(VLOOKUP(Data[[#This Row],[DEVELOPMENT]],'[4]IC Categories'!$A$2:$G$325,3,FALSE)=0,"",VLOOKUP(Data[[#This Row],[DEVELOPMENT]],'[4]IC Categories'!$A$2:$G$325,3,FALSE))</f>
        <v>2020</v>
      </c>
      <c r="E130">
        <f>VLOOKUP(Data[[#This Row],[DEVELOPMENT]],'[2]NYCHA_Development_Data_Book 201'!$B$2:$AY$324,21,FALSE)</f>
        <v>7</v>
      </c>
      <c r="F130">
        <f>VLOOKUP(Data[[#This Row],[DEVELOPMENT]],'[2]NYCHA_Development_Data_Book 201'!$B$2:$AY$324,23,FALSE)</f>
        <v>47</v>
      </c>
      <c r="G130">
        <f>VLOOKUP(Data[[#This Row],[DEVELOPMENT]],'[2]NYCHA_Development_Data_Book 201'!$B$2:$AY$324,12,FALSE)</f>
        <v>574</v>
      </c>
      <c r="H130" t="s">
        <v>474</v>
      </c>
      <c r="I130" t="s">
        <v>471</v>
      </c>
      <c r="J130">
        <f>IFERROR(VLOOKUP(Data[[#This Row],[DEVELOPMENT]],[5]!Table1[[DEVELOPMENTS]:[Installation Date of Exterior Compactor]],4,FALSE),0)</f>
        <v>0</v>
      </c>
      <c r="K130" s="20">
        <f>IFERROR(VLOOKUP(Data[[#This Row],[DEVELOPMENT]],[5]!Table1[[DEVELOPMENTS]:[Installation Date of Exterior Compactor]],7,FALSE),0)</f>
        <v>0</v>
      </c>
      <c r="L130" s="42" t="str">
        <f>IF(Data[[#This Row],['# Interior Compactors]]=0,"",VLOOKUP(Data[[#This Row],[DEVELOPMENT]],[5]!Table1[[DEVELOPMENTS]:[Installation Date of Exterior Compactor]],5,FALSE))</f>
        <v/>
      </c>
      <c r="M130" s="43" t="str">
        <f>IF(Data[[#This Row],['# Exterior Compactors]]=0,"",VLOOKUP(Data[[#This Row],[DEVELOPMENT]],[5]!Table1[[DEVELOPMENTS]:[Installation Date of Exterior Compactor]],8,FALSE))</f>
        <v/>
      </c>
      <c r="N130">
        <f>Data[[#This Row],['# Interior Compactors]]</f>
        <v>0</v>
      </c>
      <c r="O130" s="20">
        <f>1</f>
        <v>1</v>
      </c>
      <c r="P130" s="20">
        <f>1</f>
        <v>1</v>
      </c>
      <c r="Q130" s="20">
        <f>1</f>
        <v>1</v>
      </c>
      <c r="R130" s="20">
        <f>1</f>
        <v>1</v>
      </c>
      <c r="S130" s="20">
        <f>1</f>
        <v>1</v>
      </c>
      <c r="T130" s="20">
        <f>Data[[#This Row],[DUs]]</f>
        <v>574</v>
      </c>
      <c r="U13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0" s="101">
        <f>VLOOKUP(Data[[#This Row],[DEVELOPMENT]],'[2]NYCHA_Development_Data_Book 201'!$B$2:$E$324,3,FALSE)</f>
        <v>3</v>
      </c>
      <c r="Y130" s="20"/>
      <c r="Z130" s="20">
        <f>IFERROR(VLOOKUP(Data[[#This Row],[TDS]],'[7]Static Ext by TDS'!$A$5:$E$120,2,FALSE),0)</f>
        <v>0</v>
      </c>
      <c r="AA130" s="20">
        <f>IFERROR(VLOOKUP(Data[[#This Row],[TDS]],'[7]Static Int by TDS'!$A$6:$O$305,2,FALSE),0)</f>
        <v>43</v>
      </c>
      <c r="AB130" s="20"/>
      <c r="AC130" s="20"/>
      <c r="AD130" s="20">
        <f>IFERROR(VLOOKUP(Data[[#This Row],[TDS]],'[7]Static Ext by TDS'!$A$5:$P$120,3,FALSE)+VLOOKUP(Data[[#This Row],[TDS]],'[7]Static Ext by TDS'!$A$5:$P$120,6,FALSE),0)</f>
        <v>0</v>
      </c>
      <c r="AE130" s="20">
        <f>IFERROR(VLOOKUP(Data[[#This Row],[TDS]],'[7]Static Int by TDS'!$A$6:$O$305,3,FALSE)+VLOOKUP(Data[[#This Row],[TDS]],'[7]Static Int by TDS'!$A$6:$O$305,6,FALSE),0)</f>
        <v>43</v>
      </c>
      <c r="AF130" s="20" t="str">
        <f>VLOOKUP(Data[[#This Row],[DEVELOPMENT]],[8]Developments!$A$2:$A$312,1,FALSE)</f>
        <v>HARLEM RIVER</v>
      </c>
    </row>
    <row r="131" spans="1:32" x14ac:dyDescent="0.25">
      <c r="A131" t="s">
        <v>82</v>
      </c>
      <c r="B131" t="str">
        <f>VLOOKUP(Data[[#This Row],[DEVELOPMENT]],'[2]NYCHA_Development_Data_Book 201'!$B$2:$AY$324,40,FALSE)</f>
        <v>MANHATTAN</v>
      </c>
      <c r="C131" t="str">
        <f>VLOOKUP(Data[[#This Row],[DEVELOPMENT]],'[3]Cheat-Sheet'!$D$2:$Q$341,2,FALSE)</f>
        <v>HARLEM RIVER</v>
      </c>
      <c r="D131">
        <f>IF(VLOOKUP(Data[[#This Row],[DEVELOPMENT]],'[4]IC Categories'!$A$2:$G$325,3,FALSE)=0,"",VLOOKUP(Data[[#This Row],[DEVELOPMENT]],'[4]IC Categories'!$A$2:$G$325,3,FALSE))</f>
        <v>2020</v>
      </c>
      <c r="E131">
        <f>VLOOKUP(Data[[#This Row],[DEVELOPMENT]],'[2]NYCHA_Development_Data_Book 201'!$B$2:$AY$324,21,FALSE)</f>
        <v>1</v>
      </c>
      <c r="F131">
        <f>VLOOKUP(Data[[#This Row],[DEVELOPMENT]],'[2]NYCHA_Development_Data_Book 201'!$B$2:$AY$324,23,FALSE)</f>
        <v>1</v>
      </c>
      <c r="G131">
        <f>VLOOKUP(Data[[#This Row],[DEVELOPMENT]],'[2]NYCHA_Development_Data_Book 201'!$B$2:$AY$324,12,FALSE)</f>
        <v>116</v>
      </c>
      <c r="H131" t="s">
        <v>474</v>
      </c>
      <c r="I131" t="s">
        <v>475</v>
      </c>
      <c r="J131">
        <f>IFERROR(VLOOKUP(Data[[#This Row],[DEVELOPMENT]],[5]!Table1[[DEVELOPMENTS]:[Installation Date of Exterior Compactor]],4,FALSE),0)</f>
        <v>0</v>
      </c>
      <c r="K131" s="20">
        <f>IFERROR(VLOOKUP(Data[[#This Row],[DEVELOPMENT]],[5]!Table1[[DEVELOPMENTS]:[Installation Date of Exterior Compactor]],7,FALSE),0)</f>
        <v>0</v>
      </c>
      <c r="L131" s="42" t="str">
        <f>IF(Data[[#This Row],['# Interior Compactors]]=0,"",VLOOKUP(Data[[#This Row],[DEVELOPMENT]],[5]!Table1[[DEVELOPMENTS]:[Installation Date of Exterior Compactor]],5,FALSE))</f>
        <v/>
      </c>
      <c r="M131" s="43" t="str">
        <f>IF(Data[[#This Row],['# Exterior Compactors]]=0,"",VLOOKUP(Data[[#This Row],[DEVELOPMENT]],[5]!Table1[[DEVELOPMENTS]:[Installation Date of Exterior Compactor]],8,FALSE))</f>
        <v/>
      </c>
      <c r="N131">
        <f>Data[[#This Row],['# Interior Compactors]]</f>
        <v>0</v>
      </c>
      <c r="O131" s="20">
        <f>1</f>
        <v>1</v>
      </c>
      <c r="P131" s="20">
        <f>1</f>
        <v>1</v>
      </c>
      <c r="Q131" s="20">
        <f>1</f>
        <v>1</v>
      </c>
      <c r="R131" s="20">
        <f>1</f>
        <v>1</v>
      </c>
      <c r="S131" s="20">
        <f>1</f>
        <v>1</v>
      </c>
      <c r="T131" s="20">
        <f>Data[[#This Row],[DUs]]</f>
        <v>116</v>
      </c>
      <c r="U13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1" s="101">
        <f>VLOOKUP(Data[[#This Row],[DEVELOPMENT]],'[2]NYCHA_Development_Data_Book 201'!$B$2:$E$324,3,FALSE)</f>
        <v>147</v>
      </c>
      <c r="Y131" s="20"/>
      <c r="Z131" s="20">
        <f>IFERROR(VLOOKUP(Data[[#This Row],[TDS]],'[7]Static Ext by TDS'!$A$5:$E$120,2,FALSE),0)</f>
        <v>0</v>
      </c>
      <c r="AA131" s="20">
        <f>IFERROR(VLOOKUP(Data[[#This Row],[TDS]],'[7]Static Int by TDS'!$A$6:$O$305,2,FALSE),0)</f>
        <v>1</v>
      </c>
      <c r="AB131" s="20"/>
      <c r="AC131" s="20"/>
      <c r="AD131" s="20">
        <f>IFERROR(VLOOKUP(Data[[#This Row],[TDS]],'[7]Static Ext by TDS'!$A$5:$P$120,3,FALSE)+VLOOKUP(Data[[#This Row],[TDS]],'[7]Static Ext by TDS'!$A$5:$P$120,6,FALSE),0)</f>
        <v>0</v>
      </c>
      <c r="AE131" s="20">
        <f>IFERROR(VLOOKUP(Data[[#This Row],[TDS]],'[7]Static Int by TDS'!$A$6:$O$305,3,FALSE)+VLOOKUP(Data[[#This Row],[TDS]],'[7]Static Int by TDS'!$A$6:$O$305,6,FALSE),0)</f>
        <v>1</v>
      </c>
      <c r="AF131" s="20" t="str">
        <f>VLOOKUP(Data[[#This Row],[DEVELOPMENT]],[8]Developments!$A$2:$A$312,1,FALSE)</f>
        <v>HARLEM RIVER II</v>
      </c>
    </row>
    <row r="132" spans="1:32" x14ac:dyDescent="0.25">
      <c r="A132" t="s">
        <v>244</v>
      </c>
      <c r="B132" s="20" t="str">
        <f>VLOOKUP(Data[[#This Row],[DEVELOPMENT]],'[2]NYCHA_Development_Data_Book 201'!$B$2:$AY$324,40,FALSE)</f>
        <v>BRONX</v>
      </c>
      <c r="C132" s="20" t="str">
        <f>VLOOKUP(Data[[#This Row],[DEVELOPMENT]],'[3]Cheat-Sheet'!$D$2:$Q$341,2,FALSE)</f>
        <v>KRAUS MANAGEMENT (PRIVATE - BX 3)</v>
      </c>
      <c r="D132" s="20" t="str">
        <f>IF(VLOOKUP(Data[[#This Row],[DEVELOPMENT]],'[4]IC Categories'!$A$2:$G$325,3,FALSE)=0,"",VLOOKUP(Data[[#This Row],[DEVELOPMENT]],'[4]IC Categories'!$A$2:$G$325,3,FALSE))</f>
        <v/>
      </c>
      <c r="E132" s="20">
        <f>VLOOKUP(Data[[#This Row],[DEVELOPMENT]],'[2]NYCHA_Development_Data_Book 201'!$B$2:$AY$324,21,FALSE)</f>
        <v>1</v>
      </c>
      <c r="F132" s="20">
        <f>VLOOKUP(Data[[#This Row],[DEVELOPMENT]],'[2]NYCHA_Development_Data_Book 201'!$B$2:$AY$324,23,FALSE)</f>
        <v>1</v>
      </c>
      <c r="G132" s="20">
        <f>VLOOKUP(Data[[#This Row],[DEVELOPMENT]],'[2]NYCHA_Development_Data_Book 201'!$B$2:$AY$324,12,FALSE)</f>
        <v>34</v>
      </c>
      <c r="J132">
        <f>IFERROR(VLOOKUP(Data[[#This Row],[DEVELOPMENT]],[5]!Table1[[DEVELOPMENTS]:[Installation Date of Exterior Compactor]],4,FALSE),0)</f>
        <v>0</v>
      </c>
      <c r="K132" s="20">
        <f>IFERROR(VLOOKUP(Data[[#This Row],[DEVELOPMENT]],[5]!Table1[[DEVELOPMENTS]:[Installation Date of Exterior Compactor]],7,FALSE),0)</f>
        <v>0</v>
      </c>
      <c r="L132" s="42" t="str">
        <f>IF(Data[[#This Row],['# Interior Compactors]]=0,"",VLOOKUP(Data[[#This Row],[DEVELOPMENT]],[5]!Table1[[DEVELOPMENTS]:[Installation Date of Exterior Compactor]],5,FALSE))</f>
        <v/>
      </c>
      <c r="M132" s="43" t="str">
        <f>IF(Data[[#This Row],['# Exterior Compactors]]=0,"",VLOOKUP(Data[[#This Row],[DEVELOPMENT]],[5]!Table1[[DEVELOPMENTS]:[Installation Date of Exterior Compactor]],8,FALSE))</f>
        <v/>
      </c>
      <c r="N132" s="20">
        <f>Data[[#This Row],['# Interior Compactors]]</f>
        <v>0</v>
      </c>
      <c r="O132" s="20">
        <f>1</f>
        <v>1</v>
      </c>
      <c r="P132" s="20">
        <f>1</f>
        <v>1</v>
      </c>
      <c r="Q132" s="20">
        <f>1</f>
        <v>1</v>
      </c>
      <c r="R132" s="20">
        <f>1</f>
        <v>1</v>
      </c>
      <c r="S132" s="20">
        <f>1</f>
        <v>1</v>
      </c>
      <c r="T132" s="20">
        <f>Data[[#This Row],[DUs]]</f>
        <v>34</v>
      </c>
      <c r="U13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2" s="101">
        <f>VLOOKUP(Data[[#This Row],[DEVELOPMENT]],'[2]NYCHA_Development_Data_Book 201'!$B$2:$E$324,3,FALSE)</f>
        <v>347</v>
      </c>
      <c r="Y132" s="20"/>
      <c r="Z132" s="20">
        <f>IFERROR(VLOOKUP(Data[[#This Row],[TDS]],'[7]Static Ext by TDS'!$A$5:$E$120,2,FALSE),0)</f>
        <v>0</v>
      </c>
      <c r="AA132" s="20">
        <f>IFERROR(VLOOKUP(Data[[#This Row],[TDS]],'[7]Static Int by TDS'!$A$6:$O$305,2,FALSE),0)</f>
        <v>1</v>
      </c>
      <c r="AB132" s="20"/>
      <c r="AC132" s="20"/>
      <c r="AD132" s="20">
        <f>IFERROR(VLOOKUP(Data[[#This Row],[TDS]],'[7]Static Ext by TDS'!$A$5:$P$120,3,FALSE)+VLOOKUP(Data[[#This Row],[TDS]],'[7]Static Ext by TDS'!$A$5:$P$120,6,FALSE),0)</f>
        <v>0</v>
      </c>
      <c r="AE132" s="20">
        <f>IFERROR(VLOOKUP(Data[[#This Row],[TDS]],'[7]Static Int by TDS'!$A$6:$O$305,3,FALSE)+VLOOKUP(Data[[#This Row],[TDS]],'[7]Static Int by TDS'!$A$6:$O$305,6,FALSE),0)</f>
        <v>1</v>
      </c>
      <c r="AF132" s="20" t="str">
        <f>VLOOKUP(Data[[#This Row],[DEVELOPMENT]],[8]Developments!$A$2:$A$312,1,FALSE)</f>
        <v>HARRISON AVENUE REHAB (GROUP A)</v>
      </c>
    </row>
    <row r="133" spans="1:32" x14ac:dyDescent="0.25">
      <c r="A133" t="s">
        <v>245</v>
      </c>
      <c r="B133" s="20" t="str">
        <f>VLOOKUP(Data[[#This Row],[DEVELOPMENT]],'[2]NYCHA_Development_Data_Book 201'!$B$2:$AY$324,40,FALSE)</f>
        <v>BRONX</v>
      </c>
      <c r="C133" s="20" t="str">
        <f>VLOOKUP(Data[[#This Row],[DEVELOPMENT]],'[3]Cheat-Sheet'!$D$2:$Q$341,2,FALSE)</f>
        <v>KRAUS MANAGEMENT (PRIVATE - BX 3)</v>
      </c>
      <c r="D133" s="20" t="str">
        <f>IF(VLOOKUP(Data[[#This Row],[DEVELOPMENT]],'[4]IC Categories'!$A$2:$G$325,3,FALSE)=0,"",VLOOKUP(Data[[#This Row],[DEVELOPMENT]],'[4]IC Categories'!$A$2:$G$325,3,FALSE))</f>
        <v/>
      </c>
      <c r="E133" s="20">
        <f>VLOOKUP(Data[[#This Row],[DEVELOPMENT]],'[2]NYCHA_Development_Data_Book 201'!$B$2:$AY$324,21,FALSE)</f>
        <v>4</v>
      </c>
      <c r="F133" s="20">
        <f>VLOOKUP(Data[[#This Row],[DEVELOPMENT]],'[2]NYCHA_Development_Data_Book 201'!$B$2:$AY$324,23,FALSE)</f>
        <v>4</v>
      </c>
      <c r="G133" s="20">
        <f>VLOOKUP(Data[[#This Row],[DEVELOPMENT]],'[2]NYCHA_Development_Data_Book 201'!$B$2:$AY$324,12,FALSE)</f>
        <v>150</v>
      </c>
      <c r="J133">
        <f>IFERROR(VLOOKUP(Data[[#This Row],[DEVELOPMENT]],[5]!Table1[[DEVELOPMENTS]:[Installation Date of Exterior Compactor]],4,FALSE),0)</f>
        <v>0</v>
      </c>
      <c r="K133" s="20">
        <f>IFERROR(VLOOKUP(Data[[#This Row],[DEVELOPMENT]],[5]!Table1[[DEVELOPMENTS]:[Installation Date of Exterior Compactor]],7,FALSE),0)</f>
        <v>0</v>
      </c>
      <c r="L133" s="42" t="str">
        <f>IF(Data[[#This Row],['# Interior Compactors]]=0,"",VLOOKUP(Data[[#This Row],[DEVELOPMENT]],[5]!Table1[[DEVELOPMENTS]:[Installation Date of Exterior Compactor]],5,FALSE))</f>
        <v/>
      </c>
      <c r="M133" s="43" t="str">
        <f>IF(Data[[#This Row],['# Exterior Compactors]]=0,"",VLOOKUP(Data[[#This Row],[DEVELOPMENT]],[5]!Table1[[DEVELOPMENTS]:[Installation Date of Exterior Compactor]],8,FALSE))</f>
        <v/>
      </c>
      <c r="N133" s="20">
        <f>Data[[#This Row],['# Interior Compactors]]</f>
        <v>0</v>
      </c>
      <c r="O133" s="20">
        <f>1</f>
        <v>1</v>
      </c>
      <c r="P133" s="20">
        <f>1</f>
        <v>1</v>
      </c>
      <c r="Q133" s="20">
        <f>1</f>
        <v>1</v>
      </c>
      <c r="R133" s="20">
        <f>1</f>
        <v>1</v>
      </c>
      <c r="S133" s="20">
        <f>1</f>
        <v>1</v>
      </c>
      <c r="T133" s="20">
        <f>Data[[#This Row],[DUs]]</f>
        <v>150</v>
      </c>
      <c r="U13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3" s="101">
        <f>VLOOKUP(Data[[#This Row],[DEVELOPMENT]],'[2]NYCHA_Development_Data_Book 201'!$B$2:$E$324,3,FALSE)</f>
        <v>547</v>
      </c>
      <c r="Y133" s="20"/>
      <c r="Z133" s="20">
        <f>IFERROR(VLOOKUP(Data[[#This Row],[TDS]],'[7]Static Ext by TDS'!$A$5:$E$120,2,FALSE),0)</f>
        <v>0</v>
      </c>
      <c r="AA133" s="20">
        <f>IFERROR(VLOOKUP(Data[[#This Row],[TDS]],'[7]Static Int by TDS'!$A$6:$O$305,2,FALSE),0)</f>
        <v>4</v>
      </c>
      <c r="AB133" s="20"/>
      <c r="AC133" s="20"/>
      <c r="AD133" s="20">
        <f>IFERROR(VLOOKUP(Data[[#This Row],[TDS]],'[7]Static Ext by TDS'!$A$5:$P$120,3,FALSE)+VLOOKUP(Data[[#This Row],[TDS]],'[7]Static Ext by TDS'!$A$5:$P$120,6,FALSE),0)</f>
        <v>0</v>
      </c>
      <c r="AE133" s="20">
        <f>IFERROR(VLOOKUP(Data[[#This Row],[TDS]],'[7]Static Int by TDS'!$A$6:$O$305,3,FALSE)+VLOOKUP(Data[[#This Row],[TDS]],'[7]Static Int by TDS'!$A$6:$O$305,6,FALSE),0)</f>
        <v>4</v>
      </c>
      <c r="AF133" s="20" t="str">
        <f>VLOOKUP(Data[[#This Row],[DEVELOPMENT]],[8]Developments!$A$2:$A$312,1,FALSE)</f>
        <v>HARRISON AVENUE REHAB (GROUP B)</v>
      </c>
    </row>
    <row r="134" spans="1:32" x14ac:dyDescent="0.25">
      <c r="A134" s="17" t="s">
        <v>246</v>
      </c>
      <c r="B134" s="17" t="str">
        <f>VLOOKUP(Data[[#This Row],[DEVELOPMENT]],'[2]NYCHA_Development_Data_Book 201'!$B$2:$AY$324,40,FALSE)</f>
        <v>MANHATTAN</v>
      </c>
      <c r="C134" t="str">
        <f>VLOOKUP(Data[[#This Row],[DEVELOPMENT]],'[3]Cheat-Sheet'!$D$2:$Q$341,2,FALSE)</f>
        <v>GOMPERS</v>
      </c>
      <c r="D134" t="str">
        <f>IF(VLOOKUP(Data[[#This Row],[DEVELOPMENT]],'[4]IC Categories'!$A$2:$G$325,3,FALSE)=0,"",VLOOKUP(Data[[#This Row],[DEVELOPMENT]],'[4]IC Categories'!$A$2:$G$325,3,FALSE))</f>
        <v/>
      </c>
      <c r="E134">
        <f>VLOOKUP(Data[[#This Row],[DEVELOPMENT]],'[2]NYCHA_Development_Data_Book 201'!$B$2:$AY$324,21,FALSE)</f>
        <v>1</v>
      </c>
      <c r="F134">
        <f>VLOOKUP(Data[[#This Row],[DEVELOPMENT]],'[2]NYCHA_Development_Data_Book 201'!$B$2:$AY$324,23,FALSE)</f>
        <v>1</v>
      </c>
      <c r="G134">
        <f>VLOOKUP(Data[[#This Row],[DEVELOPMENT]],'[2]NYCHA_Development_Data_Book 201'!$B$2:$AY$324,12,FALSE)</f>
        <v>149</v>
      </c>
      <c r="H134" t="s">
        <v>472</v>
      </c>
      <c r="I134" t="s">
        <v>475</v>
      </c>
      <c r="J134">
        <f>IFERROR(VLOOKUP(Data[[#This Row],[DEVELOPMENT]],[5]!Table1[[DEVELOPMENTS]:[Installation Date of Exterior Compactor]],4,FALSE),0)</f>
        <v>0</v>
      </c>
      <c r="K134" s="20">
        <f>IFERROR(VLOOKUP(Data[[#This Row],[DEVELOPMENT]],[5]!Table1[[DEVELOPMENTS]:[Installation Date of Exterior Compactor]],7,FALSE),0)</f>
        <v>0</v>
      </c>
      <c r="L134" s="42" t="str">
        <f>IF(Data[[#This Row],['# Interior Compactors]]=0,"",VLOOKUP(Data[[#This Row],[DEVELOPMENT]],[5]!Table1[[DEVELOPMENTS]:[Installation Date of Exterior Compactor]],5,FALSE))</f>
        <v/>
      </c>
      <c r="M134" s="43" t="str">
        <f>IF(Data[[#This Row],['# Exterior Compactors]]=0,"",VLOOKUP(Data[[#This Row],[DEVELOPMENT]],[5]!Table1[[DEVELOPMENTS]:[Installation Date of Exterior Compactor]],8,FALSE))</f>
        <v/>
      </c>
      <c r="N134">
        <f>Data[[#This Row],['# Interior Compactors]]</f>
        <v>0</v>
      </c>
      <c r="O134" s="20">
        <f>1</f>
        <v>1</v>
      </c>
      <c r="P134" s="20">
        <f>1</f>
        <v>1</v>
      </c>
      <c r="Q134" s="20">
        <f>1</f>
        <v>1</v>
      </c>
      <c r="R134" s="20">
        <f>1</f>
        <v>1</v>
      </c>
      <c r="S134" s="20">
        <f>1</f>
        <v>1</v>
      </c>
      <c r="T134" s="20">
        <f>Data[[#This Row],[DUs]]</f>
        <v>149</v>
      </c>
      <c r="U13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4" s="101">
        <f>VLOOKUP(Data[[#This Row],[DEVELOPMENT]],'[2]NYCHA_Development_Data_Book 201'!$B$2:$E$324,3,FALSE)</f>
        <v>184</v>
      </c>
      <c r="Y134" s="20" t="s">
        <v>473</v>
      </c>
      <c r="Z134" s="20">
        <f>IFERROR(VLOOKUP(Data[[#This Row],[TDS]],'[7]Static Ext by TDS'!$A$5:$E$120,2,FALSE),0)</f>
        <v>0</v>
      </c>
      <c r="AA134" s="20">
        <f>IFERROR(VLOOKUP(Data[[#This Row],[TDS]],'[7]Static Int by TDS'!$A$6:$O$305,2,FALSE),0)</f>
        <v>1</v>
      </c>
      <c r="AB134" s="20"/>
      <c r="AC134" s="20"/>
      <c r="AD134" s="20">
        <f>IFERROR(VLOOKUP(Data[[#This Row],[TDS]],'[7]Static Ext by TDS'!$A$5:$P$120,3,FALSE)+VLOOKUP(Data[[#This Row],[TDS]],'[7]Static Ext by TDS'!$A$5:$P$120,6,FALSE),0)</f>
        <v>0</v>
      </c>
      <c r="AE134" s="20">
        <f>IFERROR(VLOOKUP(Data[[#This Row],[TDS]],'[7]Static Int by TDS'!$A$6:$O$305,3,FALSE)+VLOOKUP(Data[[#This Row],[TDS]],'[7]Static Int by TDS'!$A$6:$O$305,6,FALSE),0)</f>
        <v>1</v>
      </c>
      <c r="AF134" s="20" t="str">
        <f>VLOOKUP(Data[[#This Row],[DEVELOPMENT]],[8]Developments!$A$2:$A$312,1,FALSE)</f>
        <v>HERNANDEZ</v>
      </c>
    </row>
    <row r="135" spans="1:32" x14ac:dyDescent="0.25">
      <c r="A135" s="17" t="s">
        <v>247</v>
      </c>
      <c r="B135" s="17" t="str">
        <f>VLOOKUP(Data[[#This Row],[DEVELOPMENT]],'[2]NYCHA_Development_Data_Book 201'!$B$2:$AY$324,40,FALSE)</f>
        <v>BRONX</v>
      </c>
      <c r="C135" t="str">
        <f>VLOOKUP(Data[[#This Row],[DEVELOPMENT]],'[3]Cheat-Sheet'!$D$2:$Q$341,2,FALSE)</f>
        <v>HIGHBRIDGE GARDENS</v>
      </c>
      <c r="D135" t="str">
        <f>IF(VLOOKUP(Data[[#This Row],[DEVELOPMENT]],'[4]IC Categories'!$A$2:$G$325,3,FALSE)=0,"",VLOOKUP(Data[[#This Row],[DEVELOPMENT]],'[4]IC Categories'!$A$2:$G$325,3,FALSE))</f>
        <v/>
      </c>
      <c r="E135">
        <f>VLOOKUP(Data[[#This Row],[DEVELOPMENT]],'[2]NYCHA_Development_Data_Book 201'!$B$2:$AY$324,21,FALSE)</f>
        <v>6</v>
      </c>
      <c r="F135">
        <f>VLOOKUP(Data[[#This Row],[DEVELOPMENT]],'[2]NYCHA_Development_Data_Book 201'!$B$2:$AY$324,23,FALSE)</f>
        <v>6</v>
      </c>
      <c r="G135">
        <f>VLOOKUP(Data[[#This Row],[DEVELOPMENT]],'[2]NYCHA_Development_Data_Book 201'!$B$2:$AY$324,12,FALSE)</f>
        <v>700</v>
      </c>
      <c r="H135" t="s">
        <v>472</v>
      </c>
      <c r="I135" t="s">
        <v>471</v>
      </c>
      <c r="J135">
        <f>IFERROR(VLOOKUP(Data[[#This Row],[DEVELOPMENT]],[5]!Table1[[DEVELOPMENTS]:[Installation Date of Exterior Compactor]],4,FALSE),0)</f>
        <v>0</v>
      </c>
      <c r="K135" s="20">
        <f>IFERROR(VLOOKUP(Data[[#This Row],[DEVELOPMENT]],[5]!Table1[[DEVELOPMENTS]:[Installation Date of Exterior Compactor]],7,FALSE),0)</f>
        <v>0</v>
      </c>
      <c r="L135" s="42" t="str">
        <f>IF(Data[[#This Row],['# Interior Compactors]]=0,"",VLOOKUP(Data[[#This Row],[DEVELOPMENT]],[5]!Table1[[DEVELOPMENTS]:[Installation Date of Exterior Compactor]],5,FALSE))</f>
        <v/>
      </c>
      <c r="M135" s="43" t="str">
        <f>IF(Data[[#This Row],['# Exterior Compactors]]=0,"",VLOOKUP(Data[[#This Row],[DEVELOPMENT]],[5]!Table1[[DEVELOPMENTS]:[Installation Date of Exterior Compactor]],8,FALSE))</f>
        <v/>
      </c>
      <c r="N135">
        <f>Data[[#This Row],['# Interior Compactors]]</f>
        <v>0</v>
      </c>
      <c r="O135" s="20">
        <f>1</f>
        <v>1</v>
      </c>
      <c r="P135" s="20">
        <f>1</f>
        <v>1</v>
      </c>
      <c r="Q135" s="20">
        <f>1</f>
        <v>1</v>
      </c>
      <c r="R135" s="20">
        <f>1</f>
        <v>1</v>
      </c>
      <c r="S135" s="20">
        <f>1</f>
        <v>1</v>
      </c>
      <c r="T135" s="20">
        <f>Data[[#This Row],[DUs]]</f>
        <v>700</v>
      </c>
      <c r="U13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5" s="101">
        <f>VLOOKUP(Data[[#This Row],[DEVELOPMENT]],'[2]NYCHA_Development_Data_Book 201'!$B$2:$E$324,3,FALSE)</f>
        <v>78</v>
      </c>
      <c r="Y135" s="20"/>
      <c r="Z135" s="20">
        <f>IFERROR(VLOOKUP(Data[[#This Row],[TDS]],'[7]Static Ext by TDS'!$A$5:$E$120,2,FALSE),0)</f>
        <v>2</v>
      </c>
      <c r="AA135" s="20">
        <f>IFERROR(VLOOKUP(Data[[#This Row],[TDS]],'[7]Static Int by TDS'!$A$6:$O$305,2,FALSE),0)</f>
        <v>6</v>
      </c>
      <c r="AB135" s="20"/>
      <c r="AC135" s="20"/>
      <c r="AD135" s="20">
        <f>IFERROR(VLOOKUP(Data[[#This Row],[TDS]],'[7]Static Ext by TDS'!$A$5:$P$120,3,FALSE)+VLOOKUP(Data[[#This Row],[TDS]],'[7]Static Ext by TDS'!$A$5:$P$120,6,FALSE),0)</f>
        <v>2</v>
      </c>
      <c r="AE135" s="20">
        <f>IFERROR(VLOOKUP(Data[[#This Row],[TDS]],'[7]Static Int by TDS'!$A$6:$O$305,3,FALSE)+VLOOKUP(Data[[#This Row],[TDS]],'[7]Static Int by TDS'!$A$6:$O$305,6,FALSE),0)</f>
        <v>6</v>
      </c>
      <c r="AF135" s="20" t="str">
        <f>VLOOKUP(Data[[#This Row],[DEVELOPMENT]],[8]Developments!$A$2:$A$312,1,FALSE)</f>
        <v>HIGHBRIDGE GARDENS</v>
      </c>
    </row>
    <row r="136" spans="1:32" x14ac:dyDescent="0.25">
      <c r="A136" t="s">
        <v>248</v>
      </c>
      <c r="B136" s="20" t="str">
        <f>VLOOKUP(Data[[#This Row],[DEVELOPMENT]],'[2]NYCHA_Development_Data_Book 201'!$B$2:$AY$324,40,FALSE)</f>
        <v>BRONX</v>
      </c>
      <c r="C136" s="20" t="str">
        <f>VLOOKUP(Data[[#This Row],[DEVELOPMENT]],'[3]Cheat-Sheet'!$D$2:$Q$341,2,FALSE)</f>
        <v>BUILDING MANAGEMENT ASSOCIATES (PRIVATE - BX 1)</v>
      </c>
      <c r="D136" s="20" t="str">
        <f>IF(VLOOKUP(Data[[#This Row],[DEVELOPMENT]],'[4]IC Categories'!$A$2:$G$325,3,FALSE)=0,"",VLOOKUP(Data[[#This Row],[DEVELOPMENT]],'[4]IC Categories'!$A$2:$G$325,3,FALSE))</f>
        <v/>
      </c>
      <c r="E136" s="20">
        <f>VLOOKUP(Data[[#This Row],[DEVELOPMENT]],'[2]NYCHA_Development_Data_Book 201'!$B$2:$AY$324,21,FALSE)</f>
        <v>1</v>
      </c>
      <c r="F136" s="20">
        <f>VLOOKUP(Data[[#This Row],[DEVELOPMENT]],'[2]NYCHA_Development_Data_Book 201'!$B$2:$AY$324,23,FALSE)</f>
        <v>1</v>
      </c>
      <c r="G136" s="20">
        <f>VLOOKUP(Data[[#This Row],[DEVELOPMENT]],'[2]NYCHA_Development_Data_Book 201'!$B$2:$AY$324,12,FALSE)</f>
        <v>65</v>
      </c>
      <c r="J136">
        <f>IFERROR(VLOOKUP(Data[[#This Row],[DEVELOPMENT]],[5]!Table1[[DEVELOPMENTS]:[Installation Date of Exterior Compactor]],4,FALSE),0)</f>
        <v>0</v>
      </c>
      <c r="K136" s="20">
        <f>IFERROR(VLOOKUP(Data[[#This Row],[DEVELOPMENT]],[5]!Table1[[DEVELOPMENTS]:[Installation Date of Exterior Compactor]],7,FALSE),0)</f>
        <v>0</v>
      </c>
      <c r="L136" s="42" t="str">
        <f>IF(Data[[#This Row],['# Interior Compactors]]=0,"",VLOOKUP(Data[[#This Row],[DEVELOPMENT]],[5]!Table1[[DEVELOPMENTS]:[Installation Date of Exterior Compactor]],5,FALSE))</f>
        <v/>
      </c>
      <c r="M136" s="43" t="str">
        <f>IF(Data[[#This Row],['# Exterior Compactors]]=0,"",VLOOKUP(Data[[#This Row],[DEVELOPMENT]],[5]!Table1[[DEVELOPMENTS]:[Installation Date of Exterior Compactor]],8,FALSE))</f>
        <v/>
      </c>
      <c r="N136" s="20">
        <f>Data[[#This Row],['# Interior Compactors]]</f>
        <v>0</v>
      </c>
      <c r="O136" s="20">
        <f>1</f>
        <v>1</v>
      </c>
      <c r="P136" s="20">
        <f>1</f>
        <v>1</v>
      </c>
      <c r="Q136" s="20">
        <f>1</f>
        <v>1</v>
      </c>
      <c r="R136" s="20">
        <f>1</f>
        <v>1</v>
      </c>
      <c r="S136" s="20">
        <f>1</f>
        <v>1</v>
      </c>
      <c r="T136" s="20">
        <f>Data[[#This Row],[DUs]]</f>
        <v>65</v>
      </c>
      <c r="U13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6" s="101">
        <f>VLOOKUP(Data[[#This Row],[DEVELOPMENT]],'[2]NYCHA_Development_Data_Book 201'!$B$2:$E$324,3,FALSE)</f>
        <v>215</v>
      </c>
      <c r="Y136" s="20"/>
      <c r="Z136" s="20">
        <f>IFERROR(VLOOKUP(Data[[#This Row],[TDS]],'[7]Static Ext by TDS'!$A$5:$E$120,2,FALSE),0)</f>
        <v>0</v>
      </c>
      <c r="AA136" s="20">
        <f>IFERROR(VLOOKUP(Data[[#This Row],[TDS]],'[7]Static Int by TDS'!$A$6:$O$305,2,FALSE),0)</f>
        <v>1</v>
      </c>
      <c r="AB136" s="20"/>
      <c r="AC136" s="20"/>
      <c r="AD136" s="20">
        <f>IFERROR(VLOOKUP(Data[[#This Row],[TDS]],'[7]Static Ext by TDS'!$A$5:$P$120,3,FALSE)+VLOOKUP(Data[[#This Row],[TDS]],'[7]Static Ext by TDS'!$A$5:$P$120,6,FALSE),0)</f>
        <v>0</v>
      </c>
      <c r="AE136" s="20">
        <f>IFERROR(VLOOKUP(Data[[#This Row],[TDS]],'[7]Static Int by TDS'!$A$6:$O$305,3,FALSE)+VLOOKUP(Data[[#This Row],[TDS]],'[7]Static Int by TDS'!$A$6:$O$305,6,FALSE),0)</f>
        <v>1</v>
      </c>
      <c r="AF136" s="20" t="str">
        <f>VLOOKUP(Data[[#This Row],[DEVELOPMENT]],[8]Developments!$A$2:$A$312,1,FALSE)</f>
        <v>HOE AVENUE-EAST 173RD STREET</v>
      </c>
    </row>
    <row r="137" spans="1:32" x14ac:dyDescent="0.25">
      <c r="A137" t="s">
        <v>249</v>
      </c>
      <c r="B137" s="20" t="str">
        <f>VLOOKUP(Data[[#This Row],[DEVELOPMENT]],'[2]NYCHA_Development_Data_Book 201'!$B$2:$AY$324,40,FALSE)</f>
        <v>MANHATTAN</v>
      </c>
      <c r="C137" s="20" t="str">
        <f>VLOOKUP(Data[[#This Row],[DEVELOPMENT]],'[3]Cheat-Sheet'!$D$2:$Q$341,2,FALSE)</f>
        <v>ISAACS</v>
      </c>
      <c r="D137" s="20" t="str">
        <f>IF(VLOOKUP(Data[[#This Row],[DEVELOPMENT]],'[4]IC Categories'!$A$2:$G$325,3,FALSE)=0,"",VLOOKUP(Data[[#This Row],[DEVELOPMENT]],'[4]IC Categories'!$A$2:$G$325,3,FALSE))</f>
        <v/>
      </c>
      <c r="E137" s="20">
        <f>VLOOKUP(Data[[#This Row],[DEVELOPMENT]],'[2]NYCHA_Development_Data_Book 201'!$B$2:$AY$324,21,FALSE)</f>
        <v>2</v>
      </c>
      <c r="F137" s="20">
        <f>VLOOKUP(Data[[#This Row],[DEVELOPMENT]],'[2]NYCHA_Development_Data_Book 201'!$B$2:$AY$324,23,FALSE)</f>
        <v>2</v>
      </c>
      <c r="G137" s="20">
        <f>VLOOKUP(Data[[#This Row],[DEVELOPMENT]],'[2]NYCHA_Development_Data_Book 201'!$B$2:$AY$324,12,FALSE)</f>
        <v>536</v>
      </c>
      <c r="J137">
        <f>IFERROR(VLOOKUP(Data[[#This Row],[DEVELOPMENT]],[5]!Table1[[DEVELOPMENTS]:[Installation Date of Exterior Compactor]],4,FALSE),0)</f>
        <v>0</v>
      </c>
      <c r="K137" s="20">
        <f>IFERROR(VLOOKUP(Data[[#This Row],[DEVELOPMENT]],[5]!Table1[[DEVELOPMENTS]:[Installation Date of Exterior Compactor]],7,FALSE),0)</f>
        <v>0</v>
      </c>
      <c r="L137" s="42" t="str">
        <f>IF(Data[[#This Row],['# Interior Compactors]]=0,"",VLOOKUP(Data[[#This Row],[DEVELOPMENT]],[5]!Table1[[DEVELOPMENTS]:[Installation Date of Exterior Compactor]],5,FALSE))</f>
        <v/>
      </c>
      <c r="M137" s="43" t="str">
        <f>IF(Data[[#This Row],['# Exterior Compactors]]=0,"",VLOOKUP(Data[[#This Row],[DEVELOPMENT]],[5]!Table1[[DEVELOPMENTS]:[Installation Date of Exterior Compactor]],8,FALSE))</f>
        <v/>
      </c>
      <c r="N137" s="20">
        <f>Data[[#This Row],['# Interior Compactors]]</f>
        <v>0</v>
      </c>
      <c r="O137" s="20">
        <f>1</f>
        <v>1</v>
      </c>
      <c r="P137" s="20">
        <f>1</f>
        <v>1</v>
      </c>
      <c r="Q137" s="20">
        <f>1</f>
        <v>1</v>
      </c>
      <c r="R137" s="20">
        <f>1</f>
        <v>1</v>
      </c>
      <c r="S137" s="20">
        <f>1</f>
        <v>1</v>
      </c>
      <c r="T137" s="20">
        <f>Data[[#This Row],[DUs]]</f>
        <v>536</v>
      </c>
      <c r="U13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7" s="101">
        <f>VLOOKUP(Data[[#This Row],[DEVELOPMENT]],'[2]NYCHA_Development_Data_Book 201'!$B$2:$E$324,3,FALSE)</f>
        <v>159</v>
      </c>
      <c r="Y137" s="20"/>
      <c r="Z137" s="20">
        <f>IFERROR(VLOOKUP(Data[[#This Row],[TDS]],'[7]Static Ext by TDS'!$A$5:$E$120,2,FALSE),0)</f>
        <v>0</v>
      </c>
      <c r="AA137" s="20">
        <f>IFERROR(VLOOKUP(Data[[#This Row],[TDS]],'[7]Static Int by TDS'!$A$6:$O$305,2,FALSE),0)</f>
        <v>2</v>
      </c>
      <c r="AB137" s="20"/>
      <c r="AC137" s="20"/>
      <c r="AD137" s="20">
        <f>IFERROR(VLOOKUP(Data[[#This Row],[TDS]],'[7]Static Ext by TDS'!$A$5:$P$120,3,FALSE)+VLOOKUP(Data[[#This Row],[TDS]],'[7]Static Ext by TDS'!$A$5:$P$120,6,FALSE),0)</f>
        <v>0</v>
      </c>
      <c r="AE137" s="20">
        <f>IFERROR(VLOOKUP(Data[[#This Row],[TDS]],'[7]Static Int by TDS'!$A$6:$O$305,3,FALSE)+VLOOKUP(Data[[#This Row],[TDS]],'[7]Static Int by TDS'!$A$6:$O$305,6,FALSE),0)</f>
        <v>2</v>
      </c>
      <c r="AF137" s="20" t="str">
        <f>VLOOKUP(Data[[#This Row],[DEVELOPMENT]],[8]Developments!$A$2:$A$312,1,FALSE)</f>
        <v>HOLMES TOWERS</v>
      </c>
    </row>
    <row r="138" spans="1:32" x14ac:dyDescent="0.25">
      <c r="A138" t="s">
        <v>381</v>
      </c>
      <c r="B138" s="20" t="str">
        <f>VLOOKUP(Data[[#This Row],[DEVELOPMENT]],'[2]NYCHA_Development_Data_Book 201'!$B$2:$AY$324,40,FALSE)</f>
        <v>BROOKLYN</v>
      </c>
      <c r="C138" s="20" t="str">
        <f>VLOOKUP(Data[[#This Row],[DEVELOPMENT]],'[3]Cheat-Sheet'!$D$2:$Q$341,2,FALSE)</f>
        <v>HOPE GARDENS</v>
      </c>
      <c r="D138" s="20">
        <f>IF(VLOOKUP(Data[[#This Row],[DEVELOPMENT]],'[4]IC Categories'!$A$2:$G$325,3,FALSE)=0,"",VLOOKUP(Data[[#This Row],[DEVELOPMENT]],'[4]IC Categories'!$A$2:$G$325,3,FALSE))</f>
        <v>2019</v>
      </c>
      <c r="E138" s="20">
        <f>VLOOKUP(Data[[#This Row],[DEVELOPMENT]],'[2]NYCHA_Development_Data_Book 201'!$B$2:$AY$324,21,FALSE)</f>
        <v>4</v>
      </c>
      <c r="F138" s="20">
        <f>VLOOKUP(Data[[#This Row],[DEVELOPMENT]],'[2]NYCHA_Development_Data_Book 201'!$B$2:$AY$324,23,FALSE)</f>
        <v>4</v>
      </c>
      <c r="G138" s="20">
        <f>VLOOKUP(Data[[#This Row],[DEVELOPMENT]],'[2]NYCHA_Development_Data_Book 201'!$B$2:$AY$324,12,FALSE)</f>
        <v>323</v>
      </c>
      <c r="H138" t="s">
        <v>472</v>
      </c>
      <c r="J138">
        <f>IFERROR(VLOOKUP(Data[[#This Row],[DEVELOPMENT]],[5]!Table1[[DEVELOPMENTS]:[Installation Date of Exterior Compactor]],4,FALSE),0)</f>
        <v>0</v>
      </c>
      <c r="K138" s="20">
        <f>IFERROR(VLOOKUP(Data[[#This Row],[DEVELOPMENT]],[5]!Table1[[DEVELOPMENTS]:[Installation Date of Exterior Compactor]],7,FALSE),0)</f>
        <v>0</v>
      </c>
      <c r="L138" s="42" t="str">
        <f>IF(Data[[#This Row],['# Interior Compactors]]=0,"",VLOOKUP(Data[[#This Row],[DEVELOPMENT]],[5]!Table1[[DEVELOPMENTS]:[Installation Date of Exterior Compactor]],5,FALSE))</f>
        <v/>
      </c>
      <c r="M138" s="43" t="str">
        <f>IF(Data[[#This Row],['# Exterior Compactors]]=0,"",VLOOKUP(Data[[#This Row],[DEVELOPMENT]],[5]!Table1[[DEVELOPMENTS]:[Installation Date of Exterior Compactor]],8,FALSE))</f>
        <v/>
      </c>
      <c r="N138" s="20">
        <f>Data[[#This Row],['# Interior Compactors]]</f>
        <v>0</v>
      </c>
      <c r="O138" s="20">
        <f>1</f>
        <v>1</v>
      </c>
      <c r="P138" s="20">
        <f>1</f>
        <v>1</v>
      </c>
      <c r="Q138" s="20">
        <f>1</f>
        <v>1</v>
      </c>
      <c r="R138" s="20">
        <f>1</f>
        <v>1</v>
      </c>
      <c r="S138" s="20">
        <f>1</f>
        <v>1</v>
      </c>
      <c r="T138" s="20">
        <f>Data[[#This Row],[DUs]]</f>
        <v>323</v>
      </c>
      <c r="U13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8" s="101">
        <f>VLOOKUP(Data[[#This Row],[DEVELOPMENT]],'[2]NYCHA_Development_Data_Book 201'!$B$2:$E$324,3,FALSE)</f>
        <v>247</v>
      </c>
      <c r="Y138" s="20" t="s">
        <v>473</v>
      </c>
      <c r="Z138" s="20">
        <f>IFERROR(VLOOKUP(Data[[#This Row],[TDS]],'[7]Static Ext by TDS'!$A$5:$E$120,2,FALSE),0)</f>
        <v>0</v>
      </c>
      <c r="AA138" s="20">
        <f>IFERROR(VLOOKUP(Data[[#This Row],[TDS]],'[7]Static Int by TDS'!$A$6:$O$305,2,FALSE),0)</f>
        <v>4</v>
      </c>
      <c r="AB138" s="20"/>
      <c r="AC138" s="20"/>
      <c r="AD138" s="20">
        <f>IFERROR(VLOOKUP(Data[[#This Row],[TDS]],'[7]Static Ext by TDS'!$A$5:$P$120,3,FALSE)+VLOOKUP(Data[[#This Row],[TDS]],'[7]Static Ext by TDS'!$A$5:$P$120,6,FALSE),0)</f>
        <v>0</v>
      </c>
      <c r="AE138" s="20">
        <f>IFERROR(VLOOKUP(Data[[#This Row],[TDS]],'[7]Static Int by TDS'!$A$6:$O$305,3,FALSE)+VLOOKUP(Data[[#This Row],[TDS]],'[7]Static Int by TDS'!$A$6:$O$305,6,FALSE),0)</f>
        <v>4</v>
      </c>
      <c r="AF138" s="20" t="e">
        <f>VLOOKUP(Data[[#This Row],[DEVELOPMENT]],[8]Developments!$A$2:$A$312,1,FALSE)</f>
        <v>#N/A</v>
      </c>
    </row>
    <row r="139" spans="1:32" x14ac:dyDescent="0.25">
      <c r="A139" t="s">
        <v>250</v>
      </c>
      <c r="B139" s="20" t="str">
        <f>VLOOKUP(Data[[#This Row],[DEVELOPMENT]],'[2]NYCHA_Development_Data_Book 201'!$B$2:$AY$324,40,FALSE)</f>
        <v>BROOKLYN</v>
      </c>
      <c r="C139" s="20" t="str">
        <f>VLOOKUP(Data[[#This Row],[DEVELOPMENT]],'[3]Cheat-Sheet'!$D$2:$Q$341,2,FALSE)</f>
        <v>HOWARD</v>
      </c>
      <c r="D139" s="20" t="str">
        <f>IF(VLOOKUP(Data[[#This Row],[DEVELOPMENT]],'[4]IC Categories'!$A$2:$G$325,3,FALSE)=0,"",VLOOKUP(Data[[#This Row],[DEVELOPMENT]],'[4]IC Categories'!$A$2:$G$325,3,FALSE))</f>
        <v/>
      </c>
      <c r="E139" s="20">
        <f>VLOOKUP(Data[[#This Row],[DEVELOPMENT]],'[2]NYCHA_Development_Data_Book 201'!$B$2:$AY$324,21,FALSE)</f>
        <v>10</v>
      </c>
      <c r="F139" s="20">
        <f>VLOOKUP(Data[[#This Row],[DEVELOPMENT]],'[2]NYCHA_Development_Data_Book 201'!$B$2:$AY$324,23,FALSE)</f>
        <v>16</v>
      </c>
      <c r="G139" s="20">
        <f>VLOOKUP(Data[[#This Row],[DEVELOPMENT]],'[2]NYCHA_Development_Data_Book 201'!$B$2:$AY$324,12,FALSE)</f>
        <v>813</v>
      </c>
      <c r="J139">
        <f>IFERROR(VLOOKUP(Data[[#This Row],[DEVELOPMENT]],[5]!Table1[[DEVELOPMENTS]:[Installation Date of Exterior Compactor]],4,FALSE),0)</f>
        <v>0</v>
      </c>
      <c r="K139" s="20">
        <f>IFERROR(VLOOKUP(Data[[#This Row],[DEVELOPMENT]],[5]!Table1[[DEVELOPMENTS]:[Installation Date of Exterior Compactor]],7,FALSE),0)</f>
        <v>0</v>
      </c>
      <c r="L139" s="42" t="str">
        <f>IF(Data[[#This Row],['# Interior Compactors]]=0,"",VLOOKUP(Data[[#This Row],[DEVELOPMENT]],[5]!Table1[[DEVELOPMENTS]:[Installation Date of Exterior Compactor]],5,FALSE))</f>
        <v/>
      </c>
      <c r="M139" s="43" t="str">
        <f>IF(Data[[#This Row],['# Exterior Compactors]]=0,"",VLOOKUP(Data[[#This Row],[DEVELOPMENT]],[5]!Table1[[DEVELOPMENTS]:[Installation Date of Exterior Compactor]],8,FALSE))</f>
        <v/>
      </c>
      <c r="N139" s="20">
        <f>Data[[#This Row],['# Interior Compactors]]</f>
        <v>0</v>
      </c>
      <c r="O139" s="20">
        <f>1</f>
        <v>1</v>
      </c>
      <c r="P139" s="20">
        <f>1</f>
        <v>1</v>
      </c>
      <c r="Q139" s="20">
        <f>1</f>
        <v>1</v>
      </c>
      <c r="R139" s="20">
        <f>1</f>
        <v>1</v>
      </c>
      <c r="S139" s="20">
        <f>1</f>
        <v>1</v>
      </c>
      <c r="T139" s="20">
        <f>Data[[#This Row],[DUs]]</f>
        <v>813</v>
      </c>
      <c r="U13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3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3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39" s="101">
        <f>VLOOKUP(Data[[#This Row],[DEVELOPMENT]],'[2]NYCHA_Development_Data_Book 201'!$B$2:$E$324,3,FALSE)</f>
        <v>72</v>
      </c>
      <c r="Y139" s="20"/>
      <c r="Z139" s="20">
        <f>IFERROR(VLOOKUP(Data[[#This Row],[TDS]],'[7]Static Ext by TDS'!$A$5:$E$120,2,FALSE),0)</f>
        <v>0</v>
      </c>
      <c r="AA139" s="20">
        <f>IFERROR(VLOOKUP(Data[[#This Row],[TDS]],'[7]Static Int by TDS'!$A$6:$O$305,2,FALSE),0)</f>
        <v>16</v>
      </c>
      <c r="AB139" s="20"/>
      <c r="AC139" s="20"/>
      <c r="AD139" s="20">
        <f>IFERROR(VLOOKUP(Data[[#This Row],[TDS]],'[7]Static Ext by TDS'!$A$5:$P$120,3,FALSE)+VLOOKUP(Data[[#This Row],[TDS]],'[7]Static Ext by TDS'!$A$5:$P$120,6,FALSE),0)</f>
        <v>0</v>
      </c>
      <c r="AE139" s="20">
        <f>IFERROR(VLOOKUP(Data[[#This Row],[TDS]],'[7]Static Int by TDS'!$A$6:$O$305,3,FALSE)+VLOOKUP(Data[[#This Row],[TDS]],'[7]Static Int by TDS'!$A$6:$O$305,6,FALSE),0)</f>
        <v>16</v>
      </c>
      <c r="AF139" s="20" t="str">
        <f>VLOOKUP(Data[[#This Row],[DEVELOPMENT]],[8]Developments!$A$2:$A$312,1,FALSE)</f>
        <v>HOWARD</v>
      </c>
    </row>
    <row r="140" spans="1:32" x14ac:dyDescent="0.25">
      <c r="A140" t="s">
        <v>251</v>
      </c>
      <c r="B140" s="20" t="str">
        <f>VLOOKUP(Data[[#This Row],[DEVELOPMENT]],'[2]NYCHA_Development_Data_Book 201'!$B$2:$AY$324,40,FALSE)</f>
        <v>BROOKLYN</v>
      </c>
      <c r="C140" s="20" t="str">
        <f>VLOOKUP(Data[[#This Row],[DEVELOPMENT]],'[3]Cheat-Sheet'!$D$2:$Q$341,2,FALSE)</f>
        <v>PARK ROCK CONSOLIDATED</v>
      </c>
      <c r="D140" s="20">
        <f>IF(VLOOKUP(Data[[#This Row],[DEVELOPMENT]],'[4]IC Categories'!$A$2:$G$325,3,FALSE)=0,"",VLOOKUP(Data[[#This Row],[DEVELOPMENT]],'[4]IC Categories'!$A$2:$G$325,3,FALSE))</f>
        <v>2025</v>
      </c>
      <c r="E140" s="20">
        <f>VLOOKUP(Data[[#This Row],[DEVELOPMENT]],'[2]NYCHA_Development_Data_Book 201'!$B$2:$AY$324,21,FALSE)</f>
        <v>5</v>
      </c>
      <c r="F140" s="20">
        <f>VLOOKUP(Data[[#This Row],[DEVELOPMENT]],'[2]NYCHA_Development_Data_Book 201'!$B$2:$AY$324,23,FALSE)</f>
        <v>25</v>
      </c>
      <c r="G140" s="20">
        <f>VLOOKUP(Data[[#This Row],[DEVELOPMENT]],'[2]NYCHA_Development_Data_Book 201'!$B$2:$AY$324,12,FALSE)</f>
        <v>148</v>
      </c>
      <c r="J140">
        <f>IFERROR(VLOOKUP(Data[[#This Row],[DEVELOPMENT]],[5]!Table1[[DEVELOPMENTS]:[Installation Date of Exterior Compactor]],4,FALSE),0)</f>
        <v>0</v>
      </c>
      <c r="K140" s="20">
        <f>IFERROR(VLOOKUP(Data[[#This Row],[DEVELOPMENT]],[5]!Table1[[DEVELOPMENTS]:[Installation Date of Exterior Compactor]],7,FALSE),0)</f>
        <v>0</v>
      </c>
      <c r="L140" s="42" t="str">
        <f>IF(Data[[#This Row],['# Interior Compactors]]=0,"",VLOOKUP(Data[[#This Row],[DEVELOPMENT]],[5]!Table1[[DEVELOPMENTS]:[Installation Date of Exterior Compactor]],5,FALSE))</f>
        <v/>
      </c>
      <c r="M140" s="43" t="str">
        <f>IF(Data[[#This Row],['# Exterior Compactors]]=0,"",VLOOKUP(Data[[#This Row],[DEVELOPMENT]],[5]!Table1[[DEVELOPMENTS]:[Installation Date of Exterior Compactor]],8,FALSE))</f>
        <v/>
      </c>
      <c r="N140" s="20">
        <f>Data[[#This Row],['# Interior Compactors]]</f>
        <v>0</v>
      </c>
      <c r="O140" s="20">
        <f>1</f>
        <v>1</v>
      </c>
      <c r="P140" s="20">
        <f>1</f>
        <v>1</v>
      </c>
      <c r="Q140" s="20">
        <f>1</f>
        <v>1</v>
      </c>
      <c r="R140" s="20">
        <f>1</f>
        <v>1</v>
      </c>
      <c r="S140" s="20">
        <f>1</f>
        <v>1</v>
      </c>
      <c r="T140" s="20">
        <f>Data[[#This Row],[DUs]]</f>
        <v>148</v>
      </c>
      <c r="U14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0" s="101">
        <f>VLOOKUP(Data[[#This Row],[DEVELOPMENT]],'[2]NYCHA_Development_Data_Book 201'!$B$2:$E$324,3,FALSE)</f>
        <v>339</v>
      </c>
      <c r="Y140" s="20"/>
      <c r="Z140" s="20">
        <f>IFERROR(VLOOKUP(Data[[#This Row],[TDS]],'[7]Static Ext by TDS'!$A$5:$E$120,2,FALSE),0)</f>
        <v>0</v>
      </c>
      <c r="AA140" s="20">
        <f>IFERROR(VLOOKUP(Data[[#This Row],[TDS]],'[7]Static Int by TDS'!$A$6:$O$305,2,FALSE),0)</f>
        <v>0</v>
      </c>
      <c r="AB140" s="20"/>
      <c r="AC140" s="20"/>
      <c r="AD140" s="20">
        <f>IFERROR(VLOOKUP(Data[[#This Row],[TDS]],'[7]Static Ext by TDS'!$A$5:$P$120,3,FALSE)+VLOOKUP(Data[[#This Row],[TDS]],'[7]Static Ext by TDS'!$A$5:$P$120,6,FALSE),0)</f>
        <v>0</v>
      </c>
      <c r="AE140" s="20">
        <f>IFERROR(VLOOKUP(Data[[#This Row],[TDS]],'[7]Static Int by TDS'!$A$6:$O$305,3,FALSE)+VLOOKUP(Data[[#This Row],[TDS]],'[7]Static Int by TDS'!$A$6:$O$305,6,FALSE),0)</f>
        <v>0</v>
      </c>
      <c r="AF140" s="20" t="str">
        <f>VLOOKUP(Data[[#This Row],[DEVELOPMENT]],[8]Developments!$A$2:$A$312,1,FALSE)</f>
        <v>HOWARD AVENUE</v>
      </c>
    </row>
    <row r="141" spans="1:32" x14ac:dyDescent="0.25">
      <c r="A141" t="s">
        <v>252</v>
      </c>
      <c r="B141" s="20" t="str">
        <f>VLOOKUP(Data[[#This Row],[DEVELOPMENT]],'[2]NYCHA_Development_Data_Book 201'!$B$2:$AY$324,40,FALSE)</f>
        <v>BROOKLYN</v>
      </c>
      <c r="C141" s="20" t="str">
        <f>VLOOKUP(Data[[#This Row],[DEVELOPMENT]],'[3]Cheat-Sheet'!$D$2:$Q$341,2,FALSE)</f>
        <v>PARK ROCK CONSOLIDATED</v>
      </c>
      <c r="D141" s="20">
        <f>IF(VLOOKUP(Data[[#This Row],[DEVELOPMENT]],'[4]IC Categories'!$A$2:$G$325,3,FALSE)=0,"",VLOOKUP(Data[[#This Row],[DEVELOPMENT]],'[4]IC Categories'!$A$2:$G$325,3,FALSE))</f>
        <v>2025</v>
      </c>
      <c r="E141" s="20">
        <f>VLOOKUP(Data[[#This Row],[DEVELOPMENT]],'[2]NYCHA_Development_Data_Book 201'!$B$2:$AY$324,21,FALSE)</f>
        <v>8</v>
      </c>
      <c r="F141" s="20">
        <f>VLOOKUP(Data[[#This Row],[DEVELOPMENT]],'[2]NYCHA_Development_Data_Book 201'!$B$2:$AY$324,23,FALSE)</f>
        <v>159</v>
      </c>
      <c r="G141" s="20">
        <f>VLOOKUP(Data[[#This Row],[DEVELOPMENT]],'[2]NYCHA_Development_Data_Book 201'!$B$2:$AY$324,12,FALSE)</f>
        <v>155</v>
      </c>
      <c r="H141" t="s">
        <v>476</v>
      </c>
      <c r="J141">
        <f>IFERROR(VLOOKUP(Data[[#This Row],[DEVELOPMENT]],[5]!Table1[[DEVELOPMENTS]:[Installation Date of Exterior Compactor]],4,FALSE),0)</f>
        <v>0</v>
      </c>
      <c r="K141" s="20">
        <f>IFERROR(VLOOKUP(Data[[#This Row],[DEVELOPMENT]],[5]!Table1[[DEVELOPMENTS]:[Installation Date of Exterior Compactor]],7,FALSE),0)</f>
        <v>0</v>
      </c>
      <c r="L141" s="42" t="str">
        <f>IF(Data[[#This Row],['# Interior Compactors]]=0,"",VLOOKUP(Data[[#This Row],[DEVELOPMENT]],[5]!Table1[[DEVELOPMENTS]:[Installation Date of Exterior Compactor]],5,FALSE))</f>
        <v/>
      </c>
      <c r="M141" s="43" t="str">
        <f>IF(Data[[#This Row],['# Exterior Compactors]]=0,"",VLOOKUP(Data[[#This Row],[DEVELOPMENT]],[5]!Table1[[DEVELOPMENTS]:[Installation Date of Exterior Compactor]],8,FALSE))</f>
        <v/>
      </c>
      <c r="N141" s="20">
        <f>Data[[#This Row],['# Interior Compactors]]</f>
        <v>0</v>
      </c>
      <c r="O141" s="20">
        <f>1</f>
        <v>1</v>
      </c>
      <c r="P141" s="20">
        <f>1</f>
        <v>1</v>
      </c>
      <c r="Q141" s="20">
        <f>1</f>
        <v>1</v>
      </c>
      <c r="R141" s="20">
        <f>1</f>
        <v>1</v>
      </c>
      <c r="S141" s="20">
        <f>1</f>
        <v>1</v>
      </c>
      <c r="T141" s="20">
        <f>Data[[#This Row],[DUs]]</f>
        <v>155</v>
      </c>
      <c r="U14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1" s="101">
        <f>VLOOKUP(Data[[#This Row],[DEVELOPMENT]],'[2]NYCHA_Development_Data_Book 201'!$B$2:$E$324,3,FALSE)</f>
        <v>365</v>
      </c>
      <c r="Y141" s="20"/>
      <c r="Z141" s="20">
        <f>IFERROR(VLOOKUP(Data[[#This Row],[TDS]],'[7]Static Ext by TDS'!$A$5:$E$120,2,FALSE),0)</f>
        <v>0</v>
      </c>
      <c r="AA141" s="20">
        <f>IFERROR(VLOOKUP(Data[[#This Row],[TDS]],'[7]Static Int by TDS'!$A$6:$O$305,2,FALSE),0)</f>
        <v>0</v>
      </c>
      <c r="AB141" s="20"/>
      <c r="AC141" s="20"/>
      <c r="AD141" s="20">
        <f>IFERROR(VLOOKUP(Data[[#This Row],[TDS]],'[7]Static Ext by TDS'!$A$5:$P$120,3,FALSE)+VLOOKUP(Data[[#This Row],[TDS]],'[7]Static Ext by TDS'!$A$5:$P$120,6,FALSE),0)</f>
        <v>0</v>
      </c>
      <c r="AE141" s="20">
        <f>IFERROR(VLOOKUP(Data[[#This Row],[TDS]],'[7]Static Int by TDS'!$A$6:$O$305,3,FALSE)+VLOOKUP(Data[[#This Row],[TDS]],'[7]Static Int by TDS'!$A$6:$O$305,6,FALSE),0)</f>
        <v>0</v>
      </c>
      <c r="AF141" s="20" t="str">
        <f>VLOOKUP(Data[[#This Row],[DEVELOPMENT]],[8]Developments!$A$2:$A$312,1,FALSE)</f>
        <v>HOWARD AVENUE-PARK PLACE</v>
      </c>
    </row>
    <row r="142" spans="1:32" x14ac:dyDescent="0.25">
      <c r="A142" t="s">
        <v>253</v>
      </c>
      <c r="B142" s="20" t="str">
        <f>VLOOKUP(Data[[#This Row],[DEVELOPMENT]],'[2]NYCHA_Development_Data_Book 201'!$B$2:$AY$324,40,FALSE)</f>
        <v>BROOKLYN</v>
      </c>
      <c r="C142" s="20" t="str">
        <f>VLOOKUP(Data[[#This Row],[DEVELOPMENT]],'[3]Cheat-Sheet'!$D$2:$Q$341,2,FALSE)</f>
        <v>HUGHES APARTMENTS</v>
      </c>
      <c r="D142" s="20" t="str">
        <f>IF(VLOOKUP(Data[[#This Row],[DEVELOPMENT]],'[4]IC Categories'!$A$2:$G$325,3,FALSE)=0,"",VLOOKUP(Data[[#This Row],[DEVELOPMENT]],'[4]IC Categories'!$A$2:$G$325,3,FALSE))</f>
        <v/>
      </c>
      <c r="E142" s="20">
        <f>VLOOKUP(Data[[#This Row],[DEVELOPMENT]],'[2]NYCHA_Development_Data_Book 201'!$B$2:$AY$324,21,FALSE)</f>
        <v>3</v>
      </c>
      <c r="F142" s="20">
        <f>VLOOKUP(Data[[#This Row],[DEVELOPMENT]],'[2]NYCHA_Development_Data_Book 201'!$B$2:$AY$324,23,FALSE)</f>
        <v>4</v>
      </c>
      <c r="G142" s="20">
        <f>VLOOKUP(Data[[#This Row],[DEVELOPMENT]],'[2]NYCHA_Development_Data_Book 201'!$B$2:$AY$324,12,FALSE)</f>
        <v>509</v>
      </c>
      <c r="J142">
        <f>IFERROR(VLOOKUP(Data[[#This Row],[DEVELOPMENT]],[5]!Table1[[DEVELOPMENTS]:[Installation Date of Exterior Compactor]],4,FALSE),0)</f>
        <v>0</v>
      </c>
      <c r="K142" s="20">
        <f>IFERROR(VLOOKUP(Data[[#This Row],[DEVELOPMENT]],[5]!Table1[[DEVELOPMENTS]:[Installation Date of Exterior Compactor]],7,FALSE),0)</f>
        <v>0</v>
      </c>
      <c r="L142" s="42" t="str">
        <f>IF(Data[[#This Row],['# Interior Compactors]]=0,"",VLOOKUP(Data[[#This Row],[DEVELOPMENT]],[5]!Table1[[DEVELOPMENTS]:[Installation Date of Exterior Compactor]],5,FALSE))</f>
        <v/>
      </c>
      <c r="M142" s="43" t="str">
        <f>IF(Data[[#This Row],['# Exterior Compactors]]=0,"",VLOOKUP(Data[[#This Row],[DEVELOPMENT]],[5]!Table1[[DEVELOPMENTS]:[Installation Date of Exterior Compactor]],8,FALSE))</f>
        <v/>
      </c>
      <c r="N142" s="20">
        <f>Data[[#This Row],['# Interior Compactors]]</f>
        <v>0</v>
      </c>
      <c r="O142" s="20">
        <f>1</f>
        <v>1</v>
      </c>
      <c r="P142" s="20">
        <f>1</f>
        <v>1</v>
      </c>
      <c r="Q142" s="20">
        <f>1</f>
        <v>1</v>
      </c>
      <c r="R142" s="20">
        <f>1</f>
        <v>1</v>
      </c>
      <c r="S142" s="20">
        <f>1</f>
        <v>1</v>
      </c>
      <c r="T142" s="20">
        <f>Data[[#This Row],[DUs]]</f>
        <v>509</v>
      </c>
      <c r="U14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2" s="101">
        <f>VLOOKUP(Data[[#This Row],[DEVELOPMENT]],'[2]NYCHA_Development_Data_Book 201'!$B$2:$E$324,3,FALSE)</f>
        <v>168</v>
      </c>
      <c r="Y142" s="20"/>
      <c r="Z142" s="20">
        <f>IFERROR(VLOOKUP(Data[[#This Row],[TDS]],'[7]Static Ext by TDS'!$A$5:$E$120,2,FALSE),0)</f>
        <v>1</v>
      </c>
      <c r="AA142" s="20">
        <f>IFERROR(VLOOKUP(Data[[#This Row],[TDS]],'[7]Static Int by TDS'!$A$6:$O$305,2,FALSE),0)</f>
        <v>3</v>
      </c>
      <c r="AB142" s="20"/>
      <c r="AC142" s="20"/>
      <c r="AD142" s="20">
        <f>IFERROR(VLOOKUP(Data[[#This Row],[TDS]],'[7]Static Ext by TDS'!$A$5:$P$120,3,FALSE)+VLOOKUP(Data[[#This Row],[TDS]],'[7]Static Ext by TDS'!$A$5:$P$120,6,FALSE),0)</f>
        <v>1</v>
      </c>
      <c r="AE142" s="20">
        <f>IFERROR(VLOOKUP(Data[[#This Row],[TDS]],'[7]Static Int by TDS'!$A$6:$O$305,3,FALSE)+VLOOKUP(Data[[#This Row],[TDS]],'[7]Static Int by TDS'!$A$6:$O$305,6,FALSE),0)</f>
        <v>3</v>
      </c>
      <c r="AF142" s="20" t="str">
        <f>VLOOKUP(Data[[#This Row],[DEVELOPMENT]],[8]Developments!$A$2:$A$312,1,FALSE)</f>
        <v>HUGHES APARTMENTS</v>
      </c>
    </row>
    <row r="143" spans="1:32" x14ac:dyDescent="0.25">
      <c r="A143" t="s">
        <v>254</v>
      </c>
      <c r="B143" s="20" t="str">
        <f>VLOOKUP(Data[[#This Row],[DEVELOPMENT]],'[2]NYCHA_Development_Data_Book 201'!$B$2:$AY$324,40,FALSE)</f>
        <v>BRONX</v>
      </c>
      <c r="C143" s="20" t="str">
        <f>VLOOKUP(Data[[#This Row],[DEVELOPMENT]],'[3]Cheat-Sheet'!$D$2:$Q$341,2,FALSE)</f>
        <v>BUILDING MANAGEMENT ASSOCIATES (PRIVATE - BX 1)</v>
      </c>
      <c r="D143" s="20" t="str">
        <f>IF(VLOOKUP(Data[[#This Row],[DEVELOPMENT]],'[4]IC Categories'!$A$2:$G$325,3,FALSE)=0,"",VLOOKUP(Data[[#This Row],[DEVELOPMENT]],'[4]IC Categories'!$A$2:$G$325,3,FALSE))</f>
        <v/>
      </c>
      <c r="E143" s="20">
        <f>VLOOKUP(Data[[#This Row],[DEVELOPMENT]],'[2]NYCHA_Development_Data_Book 201'!$B$2:$AY$324,21,FALSE)</f>
        <v>13</v>
      </c>
      <c r="F143" s="20">
        <f>VLOOKUP(Data[[#This Row],[DEVELOPMENT]],'[2]NYCHA_Development_Data_Book 201'!$B$2:$AY$324,23,FALSE)</f>
        <v>13</v>
      </c>
      <c r="G143" s="20">
        <f>VLOOKUP(Data[[#This Row],[DEVELOPMENT]],'[2]NYCHA_Development_Data_Book 201'!$B$2:$AY$324,12,FALSE)</f>
        <v>131</v>
      </c>
      <c r="J143">
        <f>IFERROR(VLOOKUP(Data[[#This Row],[DEVELOPMENT]],[5]!Table1[[DEVELOPMENTS]:[Installation Date of Exterior Compactor]],4,FALSE),0)</f>
        <v>0</v>
      </c>
      <c r="K143" s="20">
        <f>IFERROR(VLOOKUP(Data[[#This Row],[DEVELOPMENT]],[5]!Table1[[DEVELOPMENTS]:[Installation Date of Exterior Compactor]],7,FALSE),0)</f>
        <v>0</v>
      </c>
      <c r="L143" s="42" t="str">
        <f>IF(Data[[#This Row],['# Interior Compactors]]=0,"",VLOOKUP(Data[[#This Row],[DEVELOPMENT]],[5]!Table1[[DEVELOPMENTS]:[Installation Date of Exterior Compactor]],5,FALSE))</f>
        <v/>
      </c>
      <c r="M143" s="43" t="str">
        <f>IF(Data[[#This Row],['# Exterior Compactors]]=0,"",VLOOKUP(Data[[#This Row],[DEVELOPMENT]],[5]!Table1[[DEVELOPMENTS]:[Installation Date of Exterior Compactor]],8,FALSE))</f>
        <v/>
      </c>
      <c r="N143" s="20">
        <f>Data[[#This Row],['# Interior Compactors]]</f>
        <v>0</v>
      </c>
      <c r="O143" s="20">
        <f>1</f>
        <v>1</v>
      </c>
      <c r="P143" s="20">
        <f>1</f>
        <v>1</v>
      </c>
      <c r="Q143" s="20">
        <f>1</f>
        <v>1</v>
      </c>
      <c r="R143" s="20">
        <f>1</f>
        <v>1</v>
      </c>
      <c r="S143" s="20">
        <f>1</f>
        <v>1</v>
      </c>
      <c r="T143" s="20">
        <f>Data[[#This Row],[DUs]]</f>
        <v>131</v>
      </c>
      <c r="U14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3" s="101">
        <f>VLOOKUP(Data[[#This Row],[DEVELOPMENT]],'[2]NYCHA_Development_Data_Book 201'!$B$2:$E$324,3,FALSE)</f>
        <v>367</v>
      </c>
      <c r="Y143" s="20"/>
      <c r="Z143" s="20">
        <f>IFERROR(VLOOKUP(Data[[#This Row],[TDS]],'[7]Static Ext by TDS'!$A$5:$E$120,2,FALSE),0)</f>
        <v>0</v>
      </c>
      <c r="AA143" s="20">
        <f>IFERROR(VLOOKUP(Data[[#This Row],[TDS]],'[7]Static Int by TDS'!$A$6:$O$305,2,FALSE),0)</f>
        <v>1</v>
      </c>
      <c r="AB143" s="20"/>
      <c r="AC143" s="20"/>
      <c r="AD143" s="20">
        <f>IFERROR(VLOOKUP(Data[[#This Row],[TDS]],'[7]Static Ext by TDS'!$A$5:$P$120,3,FALSE)+VLOOKUP(Data[[#This Row],[TDS]],'[7]Static Ext by TDS'!$A$5:$P$120,6,FALSE),0)</f>
        <v>0</v>
      </c>
      <c r="AE143" s="20">
        <f>IFERROR(VLOOKUP(Data[[#This Row],[TDS]],'[7]Static Int by TDS'!$A$6:$O$305,3,FALSE)+VLOOKUP(Data[[#This Row],[TDS]],'[7]Static Int by TDS'!$A$6:$O$305,6,FALSE),0)</f>
        <v>1</v>
      </c>
      <c r="AF143" s="20" t="str">
        <f>VLOOKUP(Data[[#This Row],[DEVELOPMENT]],[8]Developments!$A$2:$A$312,1,FALSE)</f>
        <v>HUNTS POINT AVENUE REHAB</v>
      </c>
    </row>
    <row r="144" spans="1:32" x14ac:dyDescent="0.25">
      <c r="A144" s="17" t="s">
        <v>139</v>
      </c>
      <c r="B144" s="17" t="str">
        <f>VLOOKUP(Data[[#This Row],[DEVELOPMENT]],'[2]NYCHA_Development_Data_Book 201'!$B$2:$AY$324,40,FALSE)</f>
        <v>BROOKLYN</v>
      </c>
      <c r="C144" t="str">
        <f>VLOOKUP(Data[[#This Row],[DEVELOPMENT]],'[3]Cheat-Sheet'!$D$2:$Q$341,2,FALSE)</f>
        <v>BUSHWICK</v>
      </c>
      <c r="D144" t="str">
        <f>IF(VLOOKUP(Data[[#This Row],[DEVELOPMENT]],'[4]IC Categories'!$A$2:$G$325,3,FALSE)=0,"",VLOOKUP(Data[[#This Row],[DEVELOPMENT]],'[4]IC Categories'!$A$2:$G$325,3,FALSE))</f>
        <v/>
      </c>
      <c r="E144">
        <f>VLOOKUP(Data[[#This Row],[DEVELOPMENT]],'[2]NYCHA_Development_Data_Book 201'!$B$2:$AY$324,21,FALSE)</f>
        <v>1</v>
      </c>
      <c r="F144">
        <f>VLOOKUP(Data[[#This Row],[DEVELOPMENT]],'[2]NYCHA_Development_Data_Book 201'!$B$2:$AY$324,23,FALSE)</f>
        <v>1</v>
      </c>
      <c r="G144">
        <f>VLOOKUP(Data[[#This Row],[DEVELOPMENT]],'[2]NYCHA_Development_Data_Book 201'!$B$2:$AY$324,12,FALSE)</f>
        <v>209</v>
      </c>
      <c r="H144" t="s">
        <v>472</v>
      </c>
      <c r="I144" t="s">
        <v>471</v>
      </c>
      <c r="J144">
        <f>IFERROR(VLOOKUP(Data[[#This Row],[DEVELOPMENT]],[5]!Table1[[DEVELOPMENTS]:[Installation Date of Exterior Compactor]],4,FALSE),0)</f>
        <v>0</v>
      </c>
      <c r="K144" s="20">
        <f>IFERROR(VLOOKUP(Data[[#This Row],[DEVELOPMENT]],[5]!Table1[[DEVELOPMENTS]:[Installation Date of Exterior Compactor]],7,FALSE),0)</f>
        <v>0</v>
      </c>
      <c r="L144" s="42" t="str">
        <f>IF(Data[[#This Row],['# Interior Compactors]]=0,"",VLOOKUP(Data[[#This Row],[DEVELOPMENT]],[5]!Table1[[DEVELOPMENTS]:[Installation Date of Exterior Compactor]],5,FALSE))</f>
        <v/>
      </c>
      <c r="M144" s="43" t="str">
        <f>IF(Data[[#This Row],['# Exterior Compactors]]=0,"",VLOOKUP(Data[[#This Row],[DEVELOPMENT]],[5]!Table1[[DEVELOPMENTS]:[Installation Date of Exterior Compactor]],8,FALSE))</f>
        <v/>
      </c>
      <c r="N144">
        <f>Data[[#This Row],['# Interior Compactors]]</f>
        <v>0</v>
      </c>
      <c r="O144" s="20">
        <f>1</f>
        <v>1</v>
      </c>
      <c r="P144" s="20">
        <f>1</f>
        <v>1</v>
      </c>
      <c r="Q144" s="20">
        <f>1</f>
        <v>1</v>
      </c>
      <c r="R144" s="20">
        <f>1</f>
        <v>1</v>
      </c>
      <c r="S144" s="20">
        <f>1</f>
        <v>1</v>
      </c>
      <c r="T144" s="20">
        <f>Data[[#This Row],[DUs]]</f>
        <v>209</v>
      </c>
      <c r="U14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4" s="101">
        <f>VLOOKUP(Data[[#This Row],[DEVELOPMENT]],'[2]NYCHA_Development_Data_Book 201'!$B$2:$E$324,3,FALSE)</f>
        <v>109</v>
      </c>
      <c r="Y144" s="20" t="s">
        <v>473</v>
      </c>
      <c r="Z144" s="20">
        <f>IFERROR(VLOOKUP(Data[[#This Row],[TDS]],'[7]Static Ext by TDS'!$A$5:$E$120,2,FALSE),0)</f>
        <v>0</v>
      </c>
      <c r="AA144" s="20">
        <f>IFERROR(VLOOKUP(Data[[#This Row],[TDS]],'[7]Static Int by TDS'!$A$6:$O$305,2,FALSE),0)</f>
        <v>1</v>
      </c>
      <c r="AB144" s="20"/>
      <c r="AC144" s="20"/>
      <c r="AD144" s="20">
        <f>IFERROR(VLOOKUP(Data[[#This Row],[TDS]],'[7]Static Ext by TDS'!$A$5:$P$120,3,FALSE)+VLOOKUP(Data[[#This Row],[TDS]],'[7]Static Ext by TDS'!$A$5:$P$120,6,FALSE),0)</f>
        <v>0</v>
      </c>
      <c r="AE144" s="20">
        <f>IFERROR(VLOOKUP(Data[[#This Row],[TDS]],'[7]Static Int by TDS'!$A$6:$O$305,3,FALSE)+VLOOKUP(Data[[#This Row],[TDS]],'[7]Static Int by TDS'!$A$6:$O$305,6,FALSE),0)</f>
        <v>1</v>
      </c>
      <c r="AF144" s="20" t="str">
        <f>VLOOKUP(Data[[#This Row],[DEVELOPMENT]],[8]Developments!$A$2:$A$312,1,FALSE)</f>
        <v>HYLAN</v>
      </c>
    </row>
    <row r="145" spans="1:32" x14ac:dyDescent="0.25">
      <c r="A145" t="s">
        <v>255</v>
      </c>
      <c r="B145" s="20" t="str">
        <f>VLOOKUP(Data[[#This Row],[DEVELOPMENT]],'[2]NYCHA_Development_Data_Book 201'!$B$2:$AY$324,40,FALSE)</f>
        <v>BROOKLYN</v>
      </c>
      <c r="C145" s="20" t="str">
        <f>VLOOKUP(Data[[#This Row],[DEVELOPMENT]],'[3]Cheat-Sheet'!$D$2:$Q$341,2,FALSE)</f>
        <v>TAYLOR STREET-WYTHE AVENUE</v>
      </c>
      <c r="D145" s="20">
        <f>IF(VLOOKUP(Data[[#This Row],[DEVELOPMENT]],'[4]IC Categories'!$A$2:$G$325,3,FALSE)=0,"",VLOOKUP(Data[[#This Row],[DEVELOPMENT]],'[4]IC Categories'!$A$2:$G$325,3,FALSE))</f>
        <v>2019</v>
      </c>
      <c r="E145" s="20">
        <f>VLOOKUP(Data[[#This Row],[DEVELOPMENT]],'[2]NYCHA_Development_Data_Book 201'!$B$2:$AY$324,21,FALSE)</f>
        <v>6</v>
      </c>
      <c r="F145" s="20">
        <f>VLOOKUP(Data[[#This Row],[DEVELOPMENT]],'[2]NYCHA_Development_Data_Book 201'!$B$2:$AY$324,23,FALSE)</f>
        <v>6</v>
      </c>
      <c r="G145" s="20">
        <f>VLOOKUP(Data[[#This Row],[DEVELOPMENT]],'[2]NYCHA_Development_Data_Book 201'!$B$2:$AY$324,12,FALSE)</f>
        <v>741</v>
      </c>
      <c r="J145">
        <f>IFERROR(VLOOKUP(Data[[#This Row],[DEVELOPMENT]],[5]!Table1[[DEVELOPMENTS]:[Installation Date of Exterior Compactor]],4,FALSE),0)</f>
        <v>0</v>
      </c>
      <c r="K145" s="20">
        <f>IFERROR(VLOOKUP(Data[[#This Row],[DEVELOPMENT]],[5]!Table1[[DEVELOPMENTS]:[Installation Date of Exterior Compactor]],7,FALSE),0)</f>
        <v>0</v>
      </c>
      <c r="L145" s="42" t="str">
        <f>IF(Data[[#This Row],['# Interior Compactors]]=0,"",VLOOKUP(Data[[#This Row],[DEVELOPMENT]],[5]!Table1[[DEVELOPMENTS]:[Installation Date of Exterior Compactor]],5,FALSE))</f>
        <v/>
      </c>
      <c r="M145" s="43" t="str">
        <f>IF(Data[[#This Row],['# Exterior Compactors]]=0,"",VLOOKUP(Data[[#This Row],[DEVELOPMENT]],[5]!Table1[[DEVELOPMENTS]:[Installation Date of Exterior Compactor]],8,FALSE))</f>
        <v/>
      </c>
      <c r="N145" s="20">
        <f>Data[[#This Row],['# Interior Compactors]]</f>
        <v>0</v>
      </c>
      <c r="O145" s="20">
        <f>1</f>
        <v>1</v>
      </c>
      <c r="P145" s="20">
        <f>1</f>
        <v>1</v>
      </c>
      <c r="Q145" s="20">
        <f>1</f>
        <v>1</v>
      </c>
      <c r="R145" s="20">
        <f>1</f>
        <v>1</v>
      </c>
      <c r="S145" s="20">
        <f>1</f>
        <v>1</v>
      </c>
      <c r="T145" s="20">
        <f>Data[[#This Row],[DUs]]</f>
        <v>741</v>
      </c>
      <c r="U14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5" s="101">
        <f>VLOOKUP(Data[[#This Row],[DEVELOPMENT]],'[2]NYCHA_Development_Data_Book 201'!$B$2:$E$324,3,FALSE)</f>
        <v>140</v>
      </c>
      <c r="Y145" s="20" t="s">
        <v>473</v>
      </c>
      <c r="Z145" s="20">
        <f>IFERROR(VLOOKUP(Data[[#This Row],[TDS]],'[7]Static Ext by TDS'!$A$5:$E$120,2,FALSE),0)</f>
        <v>2</v>
      </c>
      <c r="AA145" s="20">
        <f>IFERROR(VLOOKUP(Data[[#This Row],[TDS]],'[7]Static Int by TDS'!$A$6:$O$305,2,FALSE),0)</f>
        <v>6</v>
      </c>
      <c r="AB145" s="20"/>
      <c r="AC145" s="20"/>
      <c r="AD145" s="20">
        <f>IFERROR(VLOOKUP(Data[[#This Row],[TDS]],'[7]Static Ext by TDS'!$A$5:$P$120,3,FALSE)+VLOOKUP(Data[[#This Row],[TDS]],'[7]Static Ext by TDS'!$A$5:$P$120,6,FALSE),0)</f>
        <v>2</v>
      </c>
      <c r="AE145" s="20">
        <f>IFERROR(VLOOKUP(Data[[#This Row],[TDS]],'[7]Static Int by TDS'!$A$6:$O$305,3,FALSE)+VLOOKUP(Data[[#This Row],[TDS]],'[7]Static Int by TDS'!$A$6:$O$305,6,FALSE),0)</f>
        <v>6</v>
      </c>
      <c r="AF145" s="20" t="str">
        <f>VLOOKUP(Data[[#This Row],[DEVELOPMENT]],[8]Developments!$A$2:$A$312,1,FALSE)</f>
        <v>INDEPENDENCE</v>
      </c>
    </row>
    <row r="146" spans="1:32" x14ac:dyDescent="0.25">
      <c r="A146" t="s">
        <v>256</v>
      </c>
      <c r="B146" s="20" t="str">
        <f>VLOOKUP(Data[[#This Row],[DEVELOPMENT]],'[2]NYCHA_Development_Data_Book 201'!$B$2:$AY$324,40,FALSE)</f>
        <v>BROOKLYN</v>
      </c>
      <c r="C146" s="20" t="str">
        <f>VLOOKUP(Data[[#This Row],[DEVELOPMENT]],'[3]Cheat-Sheet'!$D$2:$Q$341,2,FALSE)</f>
        <v>INGERSOLL</v>
      </c>
      <c r="D146" s="20" t="str">
        <f>IF(VLOOKUP(Data[[#This Row],[DEVELOPMENT]],'[4]IC Categories'!$A$2:$G$325,3,FALSE)=0,"",VLOOKUP(Data[[#This Row],[DEVELOPMENT]],'[4]IC Categories'!$A$2:$G$325,3,FALSE))</f>
        <v/>
      </c>
      <c r="E146" s="20">
        <f>VLOOKUP(Data[[#This Row],[DEVELOPMENT]],'[2]NYCHA_Development_Data_Book 201'!$B$2:$AY$324,21,FALSE)</f>
        <v>20</v>
      </c>
      <c r="F146" s="20">
        <f>VLOOKUP(Data[[#This Row],[DEVELOPMENT]],'[2]NYCHA_Development_Data_Book 201'!$B$2:$AY$324,23,FALSE)</f>
        <v>46</v>
      </c>
      <c r="G146" s="20">
        <f>VLOOKUP(Data[[#This Row],[DEVELOPMENT]],'[2]NYCHA_Development_Data_Book 201'!$B$2:$AY$324,12,FALSE)</f>
        <v>1830</v>
      </c>
      <c r="J146">
        <f>IFERROR(VLOOKUP(Data[[#This Row],[DEVELOPMENT]],[5]!Table1[[DEVELOPMENTS]:[Installation Date of Exterior Compactor]],4,FALSE),0)</f>
        <v>0</v>
      </c>
      <c r="K146" s="20">
        <f>IFERROR(VLOOKUP(Data[[#This Row],[DEVELOPMENT]],[5]!Table1[[DEVELOPMENTS]:[Installation Date of Exterior Compactor]],7,FALSE),0)</f>
        <v>0</v>
      </c>
      <c r="L146" s="42" t="str">
        <f>IF(Data[[#This Row],['# Interior Compactors]]=0,"",VLOOKUP(Data[[#This Row],[DEVELOPMENT]],[5]!Table1[[DEVELOPMENTS]:[Installation Date of Exterior Compactor]],5,FALSE))</f>
        <v/>
      </c>
      <c r="M146" s="43" t="str">
        <f>IF(Data[[#This Row],['# Exterior Compactors]]=0,"",VLOOKUP(Data[[#This Row],[DEVELOPMENT]],[5]!Table1[[DEVELOPMENTS]:[Installation Date of Exterior Compactor]],8,FALSE))</f>
        <v/>
      </c>
      <c r="N146" s="20">
        <f>Data[[#This Row],['# Interior Compactors]]</f>
        <v>0</v>
      </c>
      <c r="O146" s="20">
        <f>1</f>
        <v>1</v>
      </c>
      <c r="P146" s="20">
        <f>1</f>
        <v>1</v>
      </c>
      <c r="Q146" s="20">
        <f>1</f>
        <v>1</v>
      </c>
      <c r="R146" s="20">
        <f>1</f>
        <v>1</v>
      </c>
      <c r="S146" s="20">
        <f>1</f>
        <v>1</v>
      </c>
      <c r="T146" s="20">
        <f>Data[[#This Row],[DUs]]</f>
        <v>1830</v>
      </c>
      <c r="U14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6" s="101">
        <f>VLOOKUP(Data[[#This Row],[DEVELOPMENT]],'[2]NYCHA_Development_Data_Book 201'!$B$2:$E$324,3,FALSE)</f>
        <v>14</v>
      </c>
      <c r="Y146" s="20" t="s">
        <v>473</v>
      </c>
      <c r="Z146" s="20">
        <f>IFERROR(VLOOKUP(Data[[#This Row],[TDS]],'[7]Static Ext by TDS'!$A$5:$E$120,2,FALSE),0)</f>
        <v>2</v>
      </c>
      <c r="AA146" s="20">
        <f>IFERROR(VLOOKUP(Data[[#This Row],[TDS]],'[7]Static Int by TDS'!$A$6:$O$305,2,FALSE),0)</f>
        <v>44</v>
      </c>
      <c r="AB146" s="20"/>
      <c r="AC146" s="20"/>
      <c r="AD146" s="20">
        <f>IFERROR(VLOOKUP(Data[[#This Row],[TDS]],'[7]Static Ext by TDS'!$A$5:$P$120,3,FALSE)+VLOOKUP(Data[[#This Row],[TDS]],'[7]Static Ext by TDS'!$A$5:$P$120,6,FALSE),0)</f>
        <v>2</v>
      </c>
      <c r="AE146" s="20">
        <f>IFERROR(VLOOKUP(Data[[#This Row],[TDS]],'[7]Static Int by TDS'!$A$6:$O$305,3,FALSE)+VLOOKUP(Data[[#This Row],[TDS]],'[7]Static Int by TDS'!$A$6:$O$305,6,FALSE),0)</f>
        <v>44</v>
      </c>
      <c r="AF146" s="20" t="str">
        <f>VLOOKUP(Data[[#This Row],[DEVELOPMENT]],[8]Developments!$A$2:$A$312,1,FALSE)</f>
        <v>INGERSOLL</v>
      </c>
    </row>
    <row r="147" spans="1:32" x14ac:dyDescent="0.25">
      <c r="A147" t="s">
        <v>257</v>
      </c>
      <c r="B147" s="20" t="str">
        <f>VLOOKUP(Data[[#This Row],[DEVELOPMENT]],'[2]NYCHA_Development_Data_Book 201'!$B$2:$AY$324,40,FALSE)</f>
        <v>QUEENS</v>
      </c>
      <c r="C147" s="20" t="str">
        <f>VLOOKUP(Data[[#This Row],[DEVELOPMENT]],'[3]Cheat-Sheet'!$D$2:$Q$341,2,FALSE)</f>
        <v>BAISLEY PARK</v>
      </c>
      <c r="D147" s="20" t="str">
        <f>IF(VLOOKUP(Data[[#This Row],[DEVELOPMENT]],'[4]IC Categories'!$A$2:$G$325,3,FALSE)=0,"",VLOOKUP(Data[[#This Row],[DEVELOPMENT]],'[4]IC Categories'!$A$2:$G$325,3,FALSE))</f>
        <v/>
      </c>
      <c r="E147" s="20">
        <f>VLOOKUP(Data[[#This Row],[DEVELOPMENT]],'[2]NYCHA_Development_Data_Book 201'!$B$2:$AY$324,21,FALSE)</f>
        <v>1</v>
      </c>
      <c r="F147" s="20">
        <f>VLOOKUP(Data[[#This Row],[DEVELOPMENT]],'[2]NYCHA_Development_Data_Book 201'!$B$2:$AY$324,23,FALSE)</f>
        <v>1</v>
      </c>
      <c r="G147" s="20">
        <f>VLOOKUP(Data[[#This Row],[DEVELOPMENT]],'[2]NYCHA_Development_Data_Book 201'!$B$2:$AY$324,12,FALSE)</f>
        <v>146</v>
      </c>
      <c r="J147">
        <f>IFERROR(VLOOKUP(Data[[#This Row],[DEVELOPMENT]],[5]!Table1[[DEVELOPMENTS]:[Installation Date of Exterior Compactor]],4,FALSE),0)</f>
        <v>0</v>
      </c>
      <c r="K147" s="20">
        <f>IFERROR(VLOOKUP(Data[[#This Row],[DEVELOPMENT]],[5]!Table1[[DEVELOPMENTS]:[Installation Date of Exterior Compactor]],7,FALSE),0)</f>
        <v>0</v>
      </c>
      <c r="L147" s="42" t="str">
        <f>IF(Data[[#This Row],['# Interior Compactors]]=0,"",VLOOKUP(Data[[#This Row],[DEVELOPMENT]],[5]!Table1[[DEVELOPMENTS]:[Installation Date of Exterior Compactor]],5,FALSE))</f>
        <v/>
      </c>
      <c r="M147" s="43" t="str">
        <f>IF(Data[[#This Row],['# Exterior Compactors]]=0,"",VLOOKUP(Data[[#This Row],[DEVELOPMENT]],[5]!Table1[[DEVELOPMENTS]:[Installation Date of Exterior Compactor]],8,FALSE))</f>
        <v/>
      </c>
      <c r="N147" s="20">
        <f>Data[[#This Row],['# Interior Compactors]]</f>
        <v>0</v>
      </c>
      <c r="O147" s="20">
        <f>1</f>
        <v>1</v>
      </c>
      <c r="P147" s="20">
        <f>1</f>
        <v>1</v>
      </c>
      <c r="Q147" s="20">
        <f>1</f>
        <v>1</v>
      </c>
      <c r="R147" s="20">
        <f>1</f>
        <v>1</v>
      </c>
      <c r="S147" s="20">
        <f>1</f>
        <v>1</v>
      </c>
      <c r="T147" s="20">
        <f>Data[[#This Row],[DUs]]</f>
        <v>146</v>
      </c>
      <c r="U14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7" s="101">
        <f>VLOOKUP(Data[[#This Row],[DEVELOPMENT]],'[2]NYCHA_Development_Data_Book 201'!$B$2:$E$324,3,FALSE)</f>
        <v>316</v>
      </c>
      <c r="Y147" s="20"/>
      <c r="Z147" s="20">
        <f>IFERROR(VLOOKUP(Data[[#This Row],[TDS]],'[7]Static Ext by TDS'!$A$5:$E$120,2,FALSE),0)</f>
        <v>0</v>
      </c>
      <c r="AA147" s="20">
        <f>IFERROR(VLOOKUP(Data[[#This Row],[TDS]],'[7]Static Int by TDS'!$A$6:$O$305,2,FALSE),0)</f>
        <v>2</v>
      </c>
      <c r="AB147" s="20"/>
      <c r="AC147" s="20"/>
      <c r="AD147" s="20">
        <f>IFERROR(VLOOKUP(Data[[#This Row],[TDS]],'[7]Static Ext by TDS'!$A$5:$P$120,3,FALSE)+VLOOKUP(Data[[#This Row],[TDS]],'[7]Static Ext by TDS'!$A$5:$P$120,6,FALSE),0)</f>
        <v>0</v>
      </c>
      <c r="AE147" s="20">
        <f>IFERROR(VLOOKUP(Data[[#This Row],[TDS]],'[7]Static Int by TDS'!$A$6:$O$305,3,FALSE)+VLOOKUP(Data[[#This Row],[TDS]],'[7]Static Int by TDS'!$A$6:$O$305,6,FALSE),0)</f>
        <v>2</v>
      </c>
      <c r="AF147" s="20" t="str">
        <f>VLOOKUP(Data[[#This Row],[DEVELOPMENT]],[8]Developments!$A$2:$A$312,1,FALSE)</f>
        <v>INTERNATIONAL TOWER</v>
      </c>
    </row>
    <row r="148" spans="1:32" x14ac:dyDescent="0.25">
      <c r="A148" t="s">
        <v>258</v>
      </c>
      <c r="B148" s="20" t="str">
        <f>VLOOKUP(Data[[#This Row],[DEVELOPMENT]],'[2]NYCHA_Development_Data_Book 201'!$B$2:$AY$324,40,FALSE)</f>
        <v>MANHATTAN</v>
      </c>
      <c r="C148" s="20" t="str">
        <f>VLOOKUP(Data[[#This Row],[DEVELOPMENT]],'[3]Cheat-Sheet'!$D$2:$Q$341,2,FALSE)</f>
        <v>ISAACS</v>
      </c>
      <c r="D148" s="20" t="str">
        <f>IF(VLOOKUP(Data[[#This Row],[DEVELOPMENT]],'[4]IC Categories'!$A$2:$G$325,3,FALSE)=0,"",VLOOKUP(Data[[#This Row],[DEVELOPMENT]],'[4]IC Categories'!$A$2:$G$325,3,FALSE))</f>
        <v/>
      </c>
      <c r="E148" s="20">
        <f>VLOOKUP(Data[[#This Row],[DEVELOPMENT]],'[2]NYCHA_Development_Data_Book 201'!$B$2:$AY$324,21,FALSE)</f>
        <v>3</v>
      </c>
      <c r="F148" s="20">
        <f>VLOOKUP(Data[[#This Row],[DEVELOPMENT]],'[2]NYCHA_Development_Data_Book 201'!$B$2:$AY$324,23,FALSE)</f>
        <v>4</v>
      </c>
      <c r="G148" s="20">
        <f>VLOOKUP(Data[[#This Row],[DEVELOPMENT]],'[2]NYCHA_Development_Data_Book 201'!$B$2:$AY$324,12,FALSE)</f>
        <v>634</v>
      </c>
      <c r="J148">
        <f>IFERROR(VLOOKUP(Data[[#This Row],[DEVELOPMENT]],[5]!Table1[[DEVELOPMENTS]:[Installation Date of Exterior Compactor]],4,FALSE),0)</f>
        <v>0</v>
      </c>
      <c r="K148" s="20">
        <f>IFERROR(VLOOKUP(Data[[#This Row],[DEVELOPMENT]],[5]!Table1[[DEVELOPMENTS]:[Installation Date of Exterior Compactor]],7,FALSE),0)</f>
        <v>0</v>
      </c>
      <c r="L148" s="42" t="str">
        <f>IF(Data[[#This Row],['# Interior Compactors]]=0,"",VLOOKUP(Data[[#This Row],[DEVELOPMENT]],[5]!Table1[[DEVELOPMENTS]:[Installation Date of Exterior Compactor]],5,FALSE))</f>
        <v/>
      </c>
      <c r="M148" s="43" t="str">
        <f>IF(Data[[#This Row],['# Exterior Compactors]]=0,"",VLOOKUP(Data[[#This Row],[DEVELOPMENT]],[5]!Table1[[DEVELOPMENTS]:[Installation Date of Exterior Compactor]],8,FALSE))</f>
        <v/>
      </c>
      <c r="N148" s="20">
        <f>Data[[#This Row],['# Interior Compactors]]</f>
        <v>0</v>
      </c>
      <c r="O148" s="20">
        <f>1</f>
        <v>1</v>
      </c>
      <c r="P148" s="20">
        <f>1</f>
        <v>1</v>
      </c>
      <c r="Q148" s="20">
        <f>1</f>
        <v>1</v>
      </c>
      <c r="R148" s="20">
        <f>1</f>
        <v>1</v>
      </c>
      <c r="S148" s="20">
        <f>1</f>
        <v>1</v>
      </c>
      <c r="T148" s="20">
        <f>Data[[#This Row],[DUs]]</f>
        <v>634</v>
      </c>
      <c r="U14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8" s="101">
        <f>VLOOKUP(Data[[#This Row],[DEVELOPMENT]],'[2]NYCHA_Development_Data_Book 201'!$B$2:$E$324,3,FALSE)</f>
        <v>139</v>
      </c>
      <c r="Y148" s="20"/>
      <c r="Z148" s="20">
        <f>IFERROR(VLOOKUP(Data[[#This Row],[TDS]],'[7]Static Ext by TDS'!$A$5:$E$120,2,FALSE),0)</f>
        <v>0</v>
      </c>
      <c r="AA148" s="20">
        <f>IFERROR(VLOOKUP(Data[[#This Row],[TDS]],'[7]Static Int by TDS'!$A$6:$O$305,2,FALSE),0)</f>
        <v>6</v>
      </c>
      <c r="AB148" s="20"/>
      <c r="AC148" s="20"/>
      <c r="AD148" s="20">
        <f>IFERROR(VLOOKUP(Data[[#This Row],[TDS]],'[7]Static Ext by TDS'!$A$5:$P$120,3,FALSE)+VLOOKUP(Data[[#This Row],[TDS]],'[7]Static Ext by TDS'!$A$5:$P$120,6,FALSE),0)</f>
        <v>0</v>
      </c>
      <c r="AE148" s="20">
        <f>IFERROR(VLOOKUP(Data[[#This Row],[TDS]],'[7]Static Int by TDS'!$A$6:$O$305,3,FALSE)+VLOOKUP(Data[[#This Row],[TDS]],'[7]Static Int by TDS'!$A$6:$O$305,6,FALSE),0)</f>
        <v>6</v>
      </c>
      <c r="AF148" s="20" t="str">
        <f>VLOOKUP(Data[[#This Row],[DEVELOPMENT]],[8]Developments!$A$2:$A$312,1,FALSE)</f>
        <v>ISAACS</v>
      </c>
    </row>
    <row r="149" spans="1:32" x14ac:dyDescent="0.25">
      <c r="A149" s="17" t="s">
        <v>35</v>
      </c>
      <c r="B149" s="17" t="str">
        <f>VLOOKUP(Data[[#This Row],[DEVELOPMENT]],'[2]NYCHA_Development_Data_Book 201'!$B$2:$AY$324,40,FALSE)</f>
        <v>BRONX</v>
      </c>
      <c r="C149" t="str">
        <f>VLOOKUP(Data[[#This Row],[DEVELOPMENT]],'[3]Cheat-Sheet'!$D$2:$Q$341,2,FALSE)</f>
        <v>MORRISANIA AIR RIGHTS</v>
      </c>
      <c r="D149" t="str">
        <f>IF(VLOOKUP(Data[[#This Row],[DEVELOPMENT]],'[4]IC Categories'!$A$2:$G$325,3,FALSE)=0,"",VLOOKUP(Data[[#This Row],[DEVELOPMENT]],'[4]IC Categories'!$A$2:$G$325,3,FALSE))</f>
        <v/>
      </c>
      <c r="E149">
        <f>VLOOKUP(Data[[#This Row],[DEVELOPMENT]],'[2]NYCHA_Development_Data_Book 201'!$B$2:$AY$324,21,FALSE)</f>
        <v>7</v>
      </c>
      <c r="F149">
        <f>VLOOKUP(Data[[#This Row],[DEVELOPMENT]],'[2]NYCHA_Development_Data_Book 201'!$B$2:$AY$324,23,FALSE)</f>
        <v>7</v>
      </c>
      <c r="G149">
        <f>VLOOKUP(Data[[#This Row],[DEVELOPMENT]],'[2]NYCHA_Development_Data_Book 201'!$B$2:$AY$324,12,FALSE)</f>
        <v>868</v>
      </c>
      <c r="H149" t="s">
        <v>472</v>
      </c>
      <c r="I149" t="s">
        <v>471</v>
      </c>
      <c r="J149">
        <f>IFERROR(VLOOKUP(Data[[#This Row],[DEVELOPMENT]],[5]!Table1[[DEVELOPMENTS]:[Installation Date of Exterior Compactor]],4,FALSE),0)</f>
        <v>0</v>
      </c>
      <c r="K149" s="20">
        <f>IFERROR(VLOOKUP(Data[[#This Row],[DEVELOPMENT]],[5]!Table1[[DEVELOPMENTS]:[Installation Date of Exterior Compactor]],7,FALSE),0)</f>
        <v>0</v>
      </c>
      <c r="L149" s="42" t="str">
        <f>IF(Data[[#This Row],['# Interior Compactors]]=0,"",VLOOKUP(Data[[#This Row],[DEVELOPMENT]],[5]!Table1[[DEVELOPMENTS]:[Installation Date of Exterior Compactor]],5,FALSE))</f>
        <v/>
      </c>
      <c r="M149" s="43" t="str">
        <f>IF(Data[[#This Row],['# Exterior Compactors]]=0,"",VLOOKUP(Data[[#This Row],[DEVELOPMENT]],[5]!Table1[[DEVELOPMENTS]:[Installation Date of Exterior Compactor]],8,FALSE))</f>
        <v/>
      </c>
      <c r="N149">
        <f>Data[[#This Row],['# Interior Compactors]]</f>
        <v>0</v>
      </c>
      <c r="O149" s="20">
        <f>1</f>
        <v>1</v>
      </c>
      <c r="P149" s="20">
        <f>1</f>
        <v>1</v>
      </c>
      <c r="Q149" s="20">
        <f>1</f>
        <v>1</v>
      </c>
      <c r="R149" s="20">
        <f>1</f>
        <v>1</v>
      </c>
      <c r="S149" s="20">
        <f>1</f>
        <v>1</v>
      </c>
      <c r="T149" s="20">
        <f>Data[[#This Row],[DUs]]</f>
        <v>868</v>
      </c>
      <c r="U14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4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4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49" s="101">
        <f>VLOOKUP(Data[[#This Row],[DEVELOPMENT]],'[2]NYCHA_Development_Data_Book 201'!$B$2:$E$324,3,FALSE)</f>
        <v>120</v>
      </c>
      <c r="Y149" s="20"/>
      <c r="Z149" s="20">
        <f>IFERROR(VLOOKUP(Data[[#This Row],[TDS]],'[7]Static Ext by TDS'!$A$5:$E$120,2,FALSE),0)</f>
        <v>2</v>
      </c>
      <c r="AA149" s="20">
        <f>IFERROR(VLOOKUP(Data[[#This Row],[TDS]],'[7]Static Int by TDS'!$A$6:$O$305,2,FALSE),0)</f>
        <v>7</v>
      </c>
      <c r="AB149" s="20"/>
      <c r="AC149" s="20"/>
      <c r="AD149" s="20">
        <f>IFERROR(VLOOKUP(Data[[#This Row],[TDS]],'[7]Static Ext by TDS'!$A$5:$P$120,3,FALSE)+VLOOKUP(Data[[#This Row],[TDS]],'[7]Static Ext by TDS'!$A$5:$P$120,6,FALSE),0)</f>
        <v>2</v>
      </c>
      <c r="AE149" s="20">
        <f>IFERROR(VLOOKUP(Data[[#This Row],[TDS]],'[7]Static Int by TDS'!$A$6:$O$305,3,FALSE)+VLOOKUP(Data[[#This Row],[TDS]],'[7]Static Int by TDS'!$A$6:$O$305,6,FALSE),0)</f>
        <v>7</v>
      </c>
      <c r="AF149" s="20" t="str">
        <f>VLOOKUP(Data[[#This Row],[DEVELOPMENT]],[8]Developments!$A$2:$A$312,1,FALSE)</f>
        <v>JACKSON</v>
      </c>
    </row>
    <row r="150" spans="1:32" x14ac:dyDescent="0.25">
      <c r="A150" t="s">
        <v>112</v>
      </c>
      <c r="B150" t="str">
        <f>VLOOKUP(Data[[#This Row],[DEVELOPMENT]],'[2]NYCHA_Development_Data_Book 201'!$B$2:$AY$324,40,FALSE)</f>
        <v>MANHATTAN</v>
      </c>
      <c r="C150" t="str">
        <f>VLOOKUP(Data[[#This Row],[DEVELOPMENT]],'[3]Cheat-Sheet'!$D$2:$Q$341,2,FALSE)</f>
        <v>JEFFERSON</v>
      </c>
      <c r="D150">
        <f>IF(VLOOKUP(Data[[#This Row],[DEVELOPMENT]],'[4]IC Categories'!$A$2:$G$325,3,FALSE)=0,"",VLOOKUP(Data[[#This Row],[DEVELOPMENT]],'[4]IC Categories'!$A$2:$G$325,3,FALSE))</f>
        <v>2026</v>
      </c>
      <c r="E150">
        <f>VLOOKUP(Data[[#This Row],[DEVELOPMENT]],'[2]NYCHA_Development_Data_Book 201'!$B$2:$AY$324,21,FALSE)</f>
        <v>18</v>
      </c>
      <c r="F150">
        <f>VLOOKUP(Data[[#This Row],[DEVELOPMENT]],'[2]NYCHA_Development_Data_Book 201'!$B$2:$AY$324,23,FALSE)</f>
        <v>35</v>
      </c>
      <c r="G150">
        <f>VLOOKUP(Data[[#This Row],[DEVELOPMENT]],'[2]NYCHA_Development_Data_Book 201'!$B$2:$AY$324,12,FALSE)</f>
        <v>1486</v>
      </c>
      <c r="H150" t="s">
        <v>470</v>
      </c>
      <c r="I150" t="s">
        <v>475</v>
      </c>
      <c r="J150">
        <f>IFERROR(VLOOKUP(Data[[#This Row],[DEVELOPMENT]],[5]!Table1[[DEVELOPMENTS]:[Installation Date of Exterior Compactor]],4,FALSE),0)</f>
        <v>0</v>
      </c>
      <c r="K150" s="20">
        <f>IFERROR(VLOOKUP(Data[[#This Row],[DEVELOPMENT]],[5]!Table1[[DEVELOPMENTS]:[Installation Date of Exterior Compactor]],7,FALSE),0)</f>
        <v>0</v>
      </c>
      <c r="L150" s="42" t="str">
        <f>IF(Data[[#This Row],['# Interior Compactors]]=0,"",VLOOKUP(Data[[#This Row],[DEVELOPMENT]],[5]!Table1[[DEVELOPMENTS]:[Installation Date of Exterior Compactor]],5,FALSE))</f>
        <v/>
      </c>
      <c r="M150" s="43" t="str">
        <f>IF(Data[[#This Row],['# Exterior Compactors]]=0,"",VLOOKUP(Data[[#This Row],[DEVELOPMENT]],[5]!Table1[[DEVELOPMENTS]:[Installation Date of Exterior Compactor]],8,FALSE))</f>
        <v/>
      </c>
      <c r="N150">
        <f>Data[[#This Row],['# Interior Compactors]]</f>
        <v>0</v>
      </c>
      <c r="O150" s="20">
        <f>1</f>
        <v>1</v>
      </c>
      <c r="P150" s="20">
        <f>1</f>
        <v>1</v>
      </c>
      <c r="Q150" s="20">
        <f>1</f>
        <v>1</v>
      </c>
      <c r="R150" s="20">
        <f>1</f>
        <v>1</v>
      </c>
      <c r="S150" s="20">
        <f>1</f>
        <v>1</v>
      </c>
      <c r="T150" s="20">
        <f>Data[[#This Row],[DUs]]</f>
        <v>1486</v>
      </c>
      <c r="U15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0" s="101">
        <f>VLOOKUP(Data[[#This Row],[DEVELOPMENT]],'[2]NYCHA_Development_Data_Book 201'!$B$2:$E$324,3,FALSE)</f>
        <v>64</v>
      </c>
      <c r="Y150" s="20"/>
      <c r="Z150" s="20">
        <f>IFERROR(VLOOKUP(Data[[#This Row],[TDS]],'[7]Static Ext by TDS'!$A$5:$E$120,2,FALSE),0)</f>
        <v>4</v>
      </c>
      <c r="AA150" s="20">
        <f>IFERROR(VLOOKUP(Data[[#This Row],[TDS]],'[7]Static Int by TDS'!$A$6:$O$305,2,FALSE),0)</f>
        <v>34</v>
      </c>
      <c r="AB150" s="20"/>
      <c r="AC150" s="20"/>
      <c r="AD150" s="20">
        <f>IFERROR(VLOOKUP(Data[[#This Row],[TDS]],'[7]Static Ext by TDS'!$A$5:$P$120,3,FALSE)+VLOOKUP(Data[[#This Row],[TDS]],'[7]Static Ext by TDS'!$A$5:$P$120,6,FALSE),0)</f>
        <v>4</v>
      </c>
      <c r="AE150" s="20">
        <f>IFERROR(VLOOKUP(Data[[#This Row],[TDS]],'[7]Static Int by TDS'!$A$6:$O$305,3,FALSE)+VLOOKUP(Data[[#This Row],[TDS]],'[7]Static Int by TDS'!$A$6:$O$305,6,FALSE),0)</f>
        <v>34</v>
      </c>
      <c r="AF150" s="20" t="str">
        <f>VLOOKUP(Data[[#This Row],[DEVELOPMENT]],[8]Developments!$A$2:$A$312,1,FALSE)</f>
        <v>JEFFERSON</v>
      </c>
    </row>
    <row r="151" spans="1:32" x14ac:dyDescent="0.25">
      <c r="A151" t="s">
        <v>83</v>
      </c>
      <c r="B151" t="str">
        <f>VLOOKUP(Data[[#This Row],[DEVELOPMENT]],'[2]NYCHA_Development_Data_Book 201'!$B$2:$AY$324,40,FALSE)</f>
        <v>MANHATTAN</v>
      </c>
      <c r="C151" t="str">
        <f>VLOOKUP(Data[[#This Row],[DEVELOPMENT]],'[3]Cheat-Sheet'!$D$2:$Q$341,2,FALSE)</f>
        <v>JOHNSON</v>
      </c>
      <c r="D151">
        <f>IF(VLOOKUP(Data[[#This Row],[DEVELOPMENT]],'[4]IC Categories'!$A$2:$G$325,3,FALSE)=0,"",VLOOKUP(Data[[#This Row],[DEVELOPMENT]],'[4]IC Categories'!$A$2:$G$325,3,FALSE))</f>
        <v>2028</v>
      </c>
      <c r="E151">
        <f>VLOOKUP(Data[[#This Row],[DEVELOPMENT]],'[2]NYCHA_Development_Data_Book 201'!$B$2:$AY$324,21,FALSE)</f>
        <v>10</v>
      </c>
      <c r="F151">
        <f>VLOOKUP(Data[[#This Row],[DEVELOPMENT]],'[2]NYCHA_Development_Data_Book 201'!$B$2:$AY$324,23,FALSE)</f>
        <v>17</v>
      </c>
      <c r="G151">
        <f>VLOOKUP(Data[[#This Row],[DEVELOPMENT]],'[2]NYCHA_Development_Data_Book 201'!$B$2:$AY$324,12,FALSE)</f>
        <v>1296</v>
      </c>
      <c r="H151" t="s">
        <v>470</v>
      </c>
      <c r="I151" t="s">
        <v>478</v>
      </c>
      <c r="J151">
        <f>IFERROR(VLOOKUP(Data[[#This Row],[DEVELOPMENT]],[5]!Table1[[DEVELOPMENTS]:[Installation Date of Exterior Compactor]],4,FALSE),0)</f>
        <v>0</v>
      </c>
      <c r="K151" s="20">
        <f>IFERROR(VLOOKUP(Data[[#This Row],[DEVELOPMENT]],[5]!Table1[[DEVELOPMENTS]:[Installation Date of Exterior Compactor]],7,FALSE),0)</f>
        <v>0</v>
      </c>
      <c r="L151" s="42" t="str">
        <f>IF(Data[[#This Row],['# Interior Compactors]]=0,"",VLOOKUP(Data[[#This Row],[DEVELOPMENT]],[5]!Table1[[DEVELOPMENTS]:[Installation Date of Exterior Compactor]],5,FALSE))</f>
        <v/>
      </c>
      <c r="M151" s="43" t="str">
        <f>IF(Data[[#This Row],['# Exterior Compactors]]=0,"",VLOOKUP(Data[[#This Row],[DEVELOPMENT]],[5]!Table1[[DEVELOPMENTS]:[Installation Date of Exterior Compactor]],8,FALSE))</f>
        <v/>
      </c>
      <c r="N151">
        <f>Data[[#This Row],['# Interior Compactors]]</f>
        <v>0</v>
      </c>
      <c r="O151" s="20">
        <f>1</f>
        <v>1</v>
      </c>
      <c r="P151" s="20">
        <f>1</f>
        <v>1</v>
      </c>
      <c r="Q151" s="20">
        <f>1</f>
        <v>1</v>
      </c>
      <c r="R151" s="20">
        <f>1</f>
        <v>1</v>
      </c>
      <c r="S151" s="20">
        <f>1</f>
        <v>1</v>
      </c>
      <c r="T151" s="20">
        <f>Data[[#This Row],[DUs]]</f>
        <v>1296</v>
      </c>
      <c r="U15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1" s="101">
        <f>VLOOKUP(Data[[#This Row],[DEVELOPMENT]],'[2]NYCHA_Development_Data_Book 201'!$B$2:$E$324,3,FALSE)</f>
        <v>17</v>
      </c>
      <c r="Y151" s="20"/>
      <c r="Z151" s="20">
        <f>IFERROR(VLOOKUP(Data[[#This Row],[TDS]],'[7]Static Ext by TDS'!$A$5:$E$120,2,FALSE),0)</f>
        <v>2</v>
      </c>
      <c r="AA151" s="20">
        <f>IFERROR(VLOOKUP(Data[[#This Row],[TDS]],'[7]Static Int by TDS'!$A$6:$O$305,2,FALSE),0)</f>
        <v>17</v>
      </c>
      <c r="AB151" s="20"/>
      <c r="AC151" s="20"/>
      <c r="AD151" s="20">
        <f>IFERROR(VLOOKUP(Data[[#This Row],[TDS]],'[7]Static Ext by TDS'!$A$5:$P$120,3,FALSE)+VLOOKUP(Data[[#This Row],[TDS]],'[7]Static Ext by TDS'!$A$5:$P$120,6,FALSE),0)</f>
        <v>0</v>
      </c>
      <c r="AE151" s="20">
        <f>IFERROR(VLOOKUP(Data[[#This Row],[TDS]],'[7]Static Int by TDS'!$A$6:$O$305,3,FALSE)+VLOOKUP(Data[[#This Row],[TDS]],'[7]Static Int by TDS'!$A$6:$O$305,6,FALSE),0)</f>
        <v>17</v>
      </c>
      <c r="AF151" s="20" t="str">
        <f>VLOOKUP(Data[[#This Row],[DEVELOPMENT]],[8]Developments!$A$2:$A$312,1,FALSE)</f>
        <v>JOHNSON</v>
      </c>
    </row>
    <row r="152" spans="1:32" x14ac:dyDescent="0.25">
      <c r="A152" t="s">
        <v>131</v>
      </c>
      <c r="B152" t="str">
        <f>VLOOKUP(Data[[#This Row],[DEVELOPMENT]],'[2]NYCHA_Development_Data_Book 201'!$B$2:$AY$324,40,FALSE)</f>
        <v>MANHATTAN</v>
      </c>
      <c r="C152" t="str">
        <f>VLOOKUP(Data[[#This Row],[DEVELOPMENT]],'[3]Cheat-Sheet'!$D$2:$Q$341,2,FALSE)</f>
        <v>KING TOWERS</v>
      </c>
      <c r="D152" t="str">
        <f>IF(VLOOKUP(Data[[#This Row],[DEVELOPMENT]],'[4]IC Categories'!$A$2:$G$325,3,FALSE)=0,"",VLOOKUP(Data[[#This Row],[DEVELOPMENT]],'[4]IC Categories'!$A$2:$G$325,3,FALSE))</f>
        <v/>
      </c>
      <c r="E152">
        <f>VLOOKUP(Data[[#This Row],[DEVELOPMENT]],'[2]NYCHA_Development_Data_Book 201'!$B$2:$AY$324,21,FALSE)</f>
        <v>10</v>
      </c>
      <c r="F152">
        <f>VLOOKUP(Data[[#This Row],[DEVELOPMENT]],'[2]NYCHA_Development_Data_Book 201'!$B$2:$AY$324,23,FALSE)</f>
        <v>10</v>
      </c>
      <c r="G152">
        <f>VLOOKUP(Data[[#This Row],[DEVELOPMENT]],'[2]NYCHA_Development_Data_Book 201'!$B$2:$AY$324,12,FALSE)</f>
        <v>1377</v>
      </c>
      <c r="H152" t="s">
        <v>470</v>
      </c>
      <c r="I152" t="s">
        <v>478</v>
      </c>
      <c r="J152">
        <f>IFERROR(VLOOKUP(Data[[#This Row],[DEVELOPMENT]],[5]!Table1[[DEVELOPMENTS]:[Installation Date of Exterior Compactor]],4,FALSE),0)</f>
        <v>0</v>
      </c>
      <c r="K152" s="20">
        <f>IFERROR(VLOOKUP(Data[[#This Row],[DEVELOPMENT]],[5]!Table1[[DEVELOPMENTS]:[Installation Date of Exterior Compactor]],7,FALSE),0)</f>
        <v>0</v>
      </c>
      <c r="L152" s="42" t="str">
        <f>IF(Data[[#This Row],['# Interior Compactors]]=0,"",VLOOKUP(Data[[#This Row],[DEVELOPMENT]],[5]!Table1[[DEVELOPMENTS]:[Installation Date of Exterior Compactor]],5,FALSE))</f>
        <v/>
      </c>
      <c r="M152" s="43" t="str">
        <f>IF(Data[[#This Row],['# Exterior Compactors]]=0,"",VLOOKUP(Data[[#This Row],[DEVELOPMENT]],[5]!Table1[[DEVELOPMENTS]:[Installation Date of Exterior Compactor]],8,FALSE))</f>
        <v/>
      </c>
      <c r="N152">
        <f>Data[[#This Row],['# Interior Compactors]]</f>
        <v>0</v>
      </c>
      <c r="O152" s="20">
        <f>1</f>
        <v>1</v>
      </c>
      <c r="P152" s="20">
        <f>1</f>
        <v>1</v>
      </c>
      <c r="Q152" s="20">
        <f>1</f>
        <v>1</v>
      </c>
      <c r="R152" s="20">
        <f>1</f>
        <v>1</v>
      </c>
      <c r="S152" s="20">
        <f>1</f>
        <v>1</v>
      </c>
      <c r="T152" s="20">
        <f>Data[[#This Row],[DUs]]</f>
        <v>1377</v>
      </c>
      <c r="U15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2" s="101">
        <f>VLOOKUP(Data[[#This Row],[DEVELOPMENT]],'[2]NYCHA_Development_Data_Book 201'!$B$2:$E$324,3,FALSE)</f>
        <v>30</v>
      </c>
      <c r="Y152" s="20"/>
      <c r="Z152" s="20">
        <f>IFERROR(VLOOKUP(Data[[#This Row],[TDS]],'[7]Static Ext by TDS'!$A$5:$E$120,2,FALSE),0)</f>
        <v>2</v>
      </c>
      <c r="AA152" s="20">
        <f>IFERROR(VLOOKUP(Data[[#This Row],[TDS]],'[7]Static Int by TDS'!$A$6:$O$305,2,FALSE),0)</f>
        <v>10</v>
      </c>
      <c r="AB152" s="20"/>
      <c r="AC152" s="20"/>
      <c r="AD152" s="20">
        <f>IFERROR(VLOOKUP(Data[[#This Row],[TDS]],'[7]Static Ext by TDS'!$A$5:$P$120,3,FALSE)+VLOOKUP(Data[[#This Row],[TDS]],'[7]Static Ext by TDS'!$A$5:$P$120,6,FALSE),0)</f>
        <v>0</v>
      </c>
      <c r="AE152" s="20">
        <f>IFERROR(VLOOKUP(Data[[#This Row],[TDS]],'[7]Static Int by TDS'!$A$6:$O$305,3,FALSE)+VLOOKUP(Data[[#This Row],[TDS]],'[7]Static Int by TDS'!$A$6:$O$305,6,FALSE),0)</f>
        <v>10</v>
      </c>
      <c r="AF152" s="20" t="str">
        <f>VLOOKUP(Data[[#This Row],[DEVELOPMENT]],[8]Developments!$A$2:$A$312,1,FALSE)</f>
        <v>KING TOWERS</v>
      </c>
    </row>
    <row r="153" spans="1:32" x14ac:dyDescent="0.25">
      <c r="A153" t="s">
        <v>84</v>
      </c>
      <c r="B153" t="str">
        <f>VLOOKUP(Data[[#This Row],[DEVELOPMENT]],'[2]NYCHA_Development_Data_Book 201'!$B$2:$AY$324,40,FALSE)</f>
        <v>BROOKLYN</v>
      </c>
      <c r="C153" t="str">
        <f>VLOOKUP(Data[[#This Row],[DEVELOPMENT]],'[3]Cheat-Sheet'!$D$2:$Q$341,2,FALSE)</f>
        <v>KINGSBOROUGH</v>
      </c>
      <c r="D153" t="str">
        <f>IF(VLOOKUP(Data[[#This Row],[DEVELOPMENT]],'[4]IC Categories'!$A$2:$G$325,3,FALSE)=0,"",VLOOKUP(Data[[#This Row],[DEVELOPMENT]],'[4]IC Categories'!$A$2:$G$325,3,FALSE))</f>
        <v/>
      </c>
      <c r="E153">
        <f>VLOOKUP(Data[[#This Row],[DEVELOPMENT]],'[2]NYCHA_Development_Data_Book 201'!$B$2:$AY$324,21,FALSE)</f>
        <v>16</v>
      </c>
      <c r="F153">
        <f>VLOOKUP(Data[[#This Row],[DEVELOPMENT]],'[2]NYCHA_Development_Data_Book 201'!$B$2:$AY$324,23,FALSE)</f>
        <v>35</v>
      </c>
      <c r="G153">
        <f>VLOOKUP(Data[[#This Row],[DEVELOPMENT]],'[2]NYCHA_Development_Data_Book 201'!$B$2:$AY$324,12,FALSE)</f>
        <v>1154</v>
      </c>
      <c r="H153" t="s">
        <v>474</v>
      </c>
      <c r="I153" t="s">
        <v>471</v>
      </c>
      <c r="J153">
        <f>IFERROR(VLOOKUP(Data[[#This Row],[DEVELOPMENT]],[5]!Table1[[DEVELOPMENTS]:[Installation Date of Exterior Compactor]],4,FALSE),0)</f>
        <v>0</v>
      </c>
      <c r="K153" s="20">
        <f>IFERROR(VLOOKUP(Data[[#This Row],[DEVELOPMENT]],[5]!Table1[[DEVELOPMENTS]:[Installation Date of Exterior Compactor]],7,FALSE),0)</f>
        <v>0</v>
      </c>
      <c r="L153" s="42" t="str">
        <f>IF(Data[[#This Row],['# Interior Compactors]]=0,"",VLOOKUP(Data[[#This Row],[DEVELOPMENT]],[5]!Table1[[DEVELOPMENTS]:[Installation Date of Exterior Compactor]],5,FALSE))</f>
        <v/>
      </c>
      <c r="M153" s="43" t="str">
        <f>IF(Data[[#This Row],['# Exterior Compactors]]=0,"",VLOOKUP(Data[[#This Row],[DEVELOPMENT]],[5]!Table1[[DEVELOPMENTS]:[Installation Date of Exterior Compactor]],8,FALSE))</f>
        <v/>
      </c>
      <c r="N153">
        <f>Data[[#This Row],['# Interior Compactors]]</f>
        <v>0</v>
      </c>
      <c r="O153" s="20">
        <f>1</f>
        <v>1</v>
      </c>
      <c r="P153" s="20">
        <f>1</f>
        <v>1</v>
      </c>
      <c r="Q153" s="20">
        <f>1</f>
        <v>1</v>
      </c>
      <c r="R153" s="20">
        <f>1</f>
        <v>1</v>
      </c>
      <c r="S153" s="20">
        <f>1</f>
        <v>1</v>
      </c>
      <c r="T153" s="20">
        <f>Data[[#This Row],[DUs]]</f>
        <v>1154</v>
      </c>
      <c r="U15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3" s="101">
        <f>VLOOKUP(Data[[#This Row],[DEVELOPMENT]],'[2]NYCHA_Development_Data_Book 201'!$B$2:$E$324,3,FALSE)</f>
        <v>10</v>
      </c>
      <c r="Y153" s="20" t="s">
        <v>473</v>
      </c>
      <c r="Z153" s="20">
        <f>IFERROR(VLOOKUP(Data[[#This Row],[TDS]],'[7]Static Ext by TDS'!$A$5:$E$120,2,FALSE),0)</f>
        <v>0</v>
      </c>
      <c r="AA153" s="20">
        <f>IFERROR(VLOOKUP(Data[[#This Row],[TDS]],'[7]Static Int by TDS'!$A$6:$O$305,2,FALSE),0)</f>
        <v>35</v>
      </c>
      <c r="AB153" s="20"/>
      <c r="AC153" s="20"/>
      <c r="AD153" s="20">
        <f>IFERROR(VLOOKUP(Data[[#This Row],[TDS]],'[7]Static Ext by TDS'!$A$5:$P$120,3,FALSE)+VLOOKUP(Data[[#This Row],[TDS]],'[7]Static Ext by TDS'!$A$5:$P$120,6,FALSE),0)</f>
        <v>0</v>
      </c>
      <c r="AE153" s="20">
        <f>IFERROR(VLOOKUP(Data[[#This Row],[TDS]],'[7]Static Int by TDS'!$A$6:$O$305,3,FALSE)+VLOOKUP(Data[[#This Row],[TDS]],'[7]Static Int by TDS'!$A$6:$O$305,6,FALSE),0)</f>
        <v>35</v>
      </c>
      <c r="AF153" s="20" t="str">
        <f>VLOOKUP(Data[[#This Row],[DEVELOPMENT]],[8]Developments!$A$2:$A$312,1,FALSE)</f>
        <v>KINGSBOROUGH</v>
      </c>
    </row>
    <row r="154" spans="1:32" x14ac:dyDescent="0.25">
      <c r="A154" t="s">
        <v>259</v>
      </c>
      <c r="B154" s="20" t="str">
        <f>VLOOKUP(Data[[#This Row],[DEVELOPMENT]],'[2]NYCHA_Development_Data_Book 201'!$B$2:$AY$324,40,FALSE)</f>
        <v>BROOKLYN</v>
      </c>
      <c r="C154" s="20" t="str">
        <f>VLOOKUP(Data[[#This Row],[DEVELOPMENT]],'[3]Cheat-Sheet'!$D$2:$Q$341,2,FALSE)</f>
        <v>KINGSBOROUGH</v>
      </c>
      <c r="D154" s="20" t="str">
        <f>IF(VLOOKUP(Data[[#This Row],[DEVELOPMENT]],'[4]IC Categories'!$A$2:$G$325,3,FALSE)=0,"",VLOOKUP(Data[[#This Row],[DEVELOPMENT]],'[4]IC Categories'!$A$2:$G$325,3,FALSE))</f>
        <v/>
      </c>
      <c r="E154" s="20">
        <f>VLOOKUP(Data[[#This Row],[DEVELOPMENT]],'[2]NYCHA_Development_Data_Book 201'!$B$2:$AY$324,21,FALSE)</f>
        <v>1</v>
      </c>
      <c r="F154" s="20">
        <f>VLOOKUP(Data[[#This Row],[DEVELOPMENT]],'[2]NYCHA_Development_Data_Book 201'!$B$2:$AY$324,23,FALSE)</f>
        <v>1</v>
      </c>
      <c r="G154" s="20">
        <f>VLOOKUP(Data[[#This Row],[DEVELOPMENT]],'[2]NYCHA_Development_Data_Book 201'!$B$2:$AY$324,12,FALSE)</f>
        <v>182</v>
      </c>
      <c r="H154" t="s">
        <v>476</v>
      </c>
      <c r="J154">
        <f>IFERROR(VLOOKUP(Data[[#This Row],[DEVELOPMENT]],[5]!Table1[[DEVELOPMENTS]:[Installation Date of Exterior Compactor]],4,FALSE),0)</f>
        <v>0</v>
      </c>
      <c r="K154" s="20">
        <f>IFERROR(VLOOKUP(Data[[#This Row],[DEVELOPMENT]],[5]!Table1[[DEVELOPMENTS]:[Installation Date of Exterior Compactor]],7,FALSE),0)</f>
        <v>0</v>
      </c>
      <c r="L154" s="42" t="str">
        <f>IF(Data[[#This Row],['# Interior Compactors]]=0,"",VLOOKUP(Data[[#This Row],[DEVELOPMENT]],[5]!Table1[[DEVELOPMENTS]:[Installation Date of Exterior Compactor]],5,FALSE))</f>
        <v/>
      </c>
      <c r="M154" s="43" t="str">
        <f>IF(Data[[#This Row],['# Exterior Compactors]]=0,"",VLOOKUP(Data[[#This Row],[DEVELOPMENT]],[5]!Table1[[DEVELOPMENTS]:[Installation Date of Exterior Compactor]],8,FALSE))</f>
        <v/>
      </c>
      <c r="N154" s="20">
        <f>Data[[#This Row],['# Interior Compactors]]</f>
        <v>0</v>
      </c>
      <c r="O154" s="20">
        <f>1</f>
        <v>1</v>
      </c>
      <c r="P154" s="20">
        <f>1</f>
        <v>1</v>
      </c>
      <c r="Q154" s="20">
        <f>1</f>
        <v>1</v>
      </c>
      <c r="R154" s="20">
        <f>1</f>
        <v>1</v>
      </c>
      <c r="S154" s="20">
        <f>1</f>
        <v>1</v>
      </c>
      <c r="T154" s="20">
        <f>Data[[#This Row],[DUs]]</f>
        <v>182</v>
      </c>
      <c r="U15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4" s="101">
        <f>VLOOKUP(Data[[#This Row],[DEVELOPMENT]],'[2]NYCHA_Development_Data_Book 201'!$B$2:$E$324,3,FALSE)</f>
        <v>161</v>
      </c>
      <c r="Y154" s="20" t="s">
        <v>473</v>
      </c>
      <c r="Z154" s="20">
        <f>IFERROR(VLOOKUP(Data[[#This Row],[TDS]],'[7]Static Ext by TDS'!$A$5:$E$120,2,FALSE),0)</f>
        <v>0</v>
      </c>
      <c r="AA154" s="20">
        <f>IFERROR(VLOOKUP(Data[[#This Row],[TDS]],'[7]Static Int by TDS'!$A$6:$O$305,2,FALSE),0)</f>
        <v>2</v>
      </c>
      <c r="AB154" s="20"/>
      <c r="AC154" s="20"/>
      <c r="AD154" s="20">
        <f>IFERROR(VLOOKUP(Data[[#This Row],[TDS]],'[7]Static Ext by TDS'!$A$5:$P$120,3,FALSE)+VLOOKUP(Data[[#This Row],[TDS]],'[7]Static Ext by TDS'!$A$5:$P$120,6,FALSE),0)</f>
        <v>0</v>
      </c>
      <c r="AE154" s="20">
        <f>IFERROR(VLOOKUP(Data[[#This Row],[TDS]],'[7]Static Int by TDS'!$A$6:$O$305,3,FALSE)+VLOOKUP(Data[[#This Row],[TDS]],'[7]Static Int by TDS'!$A$6:$O$305,6,FALSE),0)</f>
        <v>2</v>
      </c>
      <c r="AF154" s="20" t="str">
        <f>VLOOKUP(Data[[#This Row],[DEVELOPMENT]],[8]Developments!$A$2:$A$312,1,FALSE)</f>
        <v>KINGSBOROUGH EXTENSION</v>
      </c>
    </row>
    <row r="155" spans="1:32" x14ac:dyDescent="0.25">
      <c r="A155" s="17" t="s">
        <v>36</v>
      </c>
      <c r="B155" s="17" t="str">
        <f>VLOOKUP(Data[[#This Row],[DEVELOPMENT]],'[2]NYCHA_Development_Data_Book 201'!$B$2:$AY$324,40,FALSE)</f>
        <v>MANHATTAN</v>
      </c>
      <c r="C155" t="str">
        <f>VLOOKUP(Data[[#This Row],[DEVELOPMENT]],'[3]Cheat-Sheet'!$D$2:$Q$341,2,FALSE)</f>
        <v>LA GUARDIA</v>
      </c>
      <c r="D155" t="str">
        <f>IF(VLOOKUP(Data[[#This Row],[DEVELOPMENT]],'[4]IC Categories'!$A$2:$G$325,3,FALSE)=0,"",VLOOKUP(Data[[#This Row],[DEVELOPMENT]],'[4]IC Categories'!$A$2:$G$325,3,FALSE))</f>
        <v/>
      </c>
      <c r="E155">
        <f>VLOOKUP(Data[[#This Row],[DEVELOPMENT]],'[2]NYCHA_Development_Data_Book 201'!$B$2:$AY$324,21,FALSE)</f>
        <v>9</v>
      </c>
      <c r="F155">
        <f>VLOOKUP(Data[[#This Row],[DEVELOPMENT]],'[2]NYCHA_Development_Data_Book 201'!$B$2:$AY$324,23,FALSE)</f>
        <v>9</v>
      </c>
      <c r="G155">
        <f>VLOOKUP(Data[[#This Row],[DEVELOPMENT]],'[2]NYCHA_Development_Data_Book 201'!$B$2:$AY$324,12,FALSE)</f>
        <v>1091</v>
      </c>
      <c r="H155" t="s">
        <v>472</v>
      </c>
      <c r="I155" t="s">
        <v>475</v>
      </c>
      <c r="J155">
        <f>IFERROR(VLOOKUP(Data[[#This Row],[DEVELOPMENT]],[5]!Table1[[DEVELOPMENTS]:[Installation Date of Exterior Compactor]],4,FALSE),0)</f>
        <v>0</v>
      </c>
      <c r="K155" s="20">
        <f>IFERROR(VLOOKUP(Data[[#This Row],[DEVELOPMENT]],[5]!Table1[[DEVELOPMENTS]:[Installation Date of Exterior Compactor]],7,FALSE),0)</f>
        <v>0</v>
      </c>
      <c r="L155" s="42" t="str">
        <f>IF(Data[[#This Row],['# Interior Compactors]]=0,"",VLOOKUP(Data[[#This Row],[DEVELOPMENT]],[5]!Table1[[DEVELOPMENTS]:[Installation Date of Exterior Compactor]],5,FALSE))</f>
        <v/>
      </c>
      <c r="M155" s="43" t="str">
        <f>IF(Data[[#This Row],['# Exterior Compactors]]=0,"",VLOOKUP(Data[[#This Row],[DEVELOPMENT]],[5]!Table1[[DEVELOPMENTS]:[Installation Date of Exterior Compactor]],8,FALSE))</f>
        <v/>
      </c>
      <c r="N155">
        <f>Data[[#This Row],['# Interior Compactors]]</f>
        <v>0</v>
      </c>
      <c r="O155" s="20">
        <f>1</f>
        <v>1</v>
      </c>
      <c r="P155" s="20">
        <f>1</f>
        <v>1</v>
      </c>
      <c r="Q155" s="20">
        <f>1</f>
        <v>1</v>
      </c>
      <c r="R155" s="20">
        <f>1</f>
        <v>1</v>
      </c>
      <c r="S155" s="20">
        <f>1</f>
        <v>1</v>
      </c>
      <c r="T155" s="20">
        <f>Data[[#This Row],[DUs]]</f>
        <v>1091</v>
      </c>
      <c r="U15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5" s="101">
        <f>VLOOKUP(Data[[#This Row],[DEVELOPMENT]],'[2]NYCHA_Development_Data_Book 201'!$B$2:$E$324,3,FALSE)</f>
        <v>76</v>
      </c>
      <c r="Y155" s="20" t="s">
        <v>473</v>
      </c>
      <c r="Z155" s="20">
        <f>IFERROR(VLOOKUP(Data[[#This Row],[TDS]],'[7]Static Ext by TDS'!$A$5:$E$120,2,FALSE),0)</f>
        <v>2</v>
      </c>
      <c r="AA155" s="20">
        <f>IFERROR(VLOOKUP(Data[[#This Row],[TDS]],'[7]Static Int by TDS'!$A$6:$O$305,2,FALSE),0)</f>
        <v>9</v>
      </c>
      <c r="AB155" s="20"/>
      <c r="AC155" s="20"/>
      <c r="AD155" s="20">
        <f>IFERROR(VLOOKUP(Data[[#This Row],[TDS]],'[7]Static Ext by TDS'!$A$5:$P$120,3,FALSE)+VLOOKUP(Data[[#This Row],[TDS]],'[7]Static Ext by TDS'!$A$5:$P$120,6,FALSE),0)</f>
        <v>2</v>
      </c>
      <c r="AE155" s="20">
        <f>IFERROR(VLOOKUP(Data[[#This Row],[TDS]],'[7]Static Int by TDS'!$A$6:$O$305,3,FALSE)+VLOOKUP(Data[[#This Row],[TDS]],'[7]Static Int by TDS'!$A$6:$O$305,6,FALSE),0)</f>
        <v>9</v>
      </c>
      <c r="AF155" s="20" t="str">
        <f>VLOOKUP(Data[[#This Row],[DEVELOPMENT]],[8]Developments!$A$2:$A$312,1,FALSE)</f>
        <v>LA GUARDIA</v>
      </c>
    </row>
    <row r="156" spans="1:32" x14ac:dyDescent="0.25">
      <c r="A156" s="17" t="s">
        <v>103</v>
      </c>
      <c r="B156" s="17" t="str">
        <f>VLOOKUP(Data[[#This Row],[DEVELOPMENT]],'[2]NYCHA_Development_Data_Book 201'!$B$2:$AY$324,40,FALSE)</f>
        <v>MANHATTAN</v>
      </c>
      <c r="C156" t="str">
        <f>VLOOKUP(Data[[#This Row],[DEVELOPMENT]],'[3]Cheat-Sheet'!$D$2:$Q$341,2,FALSE)</f>
        <v>LA GUARDIA</v>
      </c>
      <c r="D156" t="str">
        <f>IF(VLOOKUP(Data[[#This Row],[DEVELOPMENT]],'[4]IC Categories'!$A$2:$G$325,3,FALSE)=0,"",VLOOKUP(Data[[#This Row],[DEVELOPMENT]],'[4]IC Categories'!$A$2:$G$325,3,FALSE))</f>
        <v/>
      </c>
      <c r="E156">
        <f>VLOOKUP(Data[[#This Row],[DEVELOPMENT]],'[2]NYCHA_Development_Data_Book 201'!$B$2:$AY$324,21,FALSE)</f>
        <v>1</v>
      </c>
      <c r="F156">
        <f>VLOOKUP(Data[[#This Row],[DEVELOPMENT]],'[2]NYCHA_Development_Data_Book 201'!$B$2:$AY$324,23,FALSE)</f>
        <v>1</v>
      </c>
      <c r="G156">
        <f>VLOOKUP(Data[[#This Row],[DEVELOPMENT]],'[2]NYCHA_Development_Data_Book 201'!$B$2:$AY$324,12,FALSE)</f>
        <v>149</v>
      </c>
      <c r="H156" t="s">
        <v>472</v>
      </c>
      <c r="I156" t="s">
        <v>471</v>
      </c>
      <c r="J156">
        <f>IFERROR(VLOOKUP(Data[[#This Row],[DEVELOPMENT]],[5]!Table1[[DEVELOPMENTS]:[Installation Date of Exterior Compactor]],4,FALSE),0)</f>
        <v>0</v>
      </c>
      <c r="K156" s="20">
        <f>IFERROR(VLOOKUP(Data[[#This Row],[DEVELOPMENT]],[5]!Table1[[DEVELOPMENTS]:[Installation Date of Exterior Compactor]],7,FALSE),0)</f>
        <v>0</v>
      </c>
      <c r="L156" s="42" t="str">
        <f>IF(Data[[#This Row],['# Interior Compactors]]=0,"",VLOOKUP(Data[[#This Row],[DEVELOPMENT]],[5]!Table1[[DEVELOPMENTS]:[Installation Date of Exterior Compactor]],5,FALSE))</f>
        <v/>
      </c>
      <c r="M156" s="43" t="str">
        <f>IF(Data[[#This Row],['# Exterior Compactors]]=0,"",VLOOKUP(Data[[#This Row],[DEVELOPMENT]],[5]!Table1[[DEVELOPMENTS]:[Installation Date of Exterior Compactor]],8,FALSE))</f>
        <v/>
      </c>
      <c r="N156">
        <f>Data[[#This Row],['# Interior Compactors]]</f>
        <v>0</v>
      </c>
      <c r="O156" s="20">
        <f>1</f>
        <v>1</v>
      </c>
      <c r="P156" s="20">
        <f>1</f>
        <v>1</v>
      </c>
      <c r="Q156" s="20">
        <f>1</f>
        <v>1</v>
      </c>
      <c r="R156" s="20">
        <f>1</f>
        <v>1</v>
      </c>
      <c r="S156" s="20">
        <f>1</f>
        <v>1</v>
      </c>
      <c r="T156" s="20">
        <f>Data[[#This Row],[DUs]]</f>
        <v>149</v>
      </c>
      <c r="U15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6" s="101">
        <f>VLOOKUP(Data[[#This Row],[DEVELOPMENT]],'[2]NYCHA_Development_Data_Book 201'!$B$2:$E$324,3,FALSE)</f>
        <v>152</v>
      </c>
      <c r="Y156" s="20" t="s">
        <v>473</v>
      </c>
      <c r="Z156" s="20">
        <f>IFERROR(VLOOKUP(Data[[#This Row],[TDS]],'[7]Static Ext by TDS'!$A$5:$E$120,2,FALSE),0)</f>
        <v>0</v>
      </c>
      <c r="AA156" s="20">
        <f>IFERROR(VLOOKUP(Data[[#This Row],[TDS]],'[7]Static Int by TDS'!$A$6:$O$305,2,FALSE),0)</f>
        <v>1</v>
      </c>
      <c r="AB156" s="20"/>
      <c r="AC156" s="20"/>
      <c r="AD156" s="20">
        <f>IFERROR(VLOOKUP(Data[[#This Row],[TDS]],'[7]Static Ext by TDS'!$A$5:$P$120,3,FALSE)+VLOOKUP(Data[[#This Row],[TDS]],'[7]Static Ext by TDS'!$A$5:$P$120,6,FALSE),0)</f>
        <v>0</v>
      </c>
      <c r="AE156" s="20">
        <f>IFERROR(VLOOKUP(Data[[#This Row],[TDS]],'[7]Static Int by TDS'!$A$6:$O$305,3,FALSE)+VLOOKUP(Data[[#This Row],[TDS]],'[7]Static Int by TDS'!$A$6:$O$305,6,FALSE),0)</f>
        <v>1</v>
      </c>
      <c r="AF156" s="20" t="str">
        <f>VLOOKUP(Data[[#This Row],[DEVELOPMENT]],[8]Developments!$A$2:$A$312,1,FALSE)</f>
        <v>LA GUARDIA ADDITION</v>
      </c>
    </row>
    <row r="157" spans="1:32" x14ac:dyDescent="0.25">
      <c r="A157" s="17" t="s">
        <v>37</v>
      </c>
      <c r="B157" s="17" t="str">
        <f>VLOOKUP(Data[[#This Row],[DEVELOPMENT]],'[2]NYCHA_Development_Data_Book 201'!$B$2:$AY$324,40,FALSE)</f>
        <v>BROOKLYN</v>
      </c>
      <c r="C157" t="str">
        <f>VLOOKUP(Data[[#This Row],[DEVELOPMENT]],'[3]Cheat-Sheet'!$D$2:$Q$341,2,FALSE)</f>
        <v>LAFAYETTE</v>
      </c>
      <c r="D157" t="str">
        <f>IF(VLOOKUP(Data[[#This Row],[DEVELOPMENT]],'[4]IC Categories'!$A$2:$G$325,3,FALSE)=0,"",VLOOKUP(Data[[#This Row],[DEVELOPMENT]],'[4]IC Categories'!$A$2:$G$325,3,FALSE))</f>
        <v/>
      </c>
      <c r="E157">
        <f>VLOOKUP(Data[[#This Row],[DEVELOPMENT]],'[2]NYCHA_Development_Data_Book 201'!$B$2:$AY$324,21,FALSE)</f>
        <v>7</v>
      </c>
      <c r="F157">
        <f>VLOOKUP(Data[[#This Row],[DEVELOPMENT]],'[2]NYCHA_Development_Data_Book 201'!$B$2:$AY$324,23,FALSE)</f>
        <v>7</v>
      </c>
      <c r="G157">
        <f>VLOOKUP(Data[[#This Row],[DEVELOPMENT]],'[2]NYCHA_Development_Data_Book 201'!$B$2:$AY$324,12,FALSE)</f>
        <v>882</v>
      </c>
      <c r="H157" t="s">
        <v>472</v>
      </c>
      <c r="I157" t="s">
        <v>478</v>
      </c>
      <c r="J157">
        <f>IFERROR(VLOOKUP(Data[[#This Row],[DEVELOPMENT]],[5]!Table1[[DEVELOPMENTS]:[Installation Date of Exterior Compactor]],4,FALSE),0)</f>
        <v>0</v>
      </c>
      <c r="K157" s="20">
        <f>IFERROR(VLOOKUP(Data[[#This Row],[DEVELOPMENT]],[5]!Table1[[DEVELOPMENTS]:[Installation Date of Exterior Compactor]],7,FALSE),0)</f>
        <v>0</v>
      </c>
      <c r="L157" s="42" t="str">
        <f>IF(Data[[#This Row],['# Interior Compactors]]=0,"",VLOOKUP(Data[[#This Row],[DEVELOPMENT]],[5]!Table1[[DEVELOPMENTS]:[Installation Date of Exterior Compactor]],5,FALSE))</f>
        <v/>
      </c>
      <c r="M157" s="43" t="str">
        <f>IF(Data[[#This Row],['# Exterior Compactors]]=0,"",VLOOKUP(Data[[#This Row],[DEVELOPMENT]],[5]!Table1[[DEVELOPMENTS]:[Installation Date of Exterior Compactor]],8,FALSE))</f>
        <v/>
      </c>
      <c r="N157">
        <f>Data[[#This Row],['# Interior Compactors]]</f>
        <v>0</v>
      </c>
      <c r="O157" s="20">
        <f>1</f>
        <v>1</v>
      </c>
      <c r="P157" s="20">
        <f>1</f>
        <v>1</v>
      </c>
      <c r="Q157" s="20">
        <f>1</f>
        <v>1</v>
      </c>
      <c r="R157" s="20">
        <f>1</f>
        <v>1</v>
      </c>
      <c r="S157" s="20">
        <f>1</f>
        <v>1</v>
      </c>
      <c r="T157" s="20">
        <f>Data[[#This Row],[DUs]]</f>
        <v>882</v>
      </c>
      <c r="U15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7" s="101">
        <f>VLOOKUP(Data[[#This Row],[DEVELOPMENT]],'[2]NYCHA_Development_Data_Book 201'!$B$2:$E$324,3,FALSE)</f>
        <v>122</v>
      </c>
      <c r="Y157" s="20" t="s">
        <v>473</v>
      </c>
      <c r="Z157" s="20">
        <f>IFERROR(VLOOKUP(Data[[#This Row],[TDS]],'[7]Static Ext by TDS'!$A$5:$E$120,2,FALSE),0)</f>
        <v>2</v>
      </c>
      <c r="AA157" s="20">
        <f>IFERROR(VLOOKUP(Data[[#This Row],[TDS]],'[7]Static Int by TDS'!$A$6:$O$305,2,FALSE),0)</f>
        <v>7</v>
      </c>
      <c r="AB157" s="20"/>
      <c r="AC157" s="20"/>
      <c r="AD157" s="20">
        <f>IFERROR(VLOOKUP(Data[[#This Row],[TDS]],'[7]Static Ext by TDS'!$A$5:$P$120,3,FALSE)+VLOOKUP(Data[[#This Row],[TDS]],'[7]Static Ext by TDS'!$A$5:$P$120,6,FALSE),0)</f>
        <v>2</v>
      </c>
      <c r="AE157" s="20">
        <f>IFERROR(VLOOKUP(Data[[#This Row],[TDS]],'[7]Static Int by TDS'!$A$6:$O$305,3,FALSE)+VLOOKUP(Data[[#This Row],[TDS]],'[7]Static Int by TDS'!$A$6:$O$305,6,FALSE),0)</f>
        <v>7</v>
      </c>
      <c r="AF157" s="20" t="str">
        <f>VLOOKUP(Data[[#This Row],[DEVELOPMENT]],[8]Developments!$A$2:$A$312,1,FALSE)</f>
        <v>LAFAYETTE</v>
      </c>
    </row>
    <row r="158" spans="1:32" x14ac:dyDescent="0.25">
      <c r="A158" t="s">
        <v>260</v>
      </c>
      <c r="B158" s="20" t="str">
        <f>VLOOKUP(Data[[#This Row],[DEVELOPMENT]],'[2]NYCHA_Development_Data_Book 201'!$B$2:$AY$324,40,FALSE)</f>
        <v>QUEENS</v>
      </c>
      <c r="C158" s="20" t="str">
        <f>VLOOKUP(Data[[#This Row],[DEVELOPMENT]],'[3]Cheat-Sheet'!$D$2:$Q$341,2,FALSE)</f>
        <v>LATIMER GARDENS</v>
      </c>
      <c r="D158" s="20" t="str">
        <f>IF(VLOOKUP(Data[[#This Row],[DEVELOPMENT]],'[4]IC Categories'!$A$2:$G$325,3,FALSE)=0,"",VLOOKUP(Data[[#This Row],[DEVELOPMENT]],'[4]IC Categories'!$A$2:$G$325,3,FALSE))</f>
        <v/>
      </c>
      <c r="E158" s="20">
        <f>VLOOKUP(Data[[#This Row],[DEVELOPMENT]],'[2]NYCHA_Development_Data_Book 201'!$B$2:$AY$324,21,FALSE)</f>
        <v>4</v>
      </c>
      <c r="F158" s="20">
        <f>VLOOKUP(Data[[#This Row],[DEVELOPMENT]],'[2]NYCHA_Development_Data_Book 201'!$B$2:$AY$324,23,FALSE)</f>
        <v>4</v>
      </c>
      <c r="G158" s="20">
        <f>VLOOKUP(Data[[#This Row],[DEVELOPMENT]],'[2]NYCHA_Development_Data_Book 201'!$B$2:$AY$324,12,FALSE)</f>
        <v>423</v>
      </c>
      <c r="J158">
        <f>IFERROR(VLOOKUP(Data[[#This Row],[DEVELOPMENT]],[5]!Table1[[DEVELOPMENTS]:[Installation Date of Exterior Compactor]],4,FALSE),0)</f>
        <v>0</v>
      </c>
      <c r="K158" s="20">
        <f>IFERROR(VLOOKUP(Data[[#This Row],[DEVELOPMENT]],[5]!Table1[[DEVELOPMENTS]:[Installation Date of Exterior Compactor]],7,FALSE),0)</f>
        <v>0</v>
      </c>
      <c r="L158" s="42" t="str">
        <f>IF(Data[[#This Row],['# Interior Compactors]]=0,"",VLOOKUP(Data[[#This Row],[DEVELOPMENT]],[5]!Table1[[DEVELOPMENTS]:[Installation Date of Exterior Compactor]],5,FALSE))</f>
        <v/>
      </c>
      <c r="M158" s="43" t="str">
        <f>IF(Data[[#This Row],['# Exterior Compactors]]=0,"",VLOOKUP(Data[[#This Row],[DEVELOPMENT]],[5]!Table1[[DEVELOPMENTS]:[Installation Date of Exterior Compactor]],8,FALSE))</f>
        <v/>
      </c>
      <c r="N158" s="20">
        <f>Data[[#This Row],['# Interior Compactors]]</f>
        <v>0</v>
      </c>
      <c r="O158" s="20">
        <f>1</f>
        <v>1</v>
      </c>
      <c r="P158" s="20">
        <f>1</f>
        <v>1</v>
      </c>
      <c r="Q158" s="20">
        <f>1</f>
        <v>1</v>
      </c>
      <c r="R158" s="20">
        <f>1</f>
        <v>1</v>
      </c>
      <c r="S158" s="20">
        <f>1</f>
        <v>1</v>
      </c>
      <c r="T158" s="20">
        <f>Data[[#This Row],[DUs]]</f>
        <v>423</v>
      </c>
      <c r="U15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8" s="101">
        <f>VLOOKUP(Data[[#This Row],[DEVELOPMENT]],'[2]NYCHA_Development_Data_Book 201'!$B$2:$E$324,3,FALSE)</f>
        <v>186</v>
      </c>
      <c r="Y158" s="20"/>
      <c r="Z158" s="20">
        <f>IFERROR(VLOOKUP(Data[[#This Row],[TDS]],'[7]Static Ext by TDS'!$A$5:$E$120,2,FALSE),0)</f>
        <v>1</v>
      </c>
      <c r="AA158" s="20">
        <f>IFERROR(VLOOKUP(Data[[#This Row],[TDS]],'[7]Static Int by TDS'!$A$6:$O$305,2,FALSE),0)</f>
        <v>4</v>
      </c>
      <c r="AB158" s="20"/>
      <c r="AC158" s="20"/>
      <c r="AD158" s="20">
        <f>IFERROR(VLOOKUP(Data[[#This Row],[TDS]],'[7]Static Ext by TDS'!$A$5:$P$120,3,FALSE)+VLOOKUP(Data[[#This Row],[TDS]],'[7]Static Ext by TDS'!$A$5:$P$120,6,FALSE),0)</f>
        <v>1</v>
      </c>
      <c r="AE158" s="20">
        <f>IFERROR(VLOOKUP(Data[[#This Row],[TDS]],'[7]Static Int by TDS'!$A$6:$O$305,3,FALSE)+VLOOKUP(Data[[#This Row],[TDS]],'[7]Static Int by TDS'!$A$6:$O$305,6,FALSE),0)</f>
        <v>4</v>
      </c>
      <c r="AF158" s="20" t="str">
        <f>VLOOKUP(Data[[#This Row],[DEVELOPMENT]],[8]Developments!$A$2:$A$312,1,FALSE)</f>
        <v>LATIMER GARDENS</v>
      </c>
    </row>
    <row r="159" spans="1:32" x14ac:dyDescent="0.25">
      <c r="A159" t="s">
        <v>382</v>
      </c>
      <c r="B159" s="20" t="str">
        <f>VLOOKUP(Data[[#This Row],[DEVELOPMENT]],'[2]NYCHA_Development_Data_Book 201'!$B$2:$AY$324,40,FALSE)</f>
        <v>MANHATTAN</v>
      </c>
      <c r="C159" s="20" t="e">
        <f>VLOOKUP(Data[[#This Row],[DEVELOPMENT]],'[3]Cheat-Sheet'!$D$2:$Q$341,2,FALSE)</f>
        <v>#N/A</v>
      </c>
      <c r="D159" s="20" t="e">
        <f>IF(VLOOKUP(Data[[#This Row],[DEVELOPMENT]],'[4]IC Categories'!$A$2:$G$325,3,FALSE)=0,"",VLOOKUP(Data[[#This Row],[DEVELOPMENT]],'[4]IC Categories'!$A$2:$G$325,3,FALSE))</f>
        <v>#N/A</v>
      </c>
      <c r="E159" s="20">
        <f>VLOOKUP(Data[[#This Row],[DEVELOPMENT]],'[2]NYCHA_Development_Data_Book 201'!$B$2:$AY$324,21,FALSE)</f>
        <v>1</v>
      </c>
      <c r="F159" s="20">
        <f>VLOOKUP(Data[[#This Row],[DEVELOPMENT]],'[2]NYCHA_Development_Data_Book 201'!$B$2:$AY$324,23,FALSE)</f>
        <v>6</v>
      </c>
      <c r="G159" s="20">
        <f>VLOOKUP(Data[[#This Row],[DEVELOPMENT]],'[2]NYCHA_Development_Data_Book 201'!$B$2:$AY$324,12,FALSE)</f>
        <v>95</v>
      </c>
      <c r="J159">
        <f>IFERROR(VLOOKUP(Data[[#This Row],[DEVELOPMENT]],[5]!Table1[[DEVELOPMENTS]:[Installation Date of Exterior Compactor]],4,FALSE),0)</f>
        <v>0</v>
      </c>
      <c r="K159" s="20">
        <f>IFERROR(VLOOKUP(Data[[#This Row],[DEVELOPMENT]],[5]!Table1[[DEVELOPMENTS]:[Installation Date of Exterior Compactor]],7,FALSE),0)</f>
        <v>0</v>
      </c>
      <c r="L159" s="42" t="str">
        <f>IF(Data[[#This Row],['# Interior Compactors]]=0,"",VLOOKUP(Data[[#This Row],[DEVELOPMENT]],[5]!Table1[[DEVELOPMENTS]:[Installation Date of Exterior Compactor]],5,FALSE))</f>
        <v/>
      </c>
      <c r="M159" s="43" t="str">
        <f>IF(Data[[#This Row],['# Exterior Compactors]]=0,"",VLOOKUP(Data[[#This Row],[DEVELOPMENT]],[5]!Table1[[DEVELOPMENTS]:[Installation Date of Exterior Compactor]],8,FALSE))</f>
        <v/>
      </c>
      <c r="N159" s="20">
        <f>Data[[#This Row],['# Interior Compactors]]</f>
        <v>0</v>
      </c>
      <c r="O159" s="20">
        <f>1</f>
        <v>1</v>
      </c>
      <c r="P159" s="20">
        <f>1</f>
        <v>1</v>
      </c>
      <c r="Q159" s="20">
        <f>1</f>
        <v>1</v>
      </c>
      <c r="R159" s="20">
        <f>1</f>
        <v>1</v>
      </c>
      <c r="S159" s="20">
        <f>1</f>
        <v>1</v>
      </c>
      <c r="T159" s="20">
        <f>Data[[#This Row],[DUs]]</f>
        <v>95</v>
      </c>
      <c r="U15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5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5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59" s="101">
        <f>VLOOKUP(Data[[#This Row],[DEVELOPMENT]],'[2]NYCHA_Development_Data_Book 201'!$B$2:$E$324,3,FALSE)</f>
        <v>310</v>
      </c>
      <c r="Y159" s="20" t="s">
        <v>473</v>
      </c>
      <c r="Z159" s="20">
        <f>IFERROR(VLOOKUP(Data[[#This Row],[TDS]],'[7]Static Ext by TDS'!$A$5:$E$120,2,FALSE),0)</f>
        <v>0</v>
      </c>
      <c r="AA159" s="20">
        <f>IFERROR(VLOOKUP(Data[[#This Row],[TDS]],'[7]Static Int by TDS'!$A$6:$O$305,2,FALSE),0)</f>
        <v>0</v>
      </c>
      <c r="AB159" s="20"/>
      <c r="AC159" s="20"/>
      <c r="AD159" s="20">
        <f>IFERROR(VLOOKUP(Data[[#This Row],[TDS]],'[7]Static Ext by TDS'!$A$5:$P$120,3,FALSE)+VLOOKUP(Data[[#This Row],[TDS]],'[7]Static Ext by TDS'!$A$5:$P$120,6,FALSE),0)</f>
        <v>0</v>
      </c>
      <c r="AE159" s="20">
        <f>IFERROR(VLOOKUP(Data[[#This Row],[TDS]],'[7]Static Int by TDS'!$A$6:$O$305,3,FALSE)+VLOOKUP(Data[[#This Row],[TDS]],'[7]Static Int by TDS'!$A$6:$O$305,6,FALSE),0)</f>
        <v>0</v>
      </c>
      <c r="AF159" s="20" t="e">
        <f>VLOOKUP(Data[[#This Row],[DEVELOPMENT]],[8]Developments!$A$2:$A$312,1,FALSE)</f>
        <v>#N/A</v>
      </c>
    </row>
    <row r="160" spans="1:32" x14ac:dyDescent="0.25">
      <c r="A160" t="s">
        <v>261</v>
      </c>
      <c r="B160" s="20" t="str">
        <f>VLOOKUP(Data[[#This Row],[DEVELOPMENT]],'[2]NYCHA_Development_Data_Book 201'!$B$2:$AY$324,40,FALSE)</f>
        <v>QUEENS</v>
      </c>
      <c r="C160" s="20" t="str">
        <f>VLOOKUP(Data[[#This Row],[DEVELOPMENT]],'[3]Cheat-Sheet'!$D$2:$Q$341,2,FALSE)</f>
        <v>LATIMER GARDENS</v>
      </c>
      <c r="D160" s="20" t="str">
        <f>IF(VLOOKUP(Data[[#This Row],[DEVELOPMENT]],'[4]IC Categories'!$A$2:$G$325,3,FALSE)=0,"",VLOOKUP(Data[[#This Row],[DEVELOPMENT]],'[4]IC Categories'!$A$2:$G$325,3,FALSE))</f>
        <v/>
      </c>
      <c r="E160" s="20">
        <f>VLOOKUP(Data[[#This Row],[DEVELOPMENT]],'[2]NYCHA_Development_Data_Book 201'!$B$2:$AY$324,21,FALSE)</f>
        <v>1</v>
      </c>
      <c r="F160" s="20">
        <f>VLOOKUP(Data[[#This Row],[DEVELOPMENT]],'[2]NYCHA_Development_Data_Book 201'!$B$2:$AY$324,23,FALSE)</f>
        <v>1</v>
      </c>
      <c r="G160" s="20">
        <f>VLOOKUP(Data[[#This Row],[DEVELOPMENT]],'[2]NYCHA_Development_Data_Book 201'!$B$2:$AY$324,12,FALSE)</f>
        <v>83</v>
      </c>
      <c r="J160">
        <f>IFERROR(VLOOKUP(Data[[#This Row],[DEVELOPMENT]],[5]!Table1[[DEVELOPMENTS]:[Installation Date of Exterior Compactor]],4,FALSE),0)</f>
        <v>0</v>
      </c>
      <c r="K160" s="20">
        <f>IFERROR(VLOOKUP(Data[[#This Row],[DEVELOPMENT]],[5]!Table1[[DEVELOPMENTS]:[Installation Date of Exterior Compactor]],7,FALSE),0)</f>
        <v>0</v>
      </c>
      <c r="L160" s="42" t="str">
        <f>IF(Data[[#This Row],['# Interior Compactors]]=0,"",VLOOKUP(Data[[#This Row],[DEVELOPMENT]],[5]!Table1[[DEVELOPMENTS]:[Installation Date of Exterior Compactor]],5,FALSE))</f>
        <v/>
      </c>
      <c r="M160" s="43" t="str">
        <f>IF(Data[[#This Row],['# Exterior Compactors]]=0,"",VLOOKUP(Data[[#This Row],[DEVELOPMENT]],[5]!Table1[[DEVELOPMENTS]:[Installation Date of Exterior Compactor]],8,FALSE))</f>
        <v/>
      </c>
      <c r="N160" s="20">
        <f>Data[[#This Row],['# Interior Compactors]]</f>
        <v>0</v>
      </c>
      <c r="O160" s="20">
        <f>1</f>
        <v>1</v>
      </c>
      <c r="P160" s="20">
        <f>1</f>
        <v>1</v>
      </c>
      <c r="Q160" s="20">
        <f>1</f>
        <v>1</v>
      </c>
      <c r="R160" s="20">
        <f>1</f>
        <v>1</v>
      </c>
      <c r="S160" s="20">
        <f>1</f>
        <v>1</v>
      </c>
      <c r="T160" s="20">
        <f>Data[[#This Row],[DUs]]</f>
        <v>83</v>
      </c>
      <c r="U16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0" s="101">
        <f>VLOOKUP(Data[[#This Row],[DEVELOPMENT]],'[2]NYCHA_Development_Data_Book 201'!$B$2:$E$324,3,FALSE)</f>
        <v>201</v>
      </c>
      <c r="Y160" s="20"/>
      <c r="Z160" s="20">
        <f>IFERROR(VLOOKUP(Data[[#This Row],[TDS]],'[7]Static Ext by TDS'!$A$5:$E$120,2,FALSE),0)</f>
        <v>0</v>
      </c>
      <c r="AA160" s="20">
        <f>IFERROR(VLOOKUP(Data[[#This Row],[TDS]],'[7]Static Int by TDS'!$A$6:$O$305,2,FALSE),0)</f>
        <v>1</v>
      </c>
      <c r="AB160" s="20"/>
      <c r="AC160" s="20"/>
      <c r="AD160" s="20">
        <f>IFERROR(VLOOKUP(Data[[#This Row],[TDS]],'[7]Static Ext by TDS'!$A$5:$P$120,3,FALSE)+VLOOKUP(Data[[#This Row],[TDS]],'[7]Static Ext by TDS'!$A$5:$P$120,6,FALSE),0)</f>
        <v>0</v>
      </c>
      <c r="AE160" s="20">
        <f>IFERROR(VLOOKUP(Data[[#This Row],[TDS]],'[7]Static Int by TDS'!$A$6:$O$305,3,FALSE)+VLOOKUP(Data[[#This Row],[TDS]],'[7]Static Int by TDS'!$A$6:$O$305,6,FALSE),0)</f>
        <v>1</v>
      </c>
      <c r="AF160" s="20" t="str">
        <f>VLOOKUP(Data[[#This Row],[DEVELOPMENT]],[8]Developments!$A$2:$A$312,1,FALSE)</f>
        <v>LEAVITT STREET-34TH AVENUE</v>
      </c>
    </row>
    <row r="161" spans="1:32" x14ac:dyDescent="0.25">
      <c r="A161" t="s">
        <v>146</v>
      </c>
      <c r="B161" s="20" t="str">
        <f>VLOOKUP(Data[[#This Row],[DEVELOPMENT]],'[2]NYCHA_Development_Data_Book 201'!$B$2:$AY$324,40,FALSE)</f>
        <v>MANHATTAN</v>
      </c>
      <c r="C161" t="str">
        <f>VLOOKUP(Data[[#This Row],[DEVELOPMENT]],'[3]Cheat-Sheet'!$D$2:$Q$341,2,FALSE)</f>
        <v>LEHMAN VILLAGE</v>
      </c>
      <c r="D161" s="20" t="str">
        <f>IF(VLOOKUP(Data[[#This Row],[DEVELOPMENT]],'[4]IC Categories'!$A$2:$G$325,3,FALSE)=0,"",VLOOKUP(Data[[#This Row],[DEVELOPMENT]],'[4]IC Categories'!$A$2:$G$325,3,FALSE))</f>
        <v/>
      </c>
      <c r="E161" s="20">
        <f>VLOOKUP(Data[[#This Row],[DEVELOPMENT]],'[2]NYCHA_Development_Data_Book 201'!$B$2:$AY$324,21,FALSE)</f>
        <v>4</v>
      </c>
      <c r="F161" s="20">
        <f>VLOOKUP(Data[[#This Row],[DEVELOPMENT]],'[2]NYCHA_Development_Data_Book 201'!$B$2:$AY$324,23,FALSE)</f>
        <v>5</v>
      </c>
      <c r="G161" s="20">
        <f>VLOOKUP(Data[[#This Row],[DEVELOPMENT]],'[2]NYCHA_Development_Data_Book 201'!$B$2:$AY$324,12,FALSE)</f>
        <v>617</v>
      </c>
      <c r="J161">
        <f>IFERROR(VLOOKUP(Data[[#This Row],[DEVELOPMENT]],[5]!Table1[[DEVELOPMENTS]:[Installation Date of Exterior Compactor]],4,FALSE),0)</f>
        <v>0</v>
      </c>
      <c r="K161" s="20">
        <f>IFERROR(VLOOKUP(Data[[#This Row],[DEVELOPMENT]],[5]!Table1[[DEVELOPMENTS]:[Installation Date of Exterior Compactor]],7,FALSE),0)</f>
        <v>0</v>
      </c>
      <c r="L161" s="42" t="str">
        <f>IF(Data[[#This Row],['# Interior Compactors]]=0,"",VLOOKUP(Data[[#This Row],[DEVELOPMENT]],[5]!Table1[[DEVELOPMENTS]:[Installation Date of Exterior Compactor]],5,FALSE))</f>
        <v/>
      </c>
      <c r="M161" s="43" t="str">
        <f>IF(Data[[#This Row],['# Exterior Compactors]]=0,"",VLOOKUP(Data[[#This Row],[DEVELOPMENT]],[5]!Table1[[DEVELOPMENTS]:[Installation Date of Exterior Compactor]],8,FALSE))</f>
        <v/>
      </c>
      <c r="N161">
        <f>Data[[#This Row],['# Interior Compactors]]</f>
        <v>0</v>
      </c>
      <c r="O161" s="20">
        <f>1</f>
        <v>1</v>
      </c>
      <c r="P161" s="20">
        <f>1</f>
        <v>1</v>
      </c>
      <c r="Q161" s="20">
        <f>1</f>
        <v>1</v>
      </c>
      <c r="R161" s="20">
        <f>1</f>
        <v>1</v>
      </c>
      <c r="S161" s="20">
        <f>1</f>
        <v>1</v>
      </c>
      <c r="T161" s="20">
        <f>Data[[#This Row],[DUs]]</f>
        <v>617</v>
      </c>
      <c r="U16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1" s="101">
        <f>VLOOKUP(Data[[#This Row],[DEVELOPMENT]],'[2]NYCHA_Development_Data_Book 201'!$B$2:$E$324,3,FALSE)</f>
        <v>101</v>
      </c>
      <c r="Y161" s="20"/>
      <c r="Z161" s="20">
        <f>IFERROR(VLOOKUP(Data[[#This Row],[TDS]],'[7]Static Ext by TDS'!$A$5:$E$120,2,FALSE),0)</f>
        <v>2</v>
      </c>
      <c r="AA161" s="20">
        <f>IFERROR(VLOOKUP(Data[[#This Row],[TDS]],'[7]Static Int by TDS'!$A$6:$O$305,2,FALSE),0)</f>
        <v>4</v>
      </c>
      <c r="AB161" s="20"/>
      <c r="AC161" s="20"/>
      <c r="AD161" s="20">
        <f>IFERROR(VLOOKUP(Data[[#This Row],[TDS]],'[7]Static Ext by TDS'!$A$5:$P$120,3,FALSE)+VLOOKUP(Data[[#This Row],[TDS]],'[7]Static Ext by TDS'!$A$5:$P$120,6,FALSE),0)</f>
        <v>2</v>
      </c>
      <c r="AE161" s="20">
        <f>IFERROR(VLOOKUP(Data[[#This Row],[TDS]],'[7]Static Int by TDS'!$A$6:$O$305,3,FALSE)+VLOOKUP(Data[[#This Row],[TDS]],'[7]Static Int by TDS'!$A$6:$O$305,6,FALSE),0)</f>
        <v>4</v>
      </c>
      <c r="AF161" s="20" t="str">
        <f>VLOOKUP(Data[[#This Row],[DEVELOPMENT]],[8]Developments!$A$2:$A$312,1,FALSE)</f>
        <v>LEHMAN VILLAGE</v>
      </c>
    </row>
    <row r="162" spans="1:32" x14ac:dyDescent="0.25">
      <c r="A162" t="s">
        <v>262</v>
      </c>
      <c r="B162" s="20" t="str">
        <f>VLOOKUP(Data[[#This Row],[DEVELOPMENT]],'[2]NYCHA_Development_Data_Book 201'!$B$2:$AY$324,40,FALSE)</f>
        <v>BROOKLYN</v>
      </c>
      <c r="C162" s="20" t="str">
        <f>VLOOKUP(Data[[#This Row],[DEVELOPMENT]],'[3]Cheat-Sheet'!$D$2:$Q$341,2,FALSE)</f>
        <v>REID APARTMENTS</v>
      </c>
      <c r="D162" s="20">
        <f>IF(VLOOKUP(Data[[#This Row],[DEVELOPMENT]],'[4]IC Categories'!$A$2:$G$325,3,FALSE)=0,"",VLOOKUP(Data[[#This Row],[DEVELOPMENT]],'[4]IC Categories'!$A$2:$G$325,3,FALSE))</f>
        <v>2021</v>
      </c>
      <c r="E162" s="20">
        <f>VLOOKUP(Data[[#This Row],[DEVELOPMENT]],'[2]NYCHA_Development_Data_Book 201'!$B$2:$AY$324,21,FALSE)</f>
        <v>3</v>
      </c>
      <c r="F162" s="20">
        <f>VLOOKUP(Data[[#This Row],[DEVELOPMENT]],'[2]NYCHA_Development_Data_Book 201'!$B$2:$AY$324,23,FALSE)</f>
        <v>3</v>
      </c>
      <c r="G162" s="20">
        <f>VLOOKUP(Data[[#This Row],[DEVELOPMENT]],'[2]NYCHA_Development_Data_Book 201'!$B$2:$AY$324,12,FALSE)</f>
        <v>74</v>
      </c>
      <c r="J162">
        <f>IFERROR(VLOOKUP(Data[[#This Row],[DEVELOPMENT]],[5]!Table1[[DEVELOPMENTS]:[Installation Date of Exterior Compactor]],4,FALSE),0)</f>
        <v>0</v>
      </c>
      <c r="K162" s="20">
        <f>IFERROR(VLOOKUP(Data[[#This Row],[DEVELOPMENT]],[5]!Table1[[DEVELOPMENTS]:[Installation Date of Exterior Compactor]],7,FALSE),0)</f>
        <v>0</v>
      </c>
      <c r="L162" s="42" t="str">
        <f>IF(Data[[#This Row],['# Interior Compactors]]=0,"",VLOOKUP(Data[[#This Row],[DEVELOPMENT]],[5]!Table1[[DEVELOPMENTS]:[Installation Date of Exterior Compactor]],5,FALSE))</f>
        <v/>
      </c>
      <c r="M162" s="43" t="str">
        <f>IF(Data[[#This Row],['# Exterior Compactors]]=0,"",VLOOKUP(Data[[#This Row],[DEVELOPMENT]],[5]!Table1[[DEVELOPMENTS]:[Installation Date of Exterior Compactor]],8,FALSE))</f>
        <v/>
      </c>
      <c r="N162" s="20">
        <f>Data[[#This Row],['# Interior Compactors]]</f>
        <v>0</v>
      </c>
      <c r="O162" s="20">
        <f>1</f>
        <v>1</v>
      </c>
      <c r="P162" s="20">
        <f>1</f>
        <v>1</v>
      </c>
      <c r="Q162" s="20">
        <f>1</f>
        <v>1</v>
      </c>
      <c r="R162" s="20">
        <f>1</f>
        <v>1</v>
      </c>
      <c r="S162" s="20">
        <f>1</f>
        <v>1</v>
      </c>
      <c r="T162" s="20">
        <f>Data[[#This Row],[DUs]]</f>
        <v>74</v>
      </c>
      <c r="U16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2" s="101">
        <f>VLOOKUP(Data[[#This Row],[DEVELOPMENT]],'[2]NYCHA_Development_Data_Book 201'!$B$2:$E$324,3,FALSE)</f>
        <v>348</v>
      </c>
      <c r="Y162" s="20"/>
      <c r="Z162" s="20">
        <f>IFERROR(VLOOKUP(Data[[#This Row],[TDS]],'[7]Static Ext by TDS'!$A$5:$E$120,2,FALSE),0)</f>
        <v>0</v>
      </c>
      <c r="AA162" s="20">
        <f>IFERROR(VLOOKUP(Data[[#This Row],[TDS]],'[7]Static Int by TDS'!$A$6:$O$305,2,FALSE),0)</f>
        <v>5</v>
      </c>
      <c r="AB162" s="20"/>
      <c r="AC162" s="20"/>
      <c r="AD162" s="20">
        <f>IFERROR(VLOOKUP(Data[[#This Row],[TDS]],'[7]Static Ext by TDS'!$A$5:$P$120,3,FALSE)+VLOOKUP(Data[[#This Row],[TDS]],'[7]Static Ext by TDS'!$A$5:$P$120,6,FALSE),0)</f>
        <v>0</v>
      </c>
      <c r="AE162" s="20">
        <f>IFERROR(VLOOKUP(Data[[#This Row],[TDS]],'[7]Static Int by TDS'!$A$6:$O$305,3,FALSE)+VLOOKUP(Data[[#This Row],[TDS]],'[7]Static Int by TDS'!$A$6:$O$305,6,FALSE),0)</f>
        <v>5</v>
      </c>
      <c r="AF162" s="20" t="str">
        <f>VLOOKUP(Data[[#This Row],[DEVELOPMENT]],[8]Developments!$A$2:$A$312,1,FALSE)</f>
        <v>LENOX ROAD-ROCKAWAY PARKWAY</v>
      </c>
    </row>
    <row r="163" spans="1:32" x14ac:dyDescent="0.25">
      <c r="A163" t="s">
        <v>125</v>
      </c>
      <c r="B163" t="str">
        <f>VLOOKUP(Data[[#This Row],[DEVELOPMENT]],'[2]NYCHA_Development_Data_Book 201'!$B$2:$AY$324,40,FALSE)</f>
        <v>MANHATTAN</v>
      </c>
      <c r="C163" t="str">
        <f>VLOOKUP(Data[[#This Row],[DEVELOPMENT]],'[3]Cheat-Sheet'!$D$2:$Q$341,2,FALSE)</f>
        <v>WASHINGTON</v>
      </c>
      <c r="D163">
        <f>IF(VLOOKUP(Data[[#This Row],[DEVELOPMENT]],'[4]IC Categories'!$A$2:$G$325,3,FALSE)=0,"",VLOOKUP(Data[[#This Row],[DEVELOPMENT]],'[4]IC Categories'!$A$2:$G$325,3,FALSE))</f>
        <v>2023</v>
      </c>
      <c r="E163">
        <f>VLOOKUP(Data[[#This Row],[DEVELOPMENT]],'[2]NYCHA_Development_Data_Book 201'!$B$2:$AY$324,21,FALSE)</f>
        <v>4</v>
      </c>
      <c r="F163">
        <f>VLOOKUP(Data[[#This Row],[DEVELOPMENT]],'[2]NYCHA_Development_Data_Book 201'!$B$2:$AY$324,23,FALSE)</f>
        <v>4</v>
      </c>
      <c r="G163">
        <f>VLOOKUP(Data[[#This Row],[DEVELOPMENT]],'[2]NYCHA_Development_Data_Book 201'!$B$2:$AY$324,12,FALSE)</f>
        <v>448</v>
      </c>
      <c r="H163" t="s">
        <v>470</v>
      </c>
      <c r="I163" t="s">
        <v>471</v>
      </c>
      <c r="J163">
        <f>IFERROR(VLOOKUP(Data[[#This Row],[DEVELOPMENT]],[5]!Table1[[DEVELOPMENTS]:[Installation Date of Exterior Compactor]],4,FALSE),0)</f>
        <v>0</v>
      </c>
      <c r="K163" s="20">
        <f>IFERROR(VLOOKUP(Data[[#This Row],[DEVELOPMENT]],[5]!Table1[[DEVELOPMENTS]:[Installation Date of Exterior Compactor]],7,FALSE),0)</f>
        <v>0</v>
      </c>
      <c r="L163" s="42" t="str">
        <f>IF(Data[[#This Row],['# Interior Compactors]]=0,"",VLOOKUP(Data[[#This Row],[DEVELOPMENT]],[5]!Table1[[DEVELOPMENTS]:[Installation Date of Exterior Compactor]],5,FALSE))</f>
        <v/>
      </c>
      <c r="M163" s="43" t="str">
        <f>IF(Data[[#This Row],['# Exterior Compactors]]=0,"",VLOOKUP(Data[[#This Row],[DEVELOPMENT]],[5]!Table1[[DEVELOPMENTS]:[Installation Date of Exterior Compactor]],8,FALSE))</f>
        <v/>
      </c>
      <c r="N163">
        <f>Data[[#This Row],['# Interior Compactors]]</f>
        <v>0</v>
      </c>
      <c r="O163" s="20">
        <f>1</f>
        <v>1</v>
      </c>
      <c r="P163" s="20">
        <f>1</f>
        <v>1</v>
      </c>
      <c r="Q163" s="20">
        <f>1</f>
        <v>1</v>
      </c>
      <c r="R163" s="20">
        <f>1</f>
        <v>1</v>
      </c>
      <c r="S163" s="20">
        <f>1</f>
        <v>1</v>
      </c>
      <c r="T163" s="20">
        <f>Data[[#This Row],[DUs]]</f>
        <v>448</v>
      </c>
      <c r="U16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3" s="101">
        <f>VLOOKUP(Data[[#This Row],[DEVELOPMENT]],'[2]NYCHA_Development_Data_Book 201'!$B$2:$E$324,3,FALSE)</f>
        <v>50</v>
      </c>
      <c r="Y163" s="20"/>
      <c r="Z163" s="20">
        <f>IFERROR(VLOOKUP(Data[[#This Row],[TDS]],'[7]Static Ext by TDS'!$A$5:$E$120,2,FALSE),0)</f>
        <v>1</v>
      </c>
      <c r="AA163" s="20">
        <f>IFERROR(VLOOKUP(Data[[#This Row],[TDS]],'[7]Static Int by TDS'!$A$6:$O$305,2,FALSE),0)</f>
        <v>4</v>
      </c>
      <c r="AB163" s="20"/>
      <c r="AC163" s="20"/>
      <c r="AD163" s="20">
        <f>IFERROR(VLOOKUP(Data[[#This Row],[TDS]],'[7]Static Ext by TDS'!$A$5:$P$120,3,FALSE)+VLOOKUP(Data[[#This Row],[TDS]],'[7]Static Ext by TDS'!$A$5:$P$120,6,FALSE),0)</f>
        <v>1</v>
      </c>
      <c r="AE163" s="20">
        <f>IFERROR(VLOOKUP(Data[[#This Row],[TDS]],'[7]Static Int by TDS'!$A$6:$O$305,3,FALSE)+VLOOKUP(Data[[#This Row],[TDS]],'[7]Static Int by TDS'!$A$6:$O$305,6,FALSE),0)</f>
        <v>4</v>
      </c>
      <c r="AF163" s="20" t="str">
        <f>VLOOKUP(Data[[#This Row],[DEVELOPMENT]],[8]Developments!$A$2:$A$312,1,FALSE)</f>
        <v>LEXINGTON</v>
      </c>
    </row>
    <row r="164" spans="1:32" x14ac:dyDescent="0.25">
      <c r="A164" t="s">
        <v>113</v>
      </c>
      <c r="B164" t="str">
        <f>VLOOKUP(Data[[#This Row],[DEVELOPMENT]],'[2]NYCHA_Development_Data_Book 201'!$B$2:$AY$324,40,FALSE)</f>
        <v>MANHATTAN</v>
      </c>
      <c r="C164" t="str">
        <f>VLOOKUP(Data[[#This Row],[DEVELOPMENT]],'[3]Cheat-Sheet'!$D$2:$Q$341,2,FALSE)</f>
        <v>LINCOLN</v>
      </c>
      <c r="D164" t="str">
        <f>IF(VLOOKUP(Data[[#This Row],[DEVELOPMENT]],'[4]IC Categories'!$A$2:$G$325,3,FALSE)=0,"",VLOOKUP(Data[[#This Row],[DEVELOPMENT]],'[4]IC Categories'!$A$2:$G$325,3,FALSE))</f>
        <v/>
      </c>
      <c r="E164">
        <f>VLOOKUP(Data[[#This Row],[DEVELOPMENT]],'[2]NYCHA_Development_Data_Book 201'!$B$2:$AY$324,21,FALSE)</f>
        <v>14</v>
      </c>
      <c r="F164">
        <f>VLOOKUP(Data[[#This Row],[DEVELOPMENT]],'[2]NYCHA_Development_Data_Book 201'!$B$2:$AY$324,23,FALSE)</f>
        <v>20</v>
      </c>
      <c r="G164">
        <f>VLOOKUP(Data[[#This Row],[DEVELOPMENT]],'[2]NYCHA_Development_Data_Book 201'!$B$2:$AY$324,12,FALSE)</f>
        <v>1280</v>
      </c>
      <c r="H164" t="s">
        <v>470</v>
      </c>
      <c r="I164" t="s">
        <v>477</v>
      </c>
      <c r="J164">
        <f>IFERROR(VLOOKUP(Data[[#This Row],[DEVELOPMENT]],[5]!Table1[[DEVELOPMENTS]:[Installation Date of Exterior Compactor]],4,FALSE),0)</f>
        <v>0</v>
      </c>
      <c r="K164" s="20">
        <f>IFERROR(VLOOKUP(Data[[#This Row],[DEVELOPMENT]],[5]!Table1[[DEVELOPMENTS]:[Installation Date of Exterior Compactor]],7,FALSE),0)</f>
        <v>0</v>
      </c>
      <c r="L164" s="42" t="str">
        <f>IF(Data[[#This Row],['# Interior Compactors]]=0,"",VLOOKUP(Data[[#This Row],[DEVELOPMENT]],[5]!Table1[[DEVELOPMENTS]:[Installation Date of Exterior Compactor]],5,FALSE))</f>
        <v/>
      </c>
      <c r="M164" s="43" t="str">
        <f>IF(Data[[#This Row],['# Exterior Compactors]]=0,"",VLOOKUP(Data[[#This Row],[DEVELOPMENT]],[5]!Table1[[DEVELOPMENTS]:[Installation Date of Exterior Compactor]],8,FALSE))</f>
        <v/>
      </c>
      <c r="N164">
        <f>Data[[#This Row],['# Interior Compactors]]</f>
        <v>0</v>
      </c>
      <c r="O164" s="20">
        <f>1</f>
        <v>1</v>
      </c>
      <c r="P164" s="20">
        <f>1</f>
        <v>1</v>
      </c>
      <c r="Q164" s="20">
        <f>1</f>
        <v>1</v>
      </c>
      <c r="R164" s="20">
        <f>1</f>
        <v>1</v>
      </c>
      <c r="S164" s="20">
        <f>1</f>
        <v>1</v>
      </c>
      <c r="T164" s="20">
        <f>Data[[#This Row],[DUs]]</f>
        <v>1280</v>
      </c>
      <c r="U16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4" s="101">
        <f>VLOOKUP(Data[[#This Row],[DEVELOPMENT]],'[2]NYCHA_Development_Data_Book 201'!$B$2:$E$324,3,FALSE)</f>
        <v>20</v>
      </c>
      <c r="Y164" s="20"/>
      <c r="Z164" s="20">
        <f>IFERROR(VLOOKUP(Data[[#This Row],[TDS]],'[7]Static Ext by TDS'!$A$5:$E$120,2,FALSE),0)</f>
        <v>2</v>
      </c>
      <c r="AA164" s="20">
        <f>IFERROR(VLOOKUP(Data[[#This Row],[TDS]],'[7]Static Int by TDS'!$A$6:$O$305,2,FALSE),0)</f>
        <v>20</v>
      </c>
      <c r="AB164" s="20"/>
      <c r="AC164" s="20"/>
      <c r="AD164" s="20">
        <f>IFERROR(VLOOKUP(Data[[#This Row],[TDS]],'[7]Static Ext by TDS'!$A$5:$P$120,3,FALSE)+VLOOKUP(Data[[#This Row],[TDS]],'[7]Static Ext by TDS'!$A$5:$P$120,6,FALSE),0)</f>
        <v>2</v>
      </c>
      <c r="AE164" s="20">
        <f>IFERROR(VLOOKUP(Data[[#This Row],[TDS]],'[7]Static Int by TDS'!$A$6:$O$305,3,FALSE)+VLOOKUP(Data[[#This Row],[TDS]],'[7]Static Int by TDS'!$A$6:$O$305,6,FALSE),0)</f>
        <v>20</v>
      </c>
      <c r="AF164" s="20" t="str">
        <f>VLOOKUP(Data[[#This Row],[DEVELOPMENT]],[8]Developments!$A$2:$A$312,1,FALSE)</f>
        <v>LINCOLN</v>
      </c>
    </row>
    <row r="165" spans="1:32" x14ac:dyDescent="0.25">
      <c r="A165" t="s">
        <v>263</v>
      </c>
      <c r="B165" s="20" t="str">
        <f>VLOOKUP(Data[[#This Row],[DEVELOPMENT]],'[2]NYCHA_Development_Data_Book 201'!$B$2:$AY$324,40,FALSE)</f>
        <v>BROOKLYN</v>
      </c>
      <c r="C165" s="20" t="str">
        <f>VLOOKUP(Data[[#This Row],[DEVELOPMENT]],'[3]Cheat-Sheet'!$D$2:$Q$341,2,FALSE)</f>
        <v>LINDEN</v>
      </c>
      <c r="D165" s="20">
        <f>IF(VLOOKUP(Data[[#This Row],[DEVELOPMENT]],'[4]IC Categories'!$A$2:$G$325,3,FALSE)=0,"",VLOOKUP(Data[[#This Row],[DEVELOPMENT]],'[4]IC Categories'!$A$2:$G$325,3,FALSE))</f>
        <v>2020</v>
      </c>
      <c r="E165" s="20">
        <f>VLOOKUP(Data[[#This Row],[DEVELOPMENT]],'[2]NYCHA_Development_Data_Book 201'!$B$2:$AY$324,21,FALSE)</f>
        <v>19</v>
      </c>
      <c r="F165" s="20">
        <f>VLOOKUP(Data[[#This Row],[DEVELOPMENT]],'[2]NYCHA_Development_Data_Book 201'!$B$2:$AY$324,23,FALSE)</f>
        <v>21</v>
      </c>
      <c r="G165" s="20">
        <f>VLOOKUP(Data[[#This Row],[DEVELOPMENT]],'[2]NYCHA_Development_Data_Book 201'!$B$2:$AY$324,12,FALSE)</f>
        <v>1586</v>
      </c>
      <c r="J165">
        <f>IFERROR(VLOOKUP(Data[[#This Row],[DEVELOPMENT]],[5]!Table1[[DEVELOPMENTS]:[Installation Date of Exterior Compactor]],4,FALSE),0)</f>
        <v>0</v>
      </c>
      <c r="K165" s="20">
        <f>IFERROR(VLOOKUP(Data[[#This Row],[DEVELOPMENT]],[5]!Table1[[DEVELOPMENTS]:[Installation Date of Exterior Compactor]],7,FALSE),0)</f>
        <v>0</v>
      </c>
      <c r="L165" s="42" t="str">
        <f>IF(Data[[#This Row],['# Interior Compactors]]=0,"",VLOOKUP(Data[[#This Row],[DEVELOPMENT]],[5]!Table1[[DEVELOPMENTS]:[Installation Date of Exterior Compactor]],5,FALSE))</f>
        <v/>
      </c>
      <c r="M165" s="43" t="str">
        <f>IF(Data[[#This Row],['# Exterior Compactors]]=0,"",VLOOKUP(Data[[#This Row],[DEVELOPMENT]],[5]!Table1[[DEVELOPMENTS]:[Installation Date of Exterior Compactor]],8,FALSE))</f>
        <v/>
      </c>
      <c r="N165" s="20">
        <f>Data[[#This Row],['# Interior Compactors]]</f>
        <v>0</v>
      </c>
      <c r="O165" s="20">
        <f>1</f>
        <v>1</v>
      </c>
      <c r="P165" s="20">
        <f>1</f>
        <v>1</v>
      </c>
      <c r="Q165" s="20">
        <f>1</f>
        <v>1</v>
      </c>
      <c r="R165" s="20">
        <f>1</f>
        <v>1</v>
      </c>
      <c r="S165" s="20">
        <f>1</f>
        <v>1</v>
      </c>
      <c r="T165" s="20">
        <f>Data[[#This Row],[DUs]]</f>
        <v>1586</v>
      </c>
      <c r="U16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5" s="101">
        <f>VLOOKUP(Data[[#This Row],[DEVELOPMENT]],'[2]NYCHA_Development_Data_Book 201'!$B$2:$E$324,3,FALSE)</f>
        <v>95</v>
      </c>
      <c r="Y165" s="20"/>
      <c r="Z165" s="20">
        <f>IFERROR(VLOOKUP(Data[[#This Row],[TDS]],'[7]Static Ext by TDS'!$A$5:$E$120,2,FALSE),0)</f>
        <v>0</v>
      </c>
      <c r="AA165" s="20">
        <f>IFERROR(VLOOKUP(Data[[#This Row],[TDS]],'[7]Static Int by TDS'!$A$6:$O$305,2,FALSE),0)</f>
        <v>19</v>
      </c>
      <c r="AB165" s="20">
        <v>1</v>
      </c>
      <c r="AC165" s="20"/>
      <c r="AD165" s="20">
        <f>IFERROR(VLOOKUP(Data[[#This Row],[TDS]],'[7]Static Ext by TDS'!$A$5:$P$120,3,FALSE)+VLOOKUP(Data[[#This Row],[TDS]],'[7]Static Ext by TDS'!$A$5:$P$120,6,FALSE),0)</f>
        <v>0</v>
      </c>
      <c r="AE165" s="20">
        <f>IFERROR(VLOOKUP(Data[[#This Row],[TDS]],'[7]Static Int by TDS'!$A$6:$O$305,3,FALSE)+VLOOKUP(Data[[#This Row],[TDS]],'[7]Static Int by TDS'!$A$6:$O$305,6,FALSE),0)</f>
        <v>19</v>
      </c>
      <c r="AF165" s="20" t="str">
        <f>VLOOKUP(Data[[#This Row],[DEVELOPMENT]],[8]Developments!$A$2:$A$312,1,FALSE)</f>
        <v>LINDEN</v>
      </c>
    </row>
    <row r="166" spans="1:32" x14ac:dyDescent="0.25">
      <c r="A166" t="s">
        <v>264</v>
      </c>
      <c r="B166" s="20" t="str">
        <f>VLOOKUP(Data[[#This Row],[DEVELOPMENT]],'[2]NYCHA_Development_Data_Book 201'!$B$2:$AY$324,40,FALSE)</f>
        <v>BROOKLYN</v>
      </c>
      <c r="C166" s="20" t="str">
        <f>VLOOKUP(Data[[#This Row],[DEVELOPMENT]],'[3]Cheat-Sheet'!$D$2:$Q$341,2,FALSE)</f>
        <v>UNITY PLAZA</v>
      </c>
      <c r="D166" s="20">
        <f>IF(VLOOKUP(Data[[#This Row],[DEVELOPMENT]],'[4]IC Categories'!$A$2:$G$325,3,FALSE)=0,"",VLOOKUP(Data[[#This Row],[DEVELOPMENT]],'[4]IC Categories'!$A$2:$G$325,3,FALSE))</f>
        <v>2026</v>
      </c>
      <c r="E166" s="20">
        <f>VLOOKUP(Data[[#This Row],[DEVELOPMENT]],'[2]NYCHA_Development_Data_Book 201'!$B$2:$AY$324,21,FALSE)</f>
        <v>4</v>
      </c>
      <c r="F166" s="20">
        <f>VLOOKUP(Data[[#This Row],[DEVELOPMENT]],'[2]NYCHA_Development_Data_Book 201'!$B$2:$AY$324,23,FALSE)</f>
        <v>4</v>
      </c>
      <c r="G166" s="20">
        <f>VLOOKUP(Data[[#This Row],[DEVELOPMENT]],'[2]NYCHA_Development_Data_Book 201'!$B$2:$AY$324,12,FALSE)</f>
        <v>229</v>
      </c>
      <c r="J166">
        <f>IFERROR(VLOOKUP(Data[[#This Row],[DEVELOPMENT]],[5]!Table1[[DEVELOPMENTS]:[Installation Date of Exterior Compactor]],4,FALSE),0)</f>
        <v>0</v>
      </c>
      <c r="K166" s="20">
        <f>IFERROR(VLOOKUP(Data[[#This Row],[DEVELOPMENT]],[5]!Table1[[DEVELOPMENTS]:[Installation Date of Exterior Compactor]],7,FALSE),0)</f>
        <v>0</v>
      </c>
      <c r="L166" s="42" t="str">
        <f>IF(Data[[#This Row],['# Interior Compactors]]=0,"",VLOOKUP(Data[[#This Row],[DEVELOPMENT]],[5]!Table1[[DEVELOPMENTS]:[Installation Date of Exterior Compactor]],5,FALSE))</f>
        <v/>
      </c>
      <c r="M166" s="43" t="str">
        <f>IF(Data[[#This Row],['# Exterior Compactors]]=0,"",VLOOKUP(Data[[#This Row],[DEVELOPMENT]],[5]!Table1[[DEVELOPMENTS]:[Installation Date of Exterior Compactor]],8,FALSE))</f>
        <v/>
      </c>
      <c r="N166" s="20">
        <f>Data[[#This Row],['# Interior Compactors]]</f>
        <v>0</v>
      </c>
      <c r="O166" s="20">
        <f>1</f>
        <v>1</v>
      </c>
      <c r="P166" s="20">
        <f>1</f>
        <v>1</v>
      </c>
      <c r="Q166" s="20">
        <f>1</f>
        <v>1</v>
      </c>
      <c r="R166" s="20">
        <f>1</f>
        <v>1</v>
      </c>
      <c r="S166" s="20">
        <f>1</f>
        <v>1</v>
      </c>
      <c r="T166" s="20">
        <f>Data[[#This Row],[DUs]]</f>
        <v>229</v>
      </c>
      <c r="U16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6" s="101">
        <f>VLOOKUP(Data[[#This Row],[DEVELOPMENT]],'[2]NYCHA_Development_Data_Book 201'!$B$2:$E$324,3,FALSE)</f>
        <v>276</v>
      </c>
      <c r="Y166" s="20"/>
      <c r="Z166" s="20">
        <f>IFERROR(VLOOKUP(Data[[#This Row],[TDS]],'[7]Static Ext by TDS'!$A$5:$E$120,2,FALSE),0)</f>
        <v>0</v>
      </c>
      <c r="AA166" s="20">
        <f>IFERROR(VLOOKUP(Data[[#This Row],[TDS]],'[7]Static Int by TDS'!$A$6:$O$305,2,FALSE),0)</f>
        <v>4</v>
      </c>
      <c r="AB166" s="20"/>
      <c r="AC166" s="20"/>
      <c r="AD166" s="20">
        <f>IFERROR(VLOOKUP(Data[[#This Row],[TDS]],'[7]Static Ext by TDS'!$A$5:$P$120,3,FALSE)+VLOOKUP(Data[[#This Row],[TDS]],'[7]Static Ext by TDS'!$A$5:$P$120,6,FALSE),0)</f>
        <v>0</v>
      </c>
      <c r="AE166" s="20">
        <f>IFERROR(VLOOKUP(Data[[#This Row],[TDS]],'[7]Static Int by TDS'!$A$6:$O$305,3,FALSE)+VLOOKUP(Data[[#This Row],[TDS]],'[7]Static Int by TDS'!$A$6:$O$305,6,FALSE),0)</f>
        <v>4</v>
      </c>
      <c r="AF166" s="20" t="str">
        <f>VLOOKUP(Data[[#This Row],[DEVELOPMENT]],[8]Developments!$A$2:$A$312,1,FALSE)</f>
        <v>LONG ISLAND BAPTIST HOUSES</v>
      </c>
    </row>
    <row r="167" spans="1:32" x14ac:dyDescent="0.25">
      <c r="A167" t="s">
        <v>265</v>
      </c>
      <c r="B167" s="20" t="str">
        <f>VLOOKUP(Data[[#This Row],[DEVELOPMENT]],'[2]NYCHA_Development_Data_Book 201'!$B$2:$AY$324,40,FALSE)</f>
        <v>BRONX</v>
      </c>
      <c r="C167" s="20" t="str">
        <f>VLOOKUP(Data[[#This Row],[DEVELOPMENT]],'[3]Cheat-Sheet'!$D$2:$Q$341,2,FALSE)</f>
        <v>BUILDING MANAGEMENT ASSOCIATES (PRIVATE - BX 1)</v>
      </c>
      <c r="D167" s="20" t="str">
        <f>IF(VLOOKUP(Data[[#This Row],[DEVELOPMENT]],'[4]IC Categories'!$A$2:$G$325,3,FALSE)=0,"",VLOOKUP(Data[[#This Row],[DEVELOPMENT]],'[4]IC Categories'!$A$2:$G$325,3,FALSE))</f>
        <v/>
      </c>
      <c r="E167" s="20">
        <f>VLOOKUP(Data[[#This Row],[DEVELOPMENT]],'[2]NYCHA_Development_Data_Book 201'!$B$2:$AY$324,21,FALSE)</f>
        <v>2</v>
      </c>
      <c r="F167" s="20">
        <f>VLOOKUP(Data[[#This Row],[DEVELOPMENT]],'[2]NYCHA_Development_Data_Book 201'!$B$2:$AY$324,23,FALSE)</f>
        <v>2</v>
      </c>
      <c r="G167" s="20">
        <f>VLOOKUP(Data[[#This Row],[DEVELOPMENT]],'[2]NYCHA_Development_Data_Book 201'!$B$2:$AY$324,12,FALSE)</f>
        <v>75</v>
      </c>
      <c r="J167">
        <f>IFERROR(VLOOKUP(Data[[#This Row],[DEVELOPMENT]],[5]!Table1[[DEVELOPMENTS]:[Installation Date of Exterior Compactor]],4,FALSE),0)</f>
        <v>0</v>
      </c>
      <c r="K167" s="20">
        <f>IFERROR(VLOOKUP(Data[[#This Row],[DEVELOPMENT]],[5]!Table1[[DEVELOPMENTS]:[Installation Date of Exterior Compactor]],7,FALSE),0)</f>
        <v>0</v>
      </c>
      <c r="L167" s="42" t="str">
        <f>IF(Data[[#This Row],['# Interior Compactors]]=0,"",VLOOKUP(Data[[#This Row],[DEVELOPMENT]],[5]!Table1[[DEVELOPMENTS]:[Installation Date of Exterior Compactor]],5,FALSE))</f>
        <v/>
      </c>
      <c r="M167" s="43" t="str">
        <f>IF(Data[[#This Row],['# Exterior Compactors]]=0,"",VLOOKUP(Data[[#This Row],[DEVELOPMENT]],[5]!Table1[[DEVELOPMENTS]:[Installation Date of Exterior Compactor]],8,FALSE))</f>
        <v/>
      </c>
      <c r="N167" s="20">
        <f>Data[[#This Row],['# Interior Compactors]]</f>
        <v>0</v>
      </c>
      <c r="O167" s="20">
        <f>1</f>
        <v>1</v>
      </c>
      <c r="P167" s="20">
        <f>1</f>
        <v>1</v>
      </c>
      <c r="Q167" s="20">
        <f>1</f>
        <v>1</v>
      </c>
      <c r="R167" s="20">
        <f>1</f>
        <v>1</v>
      </c>
      <c r="S167" s="20">
        <f>1</f>
        <v>1</v>
      </c>
      <c r="T167" s="20">
        <f>Data[[#This Row],[DUs]]</f>
        <v>75</v>
      </c>
      <c r="U16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7" s="101">
        <f>VLOOKUP(Data[[#This Row],[DEVELOPMENT]],'[2]NYCHA_Development_Data_Book 201'!$B$2:$E$324,3,FALSE)</f>
        <v>362</v>
      </c>
      <c r="Y167" s="20"/>
      <c r="Z167" s="20">
        <f>IFERROR(VLOOKUP(Data[[#This Row],[TDS]],'[7]Static Ext by TDS'!$A$5:$E$120,2,FALSE),0)</f>
        <v>0</v>
      </c>
      <c r="AA167" s="20">
        <f>IFERROR(VLOOKUP(Data[[#This Row],[TDS]],'[7]Static Int by TDS'!$A$6:$O$305,2,FALSE),0)</f>
        <v>5</v>
      </c>
      <c r="AB167" s="20"/>
      <c r="AC167" s="20"/>
      <c r="AD167" s="20">
        <f>IFERROR(VLOOKUP(Data[[#This Row],[TDS]],'[7]Static Ext by TDS'!$A$5:$P$120,3,FALSE)+VLOOKUP(Data[[#This Row],[TDS]],'[7]Static Ext by TDS'!$A$5:$P$120,6,FALSE),0)</f>
        <v>0</v>
      </c>
      <c r="AE167" s="20">
        <f>IFERROR(VLOOKUP(Data[[#This Row],[TDS]],'[7]Static Int by TDS'!$A$6:$O$305,3,FALSE)+VLOOKUP(Data[[#This Row],[TDS]],'[7]Static Int by TDS'!$A$6:$O$305,6,FALSE),0)</f>
        <v>5</v>
      </c>
      <c r="AF167" s="20" t="str">
        <f>VLOOKUP(Data[[#This Row],[DEVELOPMENT]],[8]Developments!$A$2:$A$312,1,FALSE)</f>
        <v>LONGFELLOW AVENUE REHAB</v>
      </c>
    </row>
    <row r="168" spans="1:32" x14ac:dyDescent="0.25">
      <c r="A168" t="s">
        <v>266</v>
      </c>
      <c r="B168" s="20" t="str">
        <f>VLOOKUP(Data[[#This Row],[DEVELOPMENT]],'[2]NYCHA_Development_Data_Book 201'!$B$2:$AY$324,40,FALSE)</f>
        <v>BROOKLYN</v>
      </c>
      <c r="C168" s="20" t="str">
        <f>VLOOKUP(Data[[#This Row],[DEVELOPMENT]],'[3]Cheat-Sheet'!$D$2:$Q$341,2,FALSE)</f>
        <v>LOW HOUSES</v>
      </c>
      <c r="D168" s="20" t="str">
        <f>IF(VLOOKUP(Data[[#This Row],[DEVELOPMENT]],'[4]IC Categories'!$A$2:$G$325,3,FALSE)=0,"",VLOOKUP(Data[[#This Row],[DEVELOPMENT]],'[4]IC Categories'!$A$2:$G$325,3,FALSE))</f>
        <v/>
      </c>
      <c r="E168" s="20">
        <f>VLOOKUP(Data[[#This Row],[DEVELOPMENT]],'[2]NYCHA_Development_Data_Book 201'!$B$2:$AY$324,21,FALSE)</f>
        <v>4</v>
      </c>
      <c r="F168" s="20">
        <f>VLOOKUP(Data[[#This Row],[DEVELOPMENT]],'[2]NYCHA_Development_Data_Book 201'!$B$2:$AY$324,23,FALSE)</f>
        <v>4</v>
      </c>
      <c r="G168" s="20">
        <f>VLOOKUP(Data[[#This Row],[DEVELOPMENT]],'[2]NYCHA_Development_Data_Book 201'!$B$2:$AY$324,12,FALSE)</f>
        <v>534</v>
      </c>
      <c r="J168">
        <f>IFERROR(VLOOKUP(Data[[#This Row],[DEVELOPMENT]],[5]!Table1[[DEVELOPMENTS]:[Installation Date of Exterior Compactor]],4,FALSE),0)</f>
        <v>0</v>
      </c>
      <c r="K168" s="20">
        <f>IFERROR(VLOOKUP(Data[[#This Row],[DEVELOPMENT]],[5]!Table1[[DEVELOPMENTS]:[Installation Date of Exterior Compactor]],7,FALSE),0)</f>
        <v>0</v>
      </c>
      <c r="L168" s="42" t="str">
        <f>IF(Data[[#This Row],['# Interior Compactors]]=0,"",VLOOKUP(Data[[#This Row],[DEVELOPMENT]],[5]!Table1[[DEVELOPMENTS]:[Installation Date of Exterior Compactor]],5,FALSE))</f>
        <v/>
      </c>
      <c r="M168" s="43" t="str">
        <f>IF(Data[[#This Row],['# Exterior Compactors]]=0,"",VLOOKUP(Data[[#This Row],[DEVELOPMENT]],[5]!Table1[[DEVELOPMENTS]:[Installation Date of Exterior Compactor]],8,FALSE))</f>
        <v/>
      </c>
      <c r="N168" s="20">
        <f>Data[[#This Row],['# Interior Compactors]]</f>
        <v>0</v>
      </c>
      <c r="O168" s="20">
        <f>1</f>
        <v>1</v>
      </c>
      <c r="P168" s="20">
        <f>1</f>
        <v>1</v>
      </c>
      <c r="Q168" s="20">
        <f>1</f>
        <v>1</v>
      </c>
      <c r="R168" s="20">
        <f>1</f>
        <v>1</v>
      </c>
      <c r="S168" s="20">
        <f>1</f>
        <v>1</v>
      </c>
      <c r="T168" s="20">
        <f>Data[[#This Row],[DUs]]</f>
        <v>534</v>
      </c>
      <c r="U16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8" s="101">
        <f>VLOOKUP(Data[[#This Row],[DEVELOPMENT]],'[2]NYCHA_Development_Data_Book 201'!$B$2:$E$324,3,FALSE)</f>
        <v>169</v>
      </c>
      <c r="Y168" s="20"/>
      <c r="Z168" s="20">
        <f>IFERROR(VLOOKUP(Data[[#This Row],[TDS]],'[7]Static Ext by TDS'!$A$5:$E$120,2,FALSE),0)</f>
        <v>0</v>
      </c>
      <c r="AA168" s="20">
        <f>IFERROR(VLOOKUP(Data[[#This Row],[TDS]],'[7]Static Int by TDS'!$A$6:$O$305,2,FALSE),0)</f>
        <v>3</v>
      </c>
      <c r="AB168" s="20"/>
      <c r="AC168" s="20"/>
      <c r="AD168" s="20">
        <f>IFERROR(VLOOKUP(Data[[#This Row],[TDS]],'[7]Static Ext by TDS'!$A$5:$P$120,3,FALSE)+VLOOKUP(Data[[#This Row],[TDS]],'[7]Static Ext by TDS'!$A$5:$P$120,6,FALSE),0)</f>
        <v>0</v>
      </c>
      <c r="AE168" s="20">
        <f>IFERROR(VLOOKUP(Data[[#This Row],[TDS]],'[7]Static Int by TDS'!$A$6:$O$305,3,FALSE)+VLOOKUP(Data[[#This Row],[TDS]],'[7]Static Int by TDS'!$A$6:$O$305,6,FALSE),0)</f>
        <v>3</v>
      </c>
      <c r="AF168" s="20" t="str">
        <f>VLOOKUP(Data[[#This Row],[DEVELOPMENT]],[8]Developments!$A$2:$A$312,1,FALSE)</f>
        <v>LOW HOUSES</v>
      </c>
    </row>
    <row r="169" spans="1:32" x14ac:dyDescent="0.25">
      <c r="A169" s="17" t="s">
        <v>62</v>
      </c>
      <c r="B169" s="17" t="str">
        <f>VLOOKUP(Data[[#This Row],[DEVELOPMENT]],'[2]NYCHA_Development_Data_Book 201'!$B$2:$AY$324,40,FALSE)</f>
        <v>MANHATTAN</v>
      </c>
      <c r="C169" t="str">
        <f>VLOOKUP(Data[[#This Row],[DEVELOPMENT]],'[3]Cheat-Sheet'!$D$2:$Q$341,2,FALSE)</f>
        <v>GOMPERS</v>
      </c>
      <c r="D169" t="str">
        <f>IF(VLOOKUP(Data[[#This Row],[DEVELOPMENT]],'[4]IC Categories'!$A$2:$G$325,3,FALSE)=0,"",VLOOKUP(Data[[#This Row],[DEVELOPMENT]],'[4]IC Categories'!$A$2:$G$325,3,FALSE))</f>
        <v/>
      </c>
      <c r="E169">
        <f>VLOOKUP(Data[[#This Row],[DEVELOPMENT]],'[2]NYCHA_Development_Data_Book 201'!$B$2:$AY$324,21,FALSE)</f>
        <v>5</v>
      </c>
      <c r="F169">
        <f>VLOOKUP(Data[[#This Row],[DEVELOPMENT]],'[2]NYCHA_Development_Data_Book 201'!$B$2:$AY$324,23,FALSE)</f>
        <v>15</v>
      </c>
      <c r="G169">
        <f>VLOOKUP(Data[[#This Row],[DEVELOPMENT]],'[2]NYCHA_Development_Data_Book 201'!$B$2:$AY$324,12,FALSE)</f>
        <v>189</v>
      </c>
      <c r="H169" t="s">
        <v>472</v>
      </c>
      <c r="I169" t="s">
        <v>475</v>
      </c>
      <c r="J169">
        <f>IFERROR(VLOOKUP(Data[[#This Row],[DEVELOPMENT]],[5]!Table1[[DEVELOPMENTS]:[Installation Date of Exterior Compactor]],4,FALSE),0)</f>
        <v>0</v>
      </c>
      <c r="K169" s="20">
        <f>IFERROR(VLOOKUP(Data[[#This Row],[DEVELOPMENT]],[5]!Table1[[DEVELOPMENTS]:[Installation Date of Exterior Compactor]],7,FALSE),0)</f>
        <v>0</v>
      </c>
      <c r="L169" s="42" t="str">
        <f>IF(Data[[#This Row],['# Interior Compactors]]=0,"",VLOOKUP(Data[[#This Row],[DEVELOPMENT]],[5]!Table1[[DEVELOPMENTS]:[Installation Date of Exterior Compactor]],5,FALSE))</f>
        <v/>
      </c>
      <c r="M169" s="43" t="str">
        <f>IF(Data[[#This Row],['# Exterior Compactors]]=0,"",VLOOKUP(Data[[#This Row],[DEVELOPMENT]],[5]!Table1[[DEVELOPMENTS]:[Installation Date of Exterior Compactor]],8,FALSE))</f>
        <v/>
      </c>
      <c r="N169">
        <f>Data[[#This Row],['# Interior Compactors]]</f>
        <v>0</v>
      </c>
      <c r="O169" s="20">
        <f>1</f>
        <v>1</v>
      </c>
      <c r="P169" s="20">
        <f>1</f>
        <v>1</v>
      </c>
      <c r="Q169" s="20">
        <f>1</f>
        <v>1</v>
      </c>
      <c r="R169" s="20">
        <f>1</f>
        <v>1</v>
      </c>
      <c r="S169" s="20">
        <f>1</f>
        <v>1</v>
      </c>
      <c r="T169" s="20">
        <f>Data[[#This Row],[DUs]]</f>
        <v>189</v>
      </c>
      <c r="U16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6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6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69" s="101">
        <f>VLOOKUP(Data[[#This Row],[DEVELOPMENT]],'[2]NYCHA_Development_Data_Book 201'!$B$2:$E$324,3,FALSE)</f>
        <v>326</v>
      </c>
      <c r="Y169" s="20" t="s">
        <v>473</v>
      </c>
      <c r="Z169" s="20">
        <f>IFERROR(VLOOKUP(Data[[#This Row],[TDS]],'[7]Static Ext by TDS'!$A$5:$E$120,2,FALSE),0)</f>
        <v>0</v>
      </c>
      <c r="AA169" s="20">
        <f>IFERROR(VLOOKUP(Data[[#This Row],[TDS]],'[7]Static Int by TDS'!$A$6:$O$305,2,FALSE),0)</f>
        <v>0</v>
      </c>
      <c r="AB169" s="20"/>
      <c r="AC169" s="20"/>
      <c r="AD169" s="20">
        <f>IFERROR(VLOOKUP(Data[[#This Row],[TDS]],'[7]Static Ext by TDS'!$A$5:$P$120,3,FALSE)+VLOOKUP(Data[[#This Row],[TDS]],'[7]Static Ext by TDS'!$A$5:$P$120,6,FALSE),0)</f>
        <v>0</v>
      </c>
      <c r="AE169" s="20">
        <f>IFERROR(VLOOKUP(Data[[#This Row],[TDS]],'[7]Static Int by TDS'!$A$6:$O$305,3,FALSE)+VLOOKUP(Data[[#This Row],[TDS]],'[7]Static Int by TDS'!$A$6:$O$305,6,FALSE),0)</f>
        <v>0</v>
      </c>
      <c r="AF169" s="20" t="str">
        <f>VLOOKUP(Data[[#This Row],[DEVELOPMENT]],[8]Developments!$A$2:$A$312,1,FALSE)</f>
        <v>LOWER EAST SIDE I INFILL</v>
      </c>
    </row>
    <row r="170" spans="1:32" x14ac:dyDescent="0.25">
      <c r="A170" s="17" t="s">
        <v>63</v>
      </c>
      <c r="B170" s="17" t="str">
        <f>VLOOKUP(Data[[#This Row],[DEVELOPMENT]],'[2]NYCHA_Development_Data_Book 201'!$B$2:$AY$324,40,FALSE)</f>
        <v>MANHATTAN</v>
      </c>
      <c r="C170" t="str">
        <f>VLOOKUP(Data[[#This Row],[DEVELOPMENT]],'[3]Cheat-Sheet'!$D$2:$Q$341,2,FALSE)</f>
        <v>LOWER EAST SIDE CONSOLIDATED</v>
      </c>
      <c r="D170">
        <f>IF(VLOOKUP(Data[[#This Row],[DEVELOPMENT]],'[4]IC Categories'!$A$2:$G$325,3,FALSE)=0,"",VLOOKUP(Data[[#This Row],[DEVELOPMENT]],'[4]IC Categories'!$A$2:$G$325,3,FALSE))</f>
        <v>2026</v>
      </c>
      <c r="E170">
        <f>VLOOKUP(Data[[#This Row],[DEVELOPMENT]],'[2]NYCHA_Development_Data_Book 201'!$B$2:$AY$324,21,FALSE)</f>
        <v>4</v>
      </c>
      <c r="F170">
        <f>VLOOKUP(Data[[#This Row],[DEVELOPMENT]],'[2]NYCHA_Development_Data_Book 201'!$B$2:$AY$324,23,FALSE)</f>
        <v>32</v>
      </c>
      <c r="G170">
        <f>VLOOKUP(Data[[#This Row],[DEVELOPMENT]],'[2]NYCHA_Development_Data_Book 201'!$B$2:$AY$324,12,FALSE)</f>
        <v>188</v>
      </c>
      <c r="H170" t="s">
        <v>472</v>
      </c>
      <c r="I170" t="s">
        <v>471</v>
      </c>
      <c r="J170">
        <f>IFERROR(VLOOKUP(Data[[#This Row],[DEVELOPMENT]],[5]!Table1[[DEVELOPMENTS]:[Installation Date of Exterior Compactor]],4,FALSE),0)</f>
        <v>0</v>
      </c>
      <c r="K170" s="20">
        <f>IFERROR(VLOOKUP(Data[[#This Row],[DEVELOPMENT]],[5]!Table1[[DEVELOPMENTS]:[Installation Date of Exterior Compactor]],7,FALSE),0)</f>
        <v>0</v>
      </c>
      <c r="L170" s="42" t="str">
        <f>IF(Data[[#This Row],['# Interior Compactors]]=0,"",VLOOKUP(Data[[#This Row],[DEVELOPMENT]],[5]!Table1[[DEVELOPMENTS]:[Installation Date of Exterior Compactor]],5,FALSE))</f>
        <v/>
      </c>
      <c r="M170" s="43" t="str">
        <f>IF(Data[[#This Row],['# Exterior Compactors]]=0,"",VLOOKUP(Data[[#This Row],[DEVELOPMENT]],[5]!Table1[[DEVELOPMENTS]:[Installation Date of Exterior Compactor]],8,FALSE))</f>
        <v/>
      </c>
      <c r="N170">
        <f>Data[[#This Row],['# Interior Compactors]]</f>
        <v>0</v>
      </c>
      <c r="O170" s="20">
        <f>1</f>
        <v>1</v>
      </c>
      <c r="P170" s="20">
        <f>1</f>
        <v>1</v>
      </c>
      <c r="Q170" s="20">
        <f>1</f>
        <v>1</v>
      </c>
      <c r="R170" s="20">
        <f>1</f>
        <v>1</v>
      </c>
      <c r="S170" s="20">
        <f>1</f>
        <v>1</v>
      </c>
      <c r="T170" s="20">
        <f>Data[[#This Row],[DUs]]</f>
        <v>188</v>
      </c>
      <c r="U17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0" s="101">
        <f>VLOOKUP(Data[[#This Row],[DEVELOPMENT]],'[2]NYCHA_Development_Data_Book 201'!$B$2:$E$324,3,FALSE)</f>
        <v>337</v>
      </c>
      <c r="Y170" s="20" t="s">
        <v>473</v>
      </c>
      <c r="Z170" s="20">
        <f>IFERROR(VLOOKUP(Data[[#This Row],[TDS]],'[7]Static Ext by TDS'!$A$5:$E$120,2,FALSE),0)</f>
        <v>0</v>
      </c>
      <c r="AA170" s="20">
        <f>IFERROR(VLOOKUP(Data[[#This Row],[TDS]],'[7]Static Int by TDS'!$A$6:$O$305,2,FALSE),0)</f>
        <v>0</v>
      </c>
      <c r="AB170" s="20"/>
      <c r="AC170" s="20"/>
      <c r="AD170" s="20">
        <f>IFERROR(VLOOKUP(Data[[#This Row],[TDS]],'[7]Static Ext by TDS'!$A$5:$P$120,3,FALSE)+VLOOKUP(Data[[#This Row],[TDS]],'[7]Static Ext by TDS'!$A$5:$P$120,6,FALSE),0)</f>
        <v>0</v>
      </c>
      <c r="AE170" s="20">
        <f>IFERROR(VLOOKUP(Data[[#This Row],[TDS]],'[7]Static Int by TDS'!$A$6:$O$305,3,FALSE)+VLOOKUP(Data[[#This Row],[TDS]],'[7]Static Int by TDS'!$A$6:$O$305,6,FALSE),0)</f>
        <v>0</v>
      </c>
      <c r="AF170" s="20" t="str">
        <f>VLOOKUP(Data[[#This Row],[DEVELOPMENT]],[8]Developments!$A$2:$A$312,1,FALSE)</f>
        <v>LOWER EAST SIDE II</v>
      </c>
    </row>
    <row r="171" spans="1:32" x14ac:dyDescent="0.25">
      <c r="A171" s="17" t="s">
        <v>267</v>
      </c>
      <c r="B171" s="17" t="str">
        <f>VLOOKUP(Data[[#This Row],[DEVELOPMENT]],'[2]NYCHA_Development_Data_Book 201'!$B$2:$AY$324,40,FALSE)</f>
        <v>MANHATTAN</v>
      </c>
      <c r="C171" t="str">
        <f>VLOOKUP(Data[[#This Row],[DEVELOPMENT]],'[3]Cheat-Sheet'!$D$2:$Q$341,2,FALSE)</f>
        <v>KRAUS MANAGEMENT (PRIVATE - M/B1)</v>
      </c>
      <c r="D171" t="str">
        <f>IF(VLOOKUP(Data[[#This Row],[DEVELOPMENT]],'[4]IC Categories'!$A$2:$G$325,3,FALSE)=0,"",VLOOKUP(Data[[#This Row],[DEVELOPMENT]],'[4]IC Categories'!$A$2:$G$325,3,FALSE))</f>
        <v/>
      </c>
      <c r="E171">
        <f>VLOOKUP(Data[[#This Row],[DEVELOPMENT]],'[2]NYCHA_Development_Data_Book 201'!$B$2:$AY$324,21,FALSE)</f>
        <v>2</v>
      </c>
      <c r="F171">
        <f>VLOOKUP(Data[[#This Row],[DEVELOPMENT]],'[2]NYCHA_Development_Data_Book 201'!$B$2:$AY$324,23,FALSE)</f>
        <v>3</v>
      </c>
      <c r="G171">
        <f>VLOOKUP(Data[[#This Row],[DEVELOPMENT]],'[2]NYCHA_Development_Data_Book 201'!$B$2:$AY$324,12,FALSE)</f>
        <v>56</v>
      </c>
      <c r="H171" t="s">
        <v>472</v>
      </c>
      <c r="I171" t="s">
        <v>471</v>
      </c>
      <c r="J171">
        <f>IFERROR(VLOOKUP(Data[[#This Row],[DEVELOPMENT]],[5]!Table1[[DEVELOPMENTS]:[Installation Date of Exterior Compactor]],4,FALSE),0)</f>
        <v>0</v>
      </c>
      <c r="K171" s="20">
        <f>IFERROR(VLOOKUP(Data[[#This Row],[DEVELOPMENT]],[5]!Table1[[DEVELOPMENTS]:[Installation Date of Exterior Compactor]],7,FALSE),0)</f>
        <v>0</v>
      </c>
      <c r="L171" s="42" t="str">
        <f>IF(Data[[#This Row],['# Interior Compactors]]=0,"",VLOOKUP(Data[[#This Row],[DEVELOPMENT]],[5]!Table1[[DEVELOPMENTS]:[Installation Date of Exterior Compactor]],5,FALSE))</f>
        <v/>
      </c>
      <c r="M171" s="43" t="str">
        <f>IF(Data[[#This Row],['# Exterior Compactors]]=0,"",VLOOKUP(Data[[#This Row],[DEVELOPMENT]],[5]!Table1[[DEVELOPMENTS]:[Installation Date of Exterior Compactor]],8,FALSE))</f>
        <v/>
      </c>
      <c r="N171">
        <f>Data[[#This Row],['# Interior Compactors]]</f>
        <v>0</v>
      </c>
      <c r="O171" s="20">
        <f>1</f>
        <v>1</v>
      </c>
      <c r="P171" s="20">
        <f>1</f>
        <v>1</v>
      </c>
      <c r="Q171" s="20">
        <f>1</f>
        <v>1</v>
      </c>
      <c r="R171" s="20">
        <f>1</f>
        <v>1</v>
      </c>
      <c r="S171" s="20">
        <f>1</f>
        <v>1</v>
      </c>
      <c r="T171" s="20">
        <f>Data[[#This Row],[DUs]]</f>
        <v>56</v>
      </c>
      <c r="U17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1" s="101">
        <f>VLOOKUP(Data[[#This Row],[DEVELOPMENT]],'[2]NYCHA_Development_Data_Book 201'!$B$2:$E$324,3,FALSE)</f>
        <v>364</v>
      </c>
      <c r="Y171" s="20" t="s">
        <v>473</v>
      </c>
      <c r="Z171" s="20">
        <f>IFERROR(VLOOKUP(Data[[#This Row],[TDS]],'[7]Static Ext by TDS'!$A$5:$E$120,2,FALSE),0)</f>
        <v>0</v>
      </c>
      <c r="AA171" s="20">
        <f>IFERROR(VLOOKUP(Data[[#This Row],[TDS]],'[7]Static Int by TDS'!$A$6:$O$305,2,FALSE),0)</f>
        <v>0</v>
      </c>
      <c r="AB171" s="20"/>
      <c r="AC171" s="20"/>
      <c r="AD171" s="20">
        <f>IFERROR(VLOOKUP(Data[[#This Row],[TDS]],'[7]Static Ext by TDS'!$A$5:$P$120,3,FALSE)+VLOOKUP(Data[[#This Row],[TDS]],'[7]Static Ext by TDS'!$A$5:$P$120,6,FALSE),0)</f>
        <v>0</v>
      </c>
      <c r="AE171" s="20">
        <f>IFERROR(VLOOKUP(Data[[#This Row],[TDS]],'[7]Static Int by TDS'!$A$6:$O$305,3,FALSE)+VLOOKUP(Data[[#This Row],[TDS]],'[7]Static Int by TDS'!$A$6:$O$305,6,FALSE),0)</f>
        <v>0</v>
      </c>
      <c r="AF171" s="20" t="str">
        <f>VLOOKUP(Data[[#This Row],[DEVELOPMENT]],[8]Developments!$A$2:$A$312,1,FALSE)</f>
        <v>LOWER EAST SIDE III</v>
      </c>
    </row>
    <row r="172" spans="1:32" x14ac:dyDescent="0.25">
      <c r="A172" s="17" t="s">
        <v>64</v>
      </c>
      <c r="B172" s="17" t="str">
        <f>VLOOKUP(Data[[#This Row],[DEVELOPMENT]],'[2]NYCHA_Development_Data_Book 201'!$B$2:$AY$324,40,FALSE)</f>
        <v>MANHATTAN</v>
      </c>
      <c r="C172" t="str">
        <f>VLOOKUP(Data[[#This Row],[DEVELOPMENT]],'[3]Cheat-Sheet'!$D$2:$Q$341,2,FALSE)</f>
        <v>LOWER EAST SIDE CONSOLIDATED</v>
      </c>
      <c r="D172">
        <f>IF(VLOOKUP(Data[[#This Row],[DEVELOPMENT]],'[4]IC Categories'!$A$2:$G$325,3,FALSE)=0,"",VLOOKUP(Data[[#This Row],[DEVELOPMENT]],'[4]IC Categories'!$A$2:$G$325,3,FALSE))</f>
        <v>2026</v>
      </c>
      <c r="E172">
        <f>VLOOKUP(Data[[#This Row],[DEVELOPMENT]],'[2]NYCHA_Development_Data_Book 201'!$B$2:$AY$324,21,FALSE)</f>
        <v>2</v>
      </c>
      <c r="F172">
        <f>VLOOKUP(Data[[#This Row],[DEVELOPMENT]],'[2]NYCHA_Development_Data_Book 201'!$B$2:$AY$324,23,FALSE)</f>
        <v>2</v>
      </c>
      <c r="G172">
        <f>VLOOKUP(Data[[#This Row],[DEVELOPMENT]],'[2]NYCHA_Development_Data_Book 201'!$B$2:$AY$324,12,FALSE)</f>
        <v>55</v>
      </c>
      <c r="H172" t="s">
        <v>472</v>
      </c>
      <c r="I172" t="s">
        <v>475</v>
      </c>
      <c r="J172">
        <f>IFERROR(VLOOKUP(Data[[#This Row],[DEVELOPMENT]],[5]!Table1[[DEVELOPMENTS]:[Installation Date of Exterior Compactor]],4,FALSE),0)</f>
        <v>0</v>
      </c>
      <c r="K172" s="20">
        <f>IFERROR(VLOOKUP(Data[[#This Row],[DEVELOPMENT]],[5]!Table1[[DEVELOPMENTS]:[Installation Date of Exterior Compactor]],7,FALSE),0)</f>
        <v>0</v>
      </c>
      <c r="L172" s="42" t="str">
        <f>IF(Data[[#This Row],['# Interior Compactors]]=0,"",VLOOKUP(Data[[#This Row],[DEVELOPMENT]],[5]!Table1[[DEVELOPMENTS]:[Installation Date of Exterior Compactor]],5,FALSE))</f>
        <v/>
      </c>
      <c r="M172" s="43" t="str">
        <f>IF(Data[[#This Row],['# Exterior Compactors]]=0,"",VLOOKUP(Data[[#This Row],[DEVELOPMENT]],[5]!Table1[[DEVELOPMENTS]:[Installation Date of Exterior Compactor]],8,FALSE))</f>
        <v/>
      </c>
      <c r="N172">
        <f>Data[[#This Row],['# Interior Compactors]]</f>
        <v>0</v>
      </c>
      <c r="O172" s="20">
        <f>1</f>
        <v>1</v>
      </c>
      <c r="P172" s="20">
        <f>1</f>
        <v>1</v>
      </c>
      <c r="Q172" s="20">
        <f>1</f>
        <v>1</v>
      </c>
      <c r="R172" s="20">
        <f>1</f>
        <v>1</v>
      </c>
      <c r="S172" s="20">
        <f>1</f>
        <v>1</v>
      </c>
      <c r="T172" s="20">
        <f>Data[[#This Row],[DUs]]</f>
        <v>55</v>
      </c>
      <c r="U17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2" s="101">
        <f>VLOOKUP(Data[[#This Row],[DEVELOPMENT]],'[2]NYCHA_Development_Data_Book 201'!$B$2:$E$324,3,FALSE)</f>
        <v>292</v>
      </c>
      <c r="Y172" s="20" t="s">
        <v>473</v>
      </c>
      <c r="Z172" s="20">
        <f>IFERROR(VLOOKUP(Data[[#This Row],[TDS]],'[7]Static Ext by TDS'!$A$5:$E$120,2,FALSE),0)</f>
        <v>0</v>
      </c>
      <c r="AA172" s="20">
        <f>IFERROR(VLOOKUP(Data[[#This Row],[TDS]],'[7]Static Int by TDS'!$A$6:$O$305,2,FALSE),0)</f>
        <v>2</v>
      </c>
      <c r="AB172" s="20"/>
      <c r="AC172" s="20"/>
      <c r="AD172" s="20">
        <f>IFERROR(VLOOKUP(Data[[#This Row],[TDS]],'[7]Static Ext by TDS'!$A$5:$P$120,3,FALSE)+VLOOKUP(Data[[#This Row],[TDS]],'[7]Static Ext by TDS'!$A$5:$P$120,6,FALSE),0)</f>
        <v>0</v>
      </c>
      <c r="AE172" s="20">
        <f>IFERROR(VLOOKUP(Data[[#This Row],[TDS]],'[7]Static Int by TDS'!$A$6:$O$305,3,FALSE)+VLOOKUP(Data[[#This Row],[TDS]],'[7]Static Int by TDS'!$A$6:$O$305,6,FALSE),0)</f>
        <v>2</v>
      </c>
      <c r="AF172" s="20" t="str">
        <f>VLOOKUP(Data[[#This Row],[DEVELOPMENT]],[8]Developments!$A$2:$A$312,1,FALSE)</f>
        <v>LOWER EAST SIDE REHAB (GROUP 5)</v>
      </c>
    </row>
    <row r="173" spans="1:32" x14ac:dyDescent="0.25">
      <c r="A173" t="s">
        <v>122</v>
      </c>
      <c r="B173" t="str">
        <f>VLOOKUP(Data[[#This Row],[DEVELOPMENT]],'[2]NYCHA_Development_Data_Book 201'!$B$2:$AY$324,40,FALSE)</f>
        <v>MANHATTAN</v>
      </c>
      <c r="C173" t="str">
        <f>VLOOKUP(Data[[#This Row],[DEVELOPMENT]],'[3]Cheat-Sheet'!$D$2:$Q$341,2,FALSE)</f>
        <v>MANHATTANVILLE</v>
      </c>
      <c r="D173">
        <f>IF(VLOOKUP(Data[[#This Row],[DEVELOPMENT]],'[4]IC Categories'!$A$2:$G$325,3,FALSE)=0,"",VLOOKUP(Data[[#This Row],[DEVELOPMENT]],'[4]IC Categories'!$A$2:$G$325,3,FALSE))</f>
        <v>2028</v>
      </c>
      <c r="E173">
        <f>VLOOKUP(Data[[#This Row],[DEVELOPMENT]],'[2]NYCHA_Development_Data_Book 201'!$B$2:$AY$324,21,FALSE)</f>
        <v>6</v>
      </c>
      <c r="F173">
        <f>VLOOKUP(Data[[#This Row],[DEVELOPMENT]],'[2]NYCHA_Development_Data_Book 201'!$B$2:$AY$324,23,FALSE)</f>
        <v>6</v>
      </c>
      <c r="G173">
        <f>VLOOKUP(Data[[#This Row],[DEVELOPMENT]],'[2]NYCHA_Development_Data_Book 201'!$B$2:$AY$324,12,FALSE)</f>
        <v>1272</v>
      </c>
      <c r="H173" t="s">
        <v>470</v>
      </c>
      <c r="I173" t="s">
        <v>471</v>
      </c>
      <c r="J173">
        <f>IFERROR(VLOOKUP(Data[[#This Row],[DEVELOPMENT]],[5]!Table1[[DEVELOPMENTS]:[Installation Date of Exterior Compactor]],4,FALSE),0)</f>
        <v>0</v>
      </c>
      <c r="K173" s="20">
        <f>IFERROR(VLOOKUP(Data[[#This Row],[DEVELOPMENT]],[5]!Table1[[DEVELOPMENTS]:[Installation Date of Exterior Compactor]],7,FALSE),0)</f>
        <v>0</v>
      </c>
      <c r="L173" s="42" t="str">
        <f>IF(Data[[#This Row],['# Interior Compactors]]=0,"",VLOOKUP(Data[[#This Row],[DEVELOPMENT]],[5]!Table1[[DEVELOPMENTS]:[Installation Date of Exterior Compactor]],5,FALSE))</f>
        <v/>
      </c>
      <c r="M173" s="43" t="str">
        <f>IF(Data[[#This Row],['# Exterior Compactors]]=0,"",VLOOKUP(Data[[#This Row],[DEVELOPMENT]],[5]!Table1[[DEVELOPMENTS]:[Installation Date of Exterior Compactor]],8,FALSE))</f>
        <v/>
      </c>
      <c r="N173">
        <f>Data[[#This Row],['# Interior Compactors]]</f>
        <v>0</v>
      </c>
      <c r="O173" s="20">
        <f>1</f>
        <v>1</v>
      </c>
      <c r="P173" s="20">
        <f>1</f>
        <v>1</v>
      </c>
      <c r="Q173" s="20">
        <f>1</f>
        <v>1</v>
      </c>
      <c r="R173" s="20">
        <f>1</f>
        <v>1</v>
      </c>
      <c r="S173" s="20">
        <f>1</f>
        <v>1</v>
      </c>
      <c r="T173" s="20">
        <f>Data[[#This Row],[DUs]]</f>
        <v>1272</v>
      </c>
      <c r="U17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3" s="101">
        <f>VLOOKUP(Data[[#This Row],[DEVELOPMENT]],'[2]NYCHA_Development_Data_Book 201'!$B$2:$E$324,3,FALSE)</f>
        <v>81</v>
      </c>
      <c r="Y173" s="20"/>
      <c r="Z173" s="20">
        <f>IFERROR(VLOOKUP(Data[[#This Row],[TDS]],'[7]Static Ext by TDS'!$A$5:$E$120,2,FALSE),0)</f>
        <v>3</v>
      </c>
      <c r="AA173" s="20">
        <f>IFERROR(VLOOKUP(Data[[#This Row],[TDS]],'[7]Static Int by TDS'!$A$6:$O$305,2,FALSE),0)</f>
        <v>6</v>
      </c>
      <c r="AB173" s="20"/>
      <c r="AC173" s="20"/>
      <c r="AD173" s="20">
        <f>IFERROR(VLOOKUP(Data[[#This Row],[TDS]],'[7]Static Ext by TDS'!$A$5:$P$120,3,FALSE)+VLOOKUP(Data[[#This Row],[TDS]],'[7]Static Ext by TDS'!$A$5:$P$120,6,FALSE),0)</f>
        <v>3</v>
      </c>
      <c r="AE173" s="20">
        <f>IFERROR(VLOOKUP(Data[[#This Row],[TDS]],'[7]Static Int by TDS'!$A$6:$O$305,3,FALSE)+VLOOKUP(Data[[#This Row],[TDS]],'[7]Static Int by TDS'!$A$6:$O$305,6,FALSE),0)</f>
        <v>6</v>
      </c>
      <c r="AF173" s="20" t="str">
        <f>VLOOKUP(Data[[#This Row],[DEVELOPMENT]],[8]Developments!$A$2:$A$312,1,FALSE)</f>
        <v>MANHATTANVILLE</v>
      </c>
    </row>
    <row r="174" spans="1:32" x14ac:dyDescent="0.25">
      <c r="A174" t="s">
        <v>87</v>
      </c>
      <c r="B174" t="str">
        <f>VLOOKUP(Data[[#This Row],[DEVELOPMENT]],'[2]NYCHA_Development_Data_Book 201'!$B$2:$AY$324,40,FALSE)</f>
        <v>MANHATTAN</v>
      </c>
      <c r="C174" t="str">
        <f>VLOOKUP(Data[[#This Row],[DEVELOPMENT]],'[3]Cheat-Sheet'!$D$2:$Q$341,2,FALSE)</f>
        <v>MANHATTANVILLE</v>
      </c>
      <c r="D174">
        <f>IF(VLOOKUP(Data[[#This Row],[DEVELOPMENT]],'[4]IC Categories'!$A$2:$G$325,3,FALSE)=0,"",VLOOKUP(Data[[#This Row],[DEVELOPMENT]],'[4]IC Categories'!$A$2:$G$325,3,FALSE))</f>
        <v>2019</v>
      </c>
      <c r="E174">
        <f>VLOOKUP(Data[[#This Row],[DEVELOPMENT]],'[2]NYCHA_Development_Data_Book 201'!$B$2:$AY$324,21,FALSE)</f>
        <v>3</v>
      </c>
      <c r="F174">
        <f>VLOOKUP(Data[[#This Row],[DEVELOPMENT]],'[2]NYCHA_Development_Data_Book 201'!$B$2:$AY$324,23,FALSE)</f>
        <v>3</v>
      </c>
      <c r="G174">
        <f>VLOOKUP(Data[[#This Row],[DEVELOPMENT]],'[2]NYCHA_Development_Data_Book 201'!$B$2:$AY$324,12,FALSE)</f>
        <v>46</v>
      </c>
      <c r="H174" t="s">
        <v>474</v>
      </c>
      <c r="I174" t="s">
        <v>471</v>
      </c>
      <c r="J174">
        <f>IFERROR(VLOOKUP(Data[[#This Row],[DEVELOPMENT]],[5]!Table1[[DEVELOPMENTS]:[Installation Date of Exterior Compactor]],4,FALSE),0)</f>
        <v>0</v>
      </c>
      <c r="K174" s="20">
        <f>IFERROR(VLOOKUP(Data[[#This Row],[DEVELOPMENT]],[5]!Table1[[DEVELOPMENTS]:[Installation Date of Exterior Compactor]],7,FALSE),0)</f>
        <v>0</v>
      </c>
      <c r="L174" s="42" t="str">
        <f>IF(Data[[#This Row],['# Interior Compactors]]=0,"",VLOOKUP(Data[[#This Row],[DEVELOPMENT]],[5]!Table1[[DEVELOPMENTS]:[Installation Date of Exterior Compactor]],5,FALSE))</f>
        <v/>
      </c>
      <c r="M174" s="43" t="str">
        <f>IF(Data[[#This Row],['# Exterior Compactors]]=0,"",VLOOKUP(Data[[#This Row],[DEVELOPMENT]],[5]!Table1[[DEVELOPMENTS]:[Installation Date of Exterior Compactor]],8,FALSE))</f>
        <v/>
      </c>
      <c r="N174">
        <f>Data[[#This Row],['# Interior Compactors]]</f>
        <v>0</v>
      </c>
      <c r="O174" s="20">
        <f>1</f>
        <v>1</v>
      </c>
      <c r="P174" s="20">
        <f>1</f>
        <v>1</v>
      </c>
      <c r="Q174" s="20">
        <f>1</f>
        <v>1</v>
      </c>
      <c r="R174" s="20">
        <f>1</f>
        <v>1</v>
      </c>
      <c r="S174" s="20">
        <f>1</f>
        <v>1</v>
      </c>
      <c r="T174" s="20">
        <f>Data[[#This Row],[DUs]]</f>
        <v>46</v>
      </c>
      <c r="U17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4" s="101">
        <f>VLOOKUP(Data[[#This Row],[DEVELOPMENT]],'[2]NYCHA_Development_Data_Book 201'!$B$2:$E$324,3,FALSE)</f>
        <v>296</v>
      </c>
      <c r="Y174" s="20"/>
      <c r="Z174" s="20">
        <f>IFERROR(VLOOKUP(Data[[#This Row],[TDS]],'[7]Static Ext by TDS'!$A$5:$E$120,2,FALSE),0)</f>
        <v>0</v>
      </c>
      <c r="AA174" s="20">
        <f>IFERROR(VLOOKUP(Data[[#This Row],[TDS]],'[7]Static Int by TDS'!$A$6:$O$305,2,FALSE),0)</f>
        <v>3</v>
      </c>
      <c r="AB174" s="20"/>
      <c r="AC174" s="20"/>
      <c r="AD174" s="20">
        <f>IFERROR(VLOOKUP(Data[[#This Row],[TDS]],'[7]Static Ext by TDS'!$A$5:$P$120,3,FALSE)+VLOOKUP(Data[[#This Row],[TDS]],'[7]Static Ext by TDS'!$A$5:$P$120,6,FALSE),0)</f>
        <v>0</v>
      </c>
      <c r="AE174" s="20">
        <f>IFERROR(VLOOKUP(Data[[#This Row],[TDS]],'[7]Static Int by TDS'!$A$6:$O$305,3,FALSE)+VLOOKUP(Data[[#This Row],[TDS]],'[7]Static Int by TDS'!$A$6:$O$305,6,FALSE),0)</f>
        <v>2</v>
      </c>
      <c r="AF174" s="20" t="str">
        <f>VLOOKUP(Data[[#This Row],[DEVELOPMENT]],[8]Developments!$A$2:$A$312,1,FALSE)</f>
        <v>MANHATTANVILLE REHAB (GROUP 2)</v>
      </c>
    </row>
    <row r="175" spans="1:32" x14ac:dyDescent="0.25">
      <c r="A175" t="s">
        <v>88</v>
      </c>
      <c r="B175" t="str">
        <f>VLOOKUP(Data[[#This Row],[DEVELOPMENT]],'[2]NYCHA_Development_Data_Book 201'!$B$2:$AY$324,40,FALSE)</f>
        <v>MANHATTAN</v>
      </c>
      <c r="C175" t="str">
        <f>VLOOKUP(Data[[#This Row],[DEVELOPMENT]],'[3]Cheat-Sheet'!$D$2:$Q$341,2,FALSE)</f>
        <v>MANHATTANVILLE</v>
      </c>
      <c r="D175">
        <f>IF(VLOOKUP(Data[[#This Row],[DEVELOPMENT]],'[4]IC Categories'!$A$2:$G$325,3,FALSE)=0,"",VLOOKUP(Data[[#This Row],[DEVELOPMENT]],'[4]IC Categories'!$A$2:$G$325,3,FALSE))</f>
        <v>2019</v>
      </c>
      <c r="E175">
        <f>VLOOKUP(Data[[#This Row],[DEVELOPMENT]],'[2]NYCHA_Development_Data_Book 201'!$B$2:$AY$324,21,FALSE)</f>
        <v>2</v>
      </c>
      <c r="F175">
        <f>VLOOKUP(Data[[#This Row],[DEVELOPMENT]],'[2]NYCHA_Development_Data_Book 201'!$B$2:$AY$324,23,FALSE)</f>
        <v>2</v>
      </c>
      <c r="G175">
        <f>VLOOKUP(Data[[#This Row],[DEVELOPMENT]],'[2]NYCHA_Development_Data_Book 201'!$B$2:$AY$324,12,FALSE)</f>
        <v>51</v>
      </c>
      <c r="H175" t="s">
        <v>474</v>
      </c>
      <c r="I175" t="s">
        <v>471</v>
      </c>
      <c r="J175">
        <f>IFERROR(VLOOKUP(Data[[#This Row],[DEVELOPMENT]],[5]!Table1[[DEVELOPMENTS]:[Installation Date of Exterior Compactor]],4,FALSE),0)</f>
        <v>0</v>
      </c>
      <c r="K175" s="20">
        <f>IFERROR(VLOOKUP(Data[[#This Row],[DEVELOPMENT]],[5]!Table1[[DEVELOPMENTS]:[Installation Date of Exterior Compactor]],7,FALSE),0)</f>
        <v>0</v>
      </c>
      <c r="L175" s="42" t="str">
        <f>IF(Data[[#This Row],['# Interior Compactors]]=0,"",VLOOKUP(Data[[#This Row],[DEVELOPMENT]],[5]!Table1[[DEVELOPMENTS]:[Installation Date of Exterior Compactor]],5,FALSE))</f>
        <v/>
      </c>
      <c r="M175" s="43" t="str">
        <f>IF(Data[[#This Row],['# Exterior Compactors]]=0,"",VLOOKUP(Data[[#This Row],[DEVELOPMENT]],[5]!Table1[[DEVELOPMENTS]:[Installation Date of Exterior Compactor]],8,FALSE))</f>
        <v/>
      </c>
      <c r="N175">
        <f>Data[[#This Row],['# Interior Compactors]]</f>
        <v>0</v>
      </c>
      <c r="O175" s="20">
        <f>1</f>
        <v>1</v>
      </c>
      <c r="P175" s="20">
        <f>1</f>
        <v>1</v>
      </c>
      <c r="Q175" s="20">
        <f>1</f>
        <v>1</v>
      </c>
      <c r="R175" s="20">
        <f>1</f>
        <v>1</v>
      </c>
      <c r="S175" s="20">
        <f>1</f>
        <v>1</v>
      </c>
      <c r="T175" s="20">
        <f>Data[[#This Row],[DUs]]</f>
        <v>51</v>
      </c>
      <c r="U17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5" s="101">
        <f>VLOOKUP(Data[[#This Row],[DEVELOPMENT]],'[2]NYCHA_Development_Data_Book 201'!$B$2:$E$324,3,FALSE)</f>
        <v>297</v>
      </c>
      <c r="Y175" s="20"/>
      <c r="Z175" s="20">
        <f>IFERROR(VLOOKUP(Data[[#This Row],[TDS]],'[7]Static Ext by TDS'!$A$5:$E$120,2,FALSE),0)</f>
        <v>0</v>
      </c>
      <c r="AA175" s="20">
        <f>IFERROR(VLOOKUP(Data[[#This Row],[TDS]],'[7]Static Int by TDS'!$A$6:$O$305,2,FALSE),0)</f>
        <v>2</v>
      </c>
      <c r="AB175" s="20"/>
      <c r="AC175" s="20"/>
      <c r="AD175" s="20">
        <f>IFERROR(VLOOKUP(Data[[#This Row],[TDS]],'[7]Static Ext by TDS'!$A$5:$P$120,3,FALSE)+VLOOKUP(Data[[#This Row],[TDS]],'[7]Static Ext by TDS'!$A$5:$P$120,6,FALSE),0)</f>
        <v>0</v>
      </c>
      <c r="AE175" s="20">
        <f>IFERROR(VLOOKUP(Data[[#This Row],[TDS]],'[7]Static Int by TDS'!$A$6:$O$305,3,FALSE)+VLOOKUP(Data[[#This Row],[TDS]],'[7]Static Int by TDS'!$A$6:$O$305,6,FALSE),0)</f>
        <v>2</v>
      </c>
      <c r="AF175" s="20" t="str">
        <f>VLOOKUP(Data[[#This Row],[DEVELOPMENT]],[8]Developments!$A$2:$A$312,1,FALSE)</f>
        <v>MANHATTANVILLE REHAB (GROUP 3)</v>
      </c>
    </row>
    <row r="176" spans="1:32" x14ac:dyDescent="0.25">
      <c r="A176" t="s">
        <v>268</v>
      </c>
      <c r="B176" s="20" t="str">
        <f>VLOOKUP(Data[[#This Row],[DEVELOPMENT]],'[2]NYCHA_Development_Data_Book 201'!$B$2:$AY$324,40,FALSE)</f>
        <v>BRONX</v>
      </c>
      <c r="C176" s="20" t="str">
        <f>VLOOKUP(Data[[#This Row],[DEVELOPMENT]],'[3]Cheat-Sheet'!$D$2:$Q$341,2,FALSE)</f>
        <v>MARBLE HILL</v>
      </c>
      <c r="D176" s="20" t="str">
        <f>IF(VLOOKUP(Data[[#This Row],[DEVELOPMENT]],'[4]IC Categories'!$A$2:$G$325,3,FALSE)=0,"",VLOOKUP(Data[[#This Row],[DEVELOPMENT]],'[4]IC Categories'!$A$2:$G$325,3,FALSE))</f>
        <v/>
      </c>
      <c r="E176" s="20">
        <f>VLOOKUP(Data[[#This Row],[DEVELOPMENT]],'[2]NYCHA_Development_Data_Book 201'!$B$2:$AY$324,21,FALSE)</f>
        <v>11</v>
      </c>
      <c r="F176" s="20">
        <f>VLOOKUP(Data[[#This Row],[DEVELOPMENT]],'[2]NYCHA_Development_Data_Book 201'!$B$2:$AY$324,23,FALSE)</f>
        <v>12</v>
      </c>
      <c r="G176" s="20">
        <f>VLOOKUP(Data[[#This Row],[DEVELOPMENT]],'[2]NYCHA_Development_Data_Book 201'!$B$2:$AY$324,12,FALSE)</f>
        <v>1680</v>
      </c>
      <c r="J176">
        <f>IFERROR(VLOOKUP(Data[[#This Row],[DEVELOPMENT]],[5]!Table1[[DEVELOPMENTS]:[Installation Date of Exterior Compactor]],4,FALSE),0)</f>
        <v>0</v>
      </c>
      <c r="K176" s="20">
        <f>IFERROR(VLOOKUP(Data[[#This Row],[DEVELOPMENT]],[5]!Table1[[DEVELOPMENTS]:[Installation Date of Exterior Compactor]],7,FALSE),0)</f>
        <v>0</v>
      </c>
      <c r="L176" s="42" t="str">
        <f>IF(Data[[#This Row],['# Interior Compactors]]=0,"",VLOOKUP(Data[[#This Row],[DEVELOPMENT]],[5]!Table1[[DEVELOPMENTS]:[Installation Date of Exterior Compactor]],5,FALSE))</f>
        <v/>
      </c>
      <c r="M176" s="43" t="str">
        <f>IF(Data[[#This Row],['# Exterior Compactors]]=0,"",VLOOKUP(Data[[#This Row],[DEVELOPMENT]],[5]!Table1[[DEVELOPMENTS]:[Installation Date of Exterior Compactor]],8,FALSE))</f>
        <v/>
      </c>
      <c r="N176" s="20">
        <f>Data[[#This Row],['# Interior Compactors]]</f>
        <v>0</v>
      </c>
      <c r="O176" s="20">
        <f>1</f>
        <v>1</v>
      </c>
      <c r="P176" s="20">
        <f>1</f>
        <v>1</v>
      </c>
      <c r="Q176" s="20">
        <f>1</f>
        <v>1</v>
      </c>
      <c r="R176" s="20">
        <f>1</f>
        <v>1</v>
      </c>
      <c r="S176" s="20">
        <f>1</f>
        <v>1</v>
      </c>
      <c r="T176" s="20">
        <f>Data[[#This Row],[DUs]]</f>
        <v>1680</v>
      </c>
      <c r="U17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6" s="101">
        <f>VLOOKUP(Data[[#This Row],[DEVELOPMENT]],'[2]NYCHA_Development_Data_Book 201'!$B$2:$E$324,3,FALSE)</f>
        <v>49</v>
      </c>
      <c r="Y176" s="20"/>
      <c r="Z176" s="20">
        <f>IFERROR(VLOOKUP(Data[[#This Row],[TDS]],'[7]Static Ext by TDS'!$A$5:$E$120,2,FALSE),0)</f>
        <v>3</v>
      </c>
      <c r="AA176" s="20">
        <f>IFERROR(VLOOKUP(Data[[#This Row],[TDS]],'[7]Static Int by TDS'!$A$6:$O$305,2,FALSE),0)</f>
        <v>11</v>
      </c>
      <c r="AB176" s="20"/>
      <c r="AC176" s="20"/>
      <c r="AD176" s="20">
        <f>IFERROR(VLOOKUP(Data[[#This Row],[TDS]],'[7]Static Ext by TDS'!$A$5:$P$120,3,FALSE)+VLOOKUP(Data[[#This Row],[TDS]],'[7]Static Ext by TDS'!$A$5:$P$120,6,FALSE),0)</f>
        <v>3</v>
      </c>
      <c r="AE176" s="20">
        <f>IFERROR(VLOOKUP(Data[[#This Row],[TDS]],'[7]Static Int by TDS'!$A$6:$O$305,3,FALSE)+VLOOKUP(Data[[#This Row],[TDS]],'[7]Static Int by TDS'!$A$6:$O$305,6,FALSE),0)</f>
        <v>11</v>
      </c>
      <c r="AF176" s="20" t="str">
        <f>VLOOKUP(Data[[#This Row],[DEVELOPMENT]],[8]Developments!$A$2:$A$312,1,FALSE)</f>
        <v>MARBLE HILL</v>
      </c>
    </row>
    <row r="177" spans="1:32" x14ac:dyDescent="0.25">
      <c r="A177" s="17" t="s">
        <v>38</v>
      </c>
      <c r="B177" s="17" t="str">
        <f>VLOOKUP(Data[[#This Row],[DEVELOPMENT]],'[2]NYCHA_Development_Data_Book 201'!$B$2:$AY$324,40,FALSE)</f>
        <v>BROOKLYN</v>
      </c>
      <c r="C177" t="str">
        <f>VLOOKUP(Data[[#This Row],[DEVELOPMENT]],'[3]Cheat-Sheet'!$D$2:$Q$341,2,FALSE)</f>
        <v>MARCY</v>
      </c>
      <c r="D177">
        <f>IF(VLOOKUP(Data[[#This Row],[DEVELOPMENT]],'[4]IC Categories'!$A$2:$G$325,3,FALSE)=0,"",VLOOKUP(Data[[#This Row],[DEVELOPMENT]],'[4]IC Categories'!$A$2:$G$325,3,FALSE))</f>
        <v>2027</v>
      </c>
      <c r="E177">
        <f>VLOOKUP(Data[[#This Row],[DEVELOPMENT]],'[2]NYCHA_Development_Data_Book 201'!$B$2:$AY$324,21,FALSE)</f>
        <v>27</v>
      </c>
      <c r="F177">
        <f>VLOOKUP(Data[[#This Row],[DEVELOPMENT]],'[2]NYCHA_Development_Data_Book 201'!$B$2:$AY$324,23,FALSE)</f>
        <v>71</v>
      </c>
      <c r="G177">
        <f>VLOOKUP(Data[[#This Row],[DEVELOPMENT]],'[2]NYCHA_Development_Data_Book 201'!$B$2:$AY$324,12,FALSE)</f>
        <v>1716</v>
      </c>
      <c r="H177" t="s">
        <v>472</v>
      </c>
      <c r="I177" t="s">
        <v>475</v>
      </c>
      <c r="J177">
        <f>IFERROR(VLOOKUP(Data[[#This Row],[DEVELOPMENT]],[5]!Table1[[DEVELOPMENTS]:[Installation Date of Exterior Compactor]],4,FALSE),0)</f>
        <v>0</v>
      </c>
      <c r="K177" s="20">
        <f>IFERROR(VLOOKUP(Data[[#This Row],[DEVELOPMENT]],[5]!Table1[[DEVELOPMENTS]:[Installation Date of Exterior Compactor]],7,FALSE),0)</f>
        <v>0</v>
      </c>
      <c r="L177" s="42" t="str">
        <f>IF(Data[[#This Row],['# Interior Compactors]]=0,"",VLOOKUP(Data[[#This Row],[DEVELOPMENT]],[5]!Table1[[DEVELOPMENTS]:[Installation Date of Exterior Compactor]],5,FALSE))</f>
        <v/>
      </c>
      <c r="M177" s="43" t="str">
        <f>IF(Data[[#This Row],['# Exterior Compactors]]=0,"",VLOOKUP(Data[[#This Row],[DEVELOPMENT]],[5]!Table1[[DEVELOPMENTS]:[Installation Date of Exterior Compactor]],8,FALSE))</f>
        <v/>
      </c>
      <c r="N177">
        <f>Data[[#This Row],['# Interior Compactors]]</f>
        <v>0</v>
      </c>
      <c r="O177" s="20">
        <f>1</f>
        <v>1</v>
      </c>
      <c r="P177" s="20">
        <f>1</f>
        <v>1</v>
      </c>
      <c r="Q177" s="20">
        <f>1</f>
        <v>1</v>
      </c>
      <c r="R177" s="20">
        <f>1</f>
        <v>1</v>
      </c>
      <c r="S177" s="20">
        <f>1</f>
        <v>1</v>
      </c>
      <c r="T177" s="20">
        <f>Data[[#This Row],[DUs]]</f>
        <v>1716</v>
      </c>
      <c r="U17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7" s="101">
        <f>VLOOKUP(Data[[#This Row],[DEVELOPMENT]],'[2]NYCHA_Development_Data_Book 201'!$B$2:$E$324,3,FALSE)</f>
        <v>21</v>
      </c>
      <c r="Y177" s="20" t="s">
        <v>473</v>
      </c>
      <c r="Z177" s="20">
        <f>IFERROR(VLOOKUP(Data[[#This Row],[TDS]],'[7]Static Ext by TDS'!$A$5:$E$120,2,FALSE),0)</f>
        <v>3</v>
      </c>
      <c r="AA177" s="20">
        <f>IFERROR(VLOOKUP(Data[[#This Row],[TDS]],'[7]Static Int by TDS'!$A$6:$O$305,2,FALSE),0)</f>
        <v>69</v>
      </c>
      <c r="AB177" s="20"/>
      <c r="AC177" s="20"/>
      <c r="AD177" s="20">
        <f>IFERROR(VLOOKUP(Data[[#This Row],[TDS]],'[7]Static Ext by TDS'!$A$5:$P$120,3,FALSE)+VLOOKUP(Data[[#This Row],[TDS]],'[7]Static Ext by TDS'!$A$5:$P$120,6,FALSE),0)</f>
        <v>3</v>
      </c>
      <c r="AE177" s="20">
        <f>IFERROR(VLOOKUP(Data[[#This Row],[TDS]],'[7]Static Int by TDS'!$A$6:$O$305,3,FALSE)+VLOOKUP(Data[[#This Row],[TDS]],'[7]Static Int by TDS'!$A$6:$O$305,6,FALSE),0)</f>
        <v>69</v>
      </c>
      <c r="AF177" s="20" t="str">
        <f>VLOOKUP(Data[[#This Row],[DEVELOPMENT]],[8]Developments!$A$2:$A$312,1,FALSE)</f>
        <v>MARCY</v>
      </c>
    </row>
    <row r="178" spans="1:32" x14ac:dyDescent="0.25">
      <c r="A178" s="17" t="s">
        <v>269</v>
      </c>
      <c r="B178" s="17" t="str">
        <f>VLOOKUP(Data[[#This Row],[DEVELOPMENT]],'[2]NYCHA_Development_Data_Book 201'!$B$2:$AY$324,40,FALSE)</f>
        <v>BROOKLYN</v>
      </c>
      <c r="C178" t="str">
        <f>VLOOKUP(Data[[#This Row],[DEVELOPMENT]],'[3]Cheat-Sheet'!$D$2:$Q$341,2,FALSE)</f>
        <v>KRAUS MANAGEMENT (PRIVATE - M/B 1)</v>
      </c>
      <c r="D178">
        <f>IF(VLOOKUP(Data[[#This Row],[DEVELOPMENT]],'[4]IC Categories'!$A$2:$G$325,3,FALSE)=0,"",VLOOKUP(Data[[#This Row],[DEVELOPMENT]],'[4]IC Categories'!$A$2:$G$325,3,FALSE))</f>
        <v>2019</v>
      </c>
      <c r="E178">
        <f>VLOOKUP(Data[[#This Row],[DEVELOPMENT]],'[2]NYCHA_Development_Data_Book 201'!$B$2:$AY$324,21,FALSE)</f>
        <v>2</v>
      </c>
      <c r="F178">
        <f>VLOOKUP(Data[[#This Row],[DEVELOPMENT]],'[2]NYCHA_Development_Data_Book 201'!$B$2:$AY$324,23,FALSE)</f>
        <v>7</v>
      </c>
      <c r="G178">
        <f>VLOOKUP(Data[[#This Row],[DEVELOPMENT]],'[2]NYCHA_Development_Data_Book 201'!$B$2:$AY$324,12,FALSE)</f>
        <v>48</v>
      </c>
      <c r="H178" t="s">
        <v>472</v>
      </c>
      <c r="I178" t="s">
        <v>471</v>
      </c>
      <c r="J178">
        <f>IFERROR(VLOOKUP(Data[[#This Row],[DEVELOPMENT]],[5]!Table1[[DEVELOPMENTS]:[Installation Date of Exterior Compactor]],4,FALSE),0)</f>
        <v>0</v>
      </c>
      <c r="K178">
        <f>IFERROR(VLOOKUP(Data[[#This Row],[DEVELOPMENT]],[5]!Table1[[DEVELOPMENTS]:[Installation Date of Exterior Compactor]],7,FALSE),0)</f>
        <v>0</v>
      </c>
      <c r="L178" s="42" t="str">
        <f>IF(Data[[#This Row],['# Interior Compactors]]=0,"",VLOOKUP(Data[[#This Row],[DEVELOPMENT]],[5]!Table1[[DEVELOPMENTS]:[Installation Date of Exterior Compactor]],5,FALSE))</f>
        <v/>
      </c>
      <c r="M178" s="43" t="str">
        <f>IF(Data[[#This Row],['# Exterior Compactors]]=0,"",VLOOKUP(Data[[#This Row],[DEVELOPMENT]],[5]!Table1[[DEVELOPMENTS]:[Installation Date of Exterior Compactor]],8,FALSE))</f>
        <v/>
      </c>
      <c r="N178">
        <f>Data[[#This Row],['# Interior Compactors]]</f>
        <v>0</v>
      </c>
      <c r="O178" s="20">
        <f>1</f>
        <v>1</v>
      </c>
      <c r="P178" s="20">
        <f>1</f>
        <v>1</v>
      </c>
      <c r="Q178" s="20">
        <f>1</f>
        <v>1</v>
      </c>
      <c r="R178" s="20">
        <f>1</f>
        <v>1</v>
      </c>
      <c r="S178" s="20">
        <f>1</f>
        <v>1</v>
      </c>
      <c r="T178" s="20">
        <f>Data[[#This Row],[DUs]]</f>
        <v>48</v>
      </c>
      <c r="U17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8" s="101">
        <f>VLOOKUP(Data[[#This Row],[DEVELOPMENT]],'[2]NYCHA_Development_Data_Book 201'!$B$2:$E$324,3,FALSE)</f>
        <v>363</v>
      </c>
      <c r="Y178" s="20"/>
      <c r="Z178" s="20">
        <f>IFERROR(VLOOKUP(Data[[#This Row],[TDS]],'[7]Static Ext by TDS'!$A$5:$E$120,2,FALSE),0)</f>
        <v>0</v>
      </c>
      <c r="AA178" s="20">
        <f>IFERROR(VLOOKUP(Data[[#This Row],[TDS]],'[7]Static Int by TDS'!$A$6:$O$305,2,FALSE),0)</f>
        <v>0</v>
      </c>
      <c r="AB178" s="20"/>
      <c r="AC178" s="20"/>
      <c r="AD178" s="20">
        <f>IFERROR(VLOOKUP(Data[[#This Row],[TDS]],'[7]Static Ext by TDS'!$A$5:$P$120,3,FALSE)+VLOOKUP(Data[[#This Row],[TDS]],'[7]Static Ext by TDS'!$A$5:$P$120,6,FALSE),0)</f>
        <v>0</v>
      </c>
      <c r="AE178" s="20">
        <f>IFERROR(VLOOKUP(Data[[#This Row],[TDS]],'[7]Static Int by TDS'!$A$6:$O$305,3,FALSE)+VLOOKUP(Data[[#This Row],[TDS]],'[7]Static Int by TDS'!$A$6:$O$305,6,FALSE),0)</f>
        <v>0</v>
      </c>
      <c r="AF178" s="20" t="str">
        <f>VLOOKUP(Data[[#This Row],[DEVELOPMENT]],[8]Developments!$A$2:$A$312,1,FALSE)</f>
        <v>MARCY AVENUE-GREENE AVENUE SITE A</v>
      </c>
    </row>
    <row r="179" spans="1:32" x14ac:dyDescent="0.25">
      <c r="A179" t="s">
        <v>270</v>
      </c>
      <c r="B179" s="20" t="str">
        <f>VLOOKUP(Data[[#This Row],[DEVELOPMENT]],'[2]NYCHA_Development_Data_Book 201'!$B$2:$AY$324,40,FALSE)</f>
        <v>BROOKLYN</v>
      </c>
      <c r="C179" s="20" t="str">
        <f>VLOOKUP(Data[[#This Row],[DEVELOPMENT]],'[3]Cheat-Sheet'!$D$2:$Q$341,2,FALSE)</f>
        <v>KRAUS MANAGEMENT (PRIVATE - M/B 1)</v>
      </c>
      <c r="D179" s="20">
        <f>IF(VLOOKUP(Data[[#This Row],[DEVELOPMENT]],'[4]IC Categories'!$A$2:$G$325,3,FALSE)=0,"",VLOOKUP(Data[[#This Row],[DEVELOPMENT]],'[4]IC Categories'!$A$2:$G$325,3,FALSE))</f>
        <v>2019</v>
      </c>
      <c r="E179" s="20">
        <f>VLOOKUP(Data[[#This Row],[DEVELOPMENT]],'[2]NYCHA_Development_Data_Book 201'!$B$2:$AY$324,21,FALSE)</f>
        <v>1</v>
      </c>
      <c r="F179" s="20">
        <f>VLOOKUP(Data[[#This Row],[DEVELOPMENT]],'[2]NYCHA_Development_Data_Book 201'!$B$2:$AY$324,23,FALSE)</f>
        <v>5</v>
      </c>
      <c r="G179" s="20">
        <f>VLOOKUP(Data[[#This Row],[DEVELOPMENT]],'[2]NYCHA_Development_Data_Book 201'!$B$2:$AY$324,12,FALSE)</f>
        <v>30</v>
      </c>
      <c r="J179">
        <f>IFERROR(VLOOKUP(Data[[#This Row],[DEVELOPMENT]],[5]!Table1[[DEVELOPMENTS]:[Installation Date of Exterior Compactor]],4,FALSE),0)</f>
        <v>0</v>
      </c>
      <c r="K179" s="20">
        <f>IFERROR(VLOOKUP(Data[[#This Row],[DEVELOPMENT]],[5]!Table1[[DEVELOPMENTS]:[Installation Date of Exterior Compactor]],7,FALSE),0)</f>
        <v>0</v>
      </c>
      <c r="L179" s="42" t="str">
        <f>IF(Data[[#This Row],['# Interior Compactors]]=0,"",VLOOKUP(Data[[#This Row],[DEVELOPMENT]],[5]!Table1[[DEVELOPMENTS]:[Installation Date of Exterior Compactor]],5,FALSE))</f>
        <v/>
      </c>
      <c r="M179" s="43" t="str">
        <f>IF(Data[[#This Row],['# Exterior Compactors]]=0,"",VLOOKUP(Data[[#This Row],[DEVELOPMENT]],[5]!Table1[[DEVELOPMENTS]:[Installation Date of Exterior Compactor]],8,FALSE))</f>
        <v/>
      </c>
      <c r="N179" s="20">
        <f>Data[[#This Row],['# Interior Compactors]]</f>
        <v>0</v>
      </c>
      <c r="O179" s="20">
        <f>1</f>
        <v>1</v>
      </c>
      <c r="P179" s="20">
        <f>1</f>
        <v>1</v>
      </c>
      <c r="Q179" s="20">
        <f>1</f>
        <v>1</v>
      </c>
      <c r="R179" s="20">
        <f>1</f>
        <v>1</v>
      </c>
      <c r="S179" s="20">
        <f>1</f>
        <v>1</v>
      </c>
      <c r="T179" s="20">
        <f>Data[[#This Row],[DUs]]</f>
        <v>30</v>
      </c>
      <c r="U17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7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7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79" s="101">
        <f>VLOOKUP(Data[[#This Row],[DEVELOPMENT]],'[2]NYCHA_Development_Data_Book 201'!$B$2:$E$324,3,FALSE)</f>
        <v>358</v>
      </c>
      <c r="Y179" s="20"/>
      <c r="Z179" s="20">
        <f>IFERROR(VLOOKUP(Data[[#This Row],[TDS]],'[7]Static Ext by TDS'!$A$5:$E$120,2,FALSE),0)</f>
        <v>0</v>
      </c>
      <c r="AA179" s="20">
        <f>IFERROR(VLOOKUP(Data[[#This Row],[TDS]],'[7]Static Int by TDS'!$A$6:$O$305,2,FALSE),0)</f>
        <v>0</v>
      </c>
      <c r="AB179" s="20"/>
      <c r="AC179" s="20"/>
      <c r="AD179" s="20">
        <f>IFERROR(VLOOKUP(Data[[#This Row],[TDS]],'[7]Static Ext by TDS'!$A$5:$P$120,3,FALSE)+VLOOKUP(Data[[#This Row],[TDS]],'[7]Static Ext by TDS'!$A$5:$P$120,6,FALSE),0)</f>
        <v>0</v>
      </c>
      <c r="AE179" s="20">
        <f>IFERROR(VLOOKUP(Data[[#This Row],[TDS]],'[7]Static Int by TDS'!$A$6:$O$305,3,FALSE)+VLOOKUP(Data[[#This Row],[TDS]],'[7]Static Int by TDS'!$A$6:$O$305,6,FALSE),0)</f>
        <v>0</v>
      </c>
      <c r="AF179" s="20" t="str">
        <f>VLOOKUP(Data[[#This Row],[DEVELOPMENT]],[8]Developments!$A$2:$A$312,1,FALSE)</f>
        <v>MARCY AVENUE-GREENE AVENUE SITE B</v>
      </c>
    </row>
    <row r="180" spans="1:32" x14ac:dyDescent="0.25">
      <c r="A180" t="s">
        <v>271</v>
      </c>
      <c r="B180" s="20" t="str">
        <f>VLOOKUP(Data[[#This Row],[DEVELOPMENT]],'[2]NYCHA_Development_Data_Book 201'!$B$2:$AY$324,40,FALSE)</f>
        <v>STATEN ISLAND</v>
      </c>
      <c r="C180" s="20" t="str">
        <f>VLOOKUP(Data[[#This Row],[DEVELOPMENT]],'[3]Cheat-Sheet'!$D$2:$Q$341,2,FALSE)</f>
        <v>MARINER'S HARBOR</v>
      </c>
      <c r="D180" s="20">
        <f>IF(VLOOKUP(Data[[#This Row],[DEVELOPMENT]],'[4]IC Categories'!$A$2:$G$325,3,FALSE)=0,"",VLOOKUP(Data[[#This Row],[DEVELOPMENT]],'[4]IC Categories'!$A$2:$G$325,3,FALSE))</f>
        <v>2028</v>
      </c>
      <c r="E180" s="20">
        <f>VLOOKUP(Data[[#This Row],[DEVELOPMENT]],'[2]NYCHA_Development_Data_Book 201'!$B$2:$AY$324,21,FALSE)</f>
        <v>22</v>
      </c>
      <c r="F180" s="20">
        <f>VLOOKUP(Data[[#This Row],[DEVELOPMENT]],'[2]NYCHA_Development_Data_Book 201'!$B$2:$AY$324,23,FALSE)</f>
        <v>32</v>
      </c>
      <c r="G180" s="20">
        <f>VLOOKUP(Data[[#This Row],[DEVELOPMENT]],'[2]NYCHA_Development_Data_Book 201'!$B$2:$AY$324,12,FALSE)</f>
        <v>606</v>
      </c>
      <c r="J180">
        <f>IFERROR(VLOOKUP(Data[[#This Row],[DEVELOPMENT]],[5]!Table1[[DEVELOPMENTS]:[Installation Date of Exterior Compactor]],4,FALSE),0)</f>
        <v>0</v>
      </c>
      <c r="K180" s="20">
        <f>IFERROR(VLOOKUP(Data[[#This Row],[DEVELOPMENT]],[5]!Table1[[DEVELOPMENTS]:[Installation Date of Exterior Compactor]],7,FALSE),0)</f>
        <v>0</v>
      </c>
      <c r="L180" s="42" t="str">
        <f>IF(Data[[#This Row],['# Interior Compactors]]=0,"",VLOOKUP(Data[[#This Row],[DEVELOPMENT]],[5]!Table1[[DEVELOPMENTS]:[Installation Date of Exterior Compactor]],5,FALSE))</f>
        <v/>
      </c>
      <c r="M180" s="43" t="str">
        <f>IF(Data[[#This Row],['# Exterior Compactors]]=0,"",VLOOKUP(Data[[#This Row],[DEVELOPMENT]],[5]!Table1[[DEVELOPMENTS]:[Installation Date of Exterior Compactor]],8,FALSE))</f>
        <v/>
      </c>
      <c r="N180" s="20">
        <f>Data[[#This Row],['# Interior Compactors]]</f>
        <v>0</v>
      </c>
      <c r="O180" s="20">
        <f>1</f>
        <v>1</v>
      </c>
      <c r="P180" s="20">
        <f>1</f>
        <v>1</v>
      </c>
      <c r="Q180" s="20">
        <f>1</f>
        <v>1</v>
      </c>
      <c r="R180" s="20">
        <f>1</f>
        <v>1</v>
      </c>
      <c r="S180" s="20">
        <f>1</f>
        <v>1</v>
      </c>
      <c r="T180" s="20">
        <f>Data[[#This Row],[DUs]]</f>
        <v>606</v>
      </c>
      <c r="U18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0" s="101">
        <f>VLOOKUP(Data[[#This Row],[DEVELOPMENT]],'[2]NYCHA_Development_Data_Book 201'!$B$2:$E$324,3,FALSE)</f>
        <v>77</v>
      </c>
      <c r="Y180" s="20"/>
      <c r="Z180" s="20">
        <f>IFERROR(VLOOKUP(Data[[#This Row],[TDS]],'[7]Static Ext by TDS'!$A$5:$E$120,2,FALSE),0)</f>
        <v>2</v>
      </c>
      <c r="AA180" s="20">
        <f>IFERROR(VLOOKUP(Data[[#This Row],[TDS]],'[7]Static Int by TDS'!$A$6:$O$305,2,FALSE),0)</f>
        <v>27</v>
      </c>
      <c r="AB180" s="20"/>
      <c r="AC180" s="20"/>
      <c r="AD180" s="20">
        <f>IFERROR(VLOOKUP(Data[[#This Row],[TDS]],'[7]Static Ext by TDS'!$A$5:$P$120,3,FALSE)+VLOOKUP(Data[[#This Row],[TDS]],'[7]Static Ext by TDS'!$A$5:$P$120,6,FALSE),0)</f>
        <v>0</v>
      </c>
      <c r="AE180" s="20">
        <f>IFERROR(VLOOKUP(Data[[#This Row],[TDS]],'[7]Static Int by TDS'!$A$6:$O$305,3,FALSE)+VLOOKUP(Data[[#This Row],[TDS]],'[7]Static Int by TDS'!$A$6:$O$305,6,FALSE),0)</f>
        <v>27</v>
      </c>
      <c r="AF180" s="20" t="str">
        <f>VLOOKUP(Data[[#This Row],[DEVELOPMENT]],[8]Developments!$A$2:$A$312,1,FALSE)</f>
        <v>MARINER'S HARBOR</v>
      </c>
    </row>
    <row r="181" spans="1:32" x14ac:dyDescent="0.25">
      <c r="A181" t="s">
        <v>272</v>
      </c>
      <c r="B181" s="20" t="str">
        <f>VLOOKUP(Data[[#This Row],[DEVELOPMENT]],'[2]NYCHA_Development_Data_Book 201'!$B$2:$AY$324,40,FALSE)</f>
        <v>BROOKLYN</v>
      </c>
      <c r="C181" s="20" t="str">
        <f>VLOOKUP(Data[[#This Row],[DEVELOPMENT]],'[3]Cheat-Sheet'!$D$2:$Q$341,2,FALSE)</f>
        <v>MARLBORO</v>
      </c>
      <c r="D181" s="20" t="str">
        <f>IF(VLOOKUP(Data[[#This Row],[DEVELOPMENT]],'[4]IC Categories'!$A$2:$G$325,3,FALSE)=0,"",VLOOKUP(Data[[#This Row],[DEVELOPMENT]],'[4]IC Categories'!$A$2:$G$325,3,FALSE))</f>
        <v/>
      </c>
      <c r="E181" s="20">
        <f>VLOOKUP(Data[[#This Row],[DEVELOPMENT]],'[2]NYCHA_Development_Data_Book 201'!$B$2:$AY$324,21,FALSE)</f>
        <v>28</v>
      </c>
      <c r="F181" s="20">
        <f>VLOOKUP(Data[[#This Row],[DEVELOPMENT]],'[2]NYCHA_Development_Data_Book 201'!$B$2:$AY$324,23,FALSE)</f>
        <v>30</v>
      </c>
      <c r="G181" s="20">
        <f>VLOOKUP(Data[[#This Row],[DEVELOPMENT]],'[2]NYCHA_Development_Data_Book 201'!$B$2:$AY$324,12,FALSE)</f>
        <v>1764</v>
      </c>
      <c r="J181">
        <f>IFERROR(VLOOKUP(Data[[#This Row],[DEVELOPMENT]],[5]!Table1[[DEVELOPMENTS]:[Installation Date of Exterior Compactor]],4,FALSE),0)</f>
        <v>0</v>
      </c>
      <c r="K181" s="20">
        <f>IFERROR(VLOOKUP(Data[[#This Row],[DEVELOPMENT]],[5]!Table1[[DEVELOPMENTS]:[Installation Date of Exterior Compactor]],7,FALSE),0)</f>
        <v>0</v>
      </c>
      <c r="L181" s="42" t="str">
        <f>IF(Data[[#This Row],['# Interior Compactors]]=0,"",VLOOKUP(Data[[#This Row],[DEVELOPMENT]],[5]!Table1[[DEVELOPMENTS]:[Installation Date of Exterior Compactor]],5,FALSE))</f>
        <v/>
      </c>
      <c r="M181" s="43" t="str">
        <f>IF(Data[[#This Row],['# Exterior Compactors]]=0,"",VLOOKUP(Data[[#This Row],[DEVELOPMENT]],[5]!Table1[[DEVELOPMENTS]:[Installation Date of Exterior Compactor]],8,FALSE))</f>
        <v/>
      </c>
      <c r="N181" s="20">
        <f>Data[[#This Row],['# Interior Compactors]]</f>
        <v>0</v>
      </c>
      <c r="O181" s="20">
        <f>1</f>
        <v>1</v>
      </c>
      <c r="P181" s="20">
        <f>1</f>
        <v>1</v>
      </c>
      <c r="Q181" s="20">
        <f>1</f>
        <v>1</v>
      </c>
      <c r="R181" s="20">
        <f>1</f>
        <v>1</v>
      </c>
      <c r="S181" s="20">
        <f>1</f>
        <v>1</v>
      </c>
      <c r="T181" s="20">
        <f>Data[[#This Row],[DUs]]</f>
        <v>1764</v>
      </c>
      <c r="U18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1" s="101">
        <f>VLOOKUP(Data[[#This Row],[DEVELOPMENT]],'[2]NYCHA_Development_Data_Book 201'!$B$2:$E$324,3,FALSE)</f>
        <v>83</v>
      </c>
      <c r="Y181" s="20"/>
      <c r="Z181" s="20">
        <f>IFERROR(VLOOKUP(Data[[#This Row],[TDS]],'[7]Static Ext by TDS'!$A$5:$E$120,2,FALSE),0)</f>
        <v>0</v>
      </c>
      <c r="AA181" s="20">
        <f>IFERROR(VLOOKUP(Data[[#This Row],[TDS]],'[7]Static Int by TDS'!$A$6:$O$305,2,FALSE),0)</f>
        <v>28</v>
      </c>
      <c r="AB181" s="20"/>
      <c r="AC181" s="20"/>
      <c r="AD181" s="20">
        <f>IFERROR(VLOOKUP(Data[[#This Row],[TDS]],'[7]Static Ext by TDS'!$A$5:$P$120,3,FALSE)+VLOOKUP(Data[[#This Row],[TDS]],'[7]Static Ext by TDS'!$A$5:$P$120,6,FALSE),0)</f>
        <v>0</v>
      </c>
      <c r="AE181" s="20">
        <f>IFERROR(VLOOKUP(Data[[#This Row],[TDS]],'[7]Static Int by TDS'!$A$6:$O$305,3,FALSE)+VLOOKUP(Data[[#This Row],[TDS]],'[7]Static Int by TDS'!$A$6:$O$305,6,FALSE),0)</f>
        <v>28</v>
      </c>
      <c r="AF181" s="20" t="str">
        <f>VLOOKUP(Data[[#This Row],[DEVELOPMENT]],[8]Developments!$A$2:$A$312,1,FALSE)</f>
        <v>MARLBORO</v>
      </c>
    </row>
    <row r="182" spans="1:32" x14ac:dyDescent="0.25">
      <c r="A182" t="s">
        <v>89</v>
      </c>
      <c r="B182" t="str">
        <f>VLOOKUP(Data[[#This Row],[DEVELOPMENT]],'[2]NYCHA_Development_Data_Book 201'!$B$2:$AY$324,40,FALSE)</f>
        <v>MANHATTAN</v>
      </c>
      <c r="C182" t="str">
        <f>VLOOKUP(Data[[#This Row],[DEVELOPMENT]],'[3]Cheat-Sheet'!$D$2:$Q$341,2,FALSE)</f>
        <v>HARLEM RIVER</v>
      </c>
      <c r="D182">
        <f>IF(VLOOKUP(Data[[#This Row],[DEVELOPMENT]],'[4]IC Categories'!$A$2:$G$325,3,FALSE)=0,"",VLOOKUP(Data[[#This Row],[DEVELOPMENT]],'[4]IC Categories'!$A$2:$G$325,3,FALSE))</f>
        <v>2020</v>
      </c>
      <c r="E182">
        <f>VLOOKUP(Data[[#This Row],[DEVELOPMENT]],'[2]NYCHA_Development_Data_Book 201'!$B$2:$AY$324,21,FALSE)</f>
        <v>1</v>
      </c>
      <c r="F182">
        <f>VLOOKUP(Data[[#This Row],[DEVELOPMENT]],'[2]NYCHA_Development_Data_Book 201'!$B$2:$AY$324,23,FALSE)</f>
        <v>1</v>
      </c>
      <c r="G182">
        <f>VLOOKUP(Data[[#This Row],[DEVELOPMENT]],'[2]NYCHA_Development_Data_Book 201'!$B$2:$AY$324,12,FALSE)</f>
        <v>180</v>
      </c>
      <c r="H182" t="s">
        <v>474</v>
      </c>
      <c r="I182" t="s">
        <v>475</v>
      </c>
      <c r="J182">
        <f>IFERROR(VLOOKUP(Data[[#This Row],[DEVELOPMENT]],[5]!Table1[[DEVELOPMENTS]:[Installation Date of Exterior Compactor]],4,FALSE),0)</f>
        <v>0</v>
      </c>
      <c r="K182" s="20">
        <f>IFERROR(VLOOKUP(Data[[#This Row],[DEVELOPMENT]],[5]!Table1[[DEVELOPMENTS]:[Installation Date of Exterior Compactor]],7,FALSE),0)</f>
        <v>0</v>
      </c>
      <c r="L182" s="42" t="str">
        <f>IF(Data[[#This Row],['# Interior Compactors]]=0,"",VLOOKUP(Data[[#This Row],[DEVELOPMENT]],[5]!Table1[[DEVELOPMENTS]:[Installation Date of Exterior Compactor]],5,FALSE))</f>
        <v/>
      </c>
      <c r="M182" s="43" t="str">
        <f>IF(Data[[#This Row],['# Exterior Compactors]]=0,"",VLOOKUP(Data[[#This Row],[DEVELOPMENT]],[5]!Table1[[DEVELOPMENTS]:[Installation Date of Exterior Compactor]],8,FALSE))</f>
        <v/>
      </c>
      <c r="N182">
        <f>Data[[#This Row],['# Interior Compactors]]</f>
        <v>0</v>
      </c>
      <c r="O182" s="20">
        <f>1</f>
        <v>1</v>
      </c>
      <c r="P182" s="20">
        <f>1</f>
        <v>1</v>
      </c>
      <c r="Q182" s="20">
        <f>1</f>
        <v>1</v>
      </c>
      <c r="R182" s="20">
        <f>1</f>
        <v>1</v>
      </c>
      <c r="S182" s="20">
        <f>1</f>
        <v>1</v>
      </c>
      <c r="T182" s="20">
        <f>Data[[#This Row],[DUs]]</f>
        <v>180</v>
      </c>
      <c r="U18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2" s="101">
        <f>VLOOKUP(Data[[#This Row],[DEVELOPMENT]],'[2]NYCHA_Development_Data_Book 201'!$B$2:$E$324,3,FALSE)</f>
        <v>344</v>
      </c>
      <c r="Y182" s="20"/>
      <c r="Z182" s="20">
        <f>IFERROR(VLOOKUP(Data[[#This Row],[TDS]],'[7]Static Ext by TDS'!$A$5:$E$120,2,FALSE),0)</f>
        <v>0</v>
      </c>
      <c r="AA182" s="20">
        <f>IFERROR(VLOOKUP(Data[[#This Row],[TDS]],'[7]Static Int by TDS'!$A$6:$O$305,2,FALSE),0)</f>
        <v>1</v>
      </c>
      <c r="AB182" s="20"/>
      <c r="AC182" s="20"/>
      <c r="AD182" s="20">
        <f>IFERROR(VLOOKUP(Data[[#This Row],[TDS]],'[7]Static Ext by TDS'!$A$5:$P$120,3,FALSE)+VLOOKUP(Data[[#This Row],[TDS]],'[7]Static Ext by TDS'!$A$5:$P$120,6,FALSE),0)</f>
        <v>0</v>
      </c>
      <c r="AE182" s="20">
        <f>IFERROR(VLOOKUP(Data[[#This Row],[TDS]],'[7]Static Int by TDS'!$A$6:$O$305,3,FALSE)+VLOOKUP(Data[[#This Row],[TDS]],'[7]Static Int by TDS'!$A$6:$O$305,6,FALSE),0)</f>
        <v>1</v>
      </c>
      <c r="AF182" s="20" t="str">
        <f>VLOOKUP(Data[[#This Row],[DEVELOPMENT]],[8]Developments!$A$2:$A$312,1,FALSE)</f>
        <v>MARSHALL PLAZA</v>
      </c>
    </row>
    <row r="183" spans="1:32" x14ac:dyDescent="0.25">
      <c r="A183" t="s">
        <v>273</v>
      </c>
      <c r="B183" s="20" t="str">
        <f>VLOOKUP(Data[[#This Row],[DEVELOPMENT]],'[2]NYCHA_Development_Data_Book 201'!$B$2:$AY$324,40,FALSE)</f>
        <v>BRONX</v>
      </c>
      <c r="C183" s="20" t="str">
        <f>VLOOKUP(Data[[#This Row],[DEVELOPMENT]],'[3]Cheat-Sheet'!$D$2:$Q$341,2,FALSE)</f>
        <v>FOREST</v>
      </c>
      <c r="D183" s="20" t="str">
        <f>IF(VLOOKUP(Data[[#This Row],[DEVELOPMENT]],'[4]IC Categories'!$A$2:$G$325,3,FALSE)=0,"",VLOOKUP(Data[[#This Row],[DEVELOPMENT]],'[4]IC Categories'!$A$2:$G$325,3,FALSE))</f>
        <v/>
      </c>
      <c r="E183" s="20">
        <f>VLOOKUP(Data[[#This Row],[DEVELOPMENT]],'[2]NYCHA_Development_Data_Book 201'!$B$2:$AY$324,21,FALSE)</f>
        <v>5</v>
      </c>
      <c r="F183" s="20">
        <f>VLOOKUP(Data[[#This Row],[DEVELOPMENT]],'[2]NYCHA_Development_Data_Book 201'!$B$2:$AY$324,23,FALSE)</f>
        <v>5</v>
      </c>
      <c r="G183" s="20">
        <f>VLOOKUP(Data[[#This Row],[DEVELOPMENT]],'[2]NYCHA_Development_Data_Book 201'!$B$2:$AY$324,12,FALSE)</f>
        <v>615</v>
      </c>
      <c r="H183" t="s">
        <v>476</v>
      </c>
      <c r="J183">
        <f>IFERROR(VLOOKUP(Data[[#This Row],[DEVELOPMENT]],[5]!Table1[[DEVELOPMENTS]:[Installation Date of Exterior Compactor]],4,FALSE),0)</f>
        <v>0</v>
      </c>
      <c r="K183" s="20">
        <f>IFERROR(VLOOKUP(Data[[#This Row],[DEVELOPMENT]],[5]!Table1[[DEVELOPMENTS]:[Installation Date of Exterior Compactor]],7,FALSE),0)</f>
        <v>0</v>
      </c>
      <c r="L183" s="42" t="str">
        <f>IF(Data[[#This Row],['# Interior Compactors]]=0,"",VLOOKUP(Data[[#This Row],[DEVELOPMENT]],[5]!Table1[[DEVELOPMENTS]:[Installation Date of Exterior Compactor]],5,FALSE))</f>
        <v/>
      </c>
      <c r="M183" s="43" t="str">
        <f>IF(Data[[#This Row],['# Exterior Compactors]]=0,"",VLOOKUP(Data[[#This Row],[DEVELOPMENT]],[5]!Table1[[DEVELOPMENTS]:[Installation Date of Exterior Compactor]],8,FALSE))</f>
        <v/>
      </c>
      <c r="N183" s="20">
        <f>Data[[#This Row],['# Interior Compactors]]</f>
        <v>0</v>
      </c>
      <c r="O183" s="20">
        <f>1</f>
        <v>1</v>
      </c>
      <c r="P183" s="20">
        <f>1</f>
        <v>1</v>
      </c>
      <c r="Q183" s="20">
        <f>1</f>
        <v>1</v>
      </c>
      <c r="R183" s="20">
        <f>1</f>
        <v>1</v>
      </c>
      <c r="S183" s="20">
        <f>1</f>
        <v>1</v>
      </c>
      <c r="T183" s="20">
        <f>Data[[#This Row],[DUs]]</f>
        <v>615</v>
      </c>
      <c r="U18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3" s="101">
        <f>VLOOKUP(Data[[#This Row],[DEVELOPMENT]],'[2]NYCHA_Development_Data_Book 201'!$B$2:$E$324,3,FALSE)</f>
        <v>103</v>
      </c>
      <c r="Y183" s="20"/>
      <c r="Z183" s="20">
        <f>IFERROR(VLOOKUP(Data[[#This Row],[TDS]],'[7]Static Ext by TDS'!$A$5:$E$120,2,FALSE),0)</f>
        <v>2</v>
      </c>
      <c r="AA183" s="20">
        <f>IFERROR(VLOOKUP(Data[[#This Row],[TDS]],'[7]Static Int by TDS'!$A$6:$O$305,2,FALSE),0)</f>
        <v>5</v>
      </c>
      <c r="AB183" s="20"/>
      <c r="AC183" s="20"/>
      <c r="AD183" s="20">
        <f>IFERROR(VLOOKUP(Data[[#This Row],[TDS]],'[7]Static Ext by TDS'!$A$5:$P$120,3,FALSE)+VLOOKUP(Data[[#This Row],[TDS]],'[7]Static Ext by TDS'!$A$5:$P$120,6,FALSE),0)</f>
        <v>2</v>
      </c>
      <c r="AE183" s="20">
        <f>IFERROR(VLOOKUP(Data[[#This Row],[TDS]],'[7]Static Int by TDS'!$A$6:$O$305,3,FALSE)+VLOOKUP(Data[[#This Row],[TDS]],'[7]Static Int by TDS'!$A$6:$O$305,6,FALSE),0)</f>
        <v>5</v>
      </c>
      <c r="AF183" s="20" t="str">
        <f>VLOOKUP(Data[[#This Row],[DEVELOPMENT]],[8]Developments!$A$2:$A$312,1,FALSE)</f>
        <v>MCKINLEY</v>
      </c>
    </row>
    <row r="184" spans="1:32" x14ac:dyDescent="0.25">
      <c r="A184" s="17" t="s">
        <v>39</v>
      </c>
      <c r="B184" s="17" t="str">
        <f>VLOOKUP(Data[[#This Row],[DEVELOPMENT]],'[2]NYCHA_Development_Data_Book 201'!$B$2:$AY$324,40,FALSE)</f>
        <v>BRONX</v>
      </c>
      <c r="C184" t="str">
        <f>VLOOKUP(Data[[#This Row],[DEVELOPMENT]],'[3]Cheat-Sheet'!$D$2:$Q$341,2,FALSE)</f>
        <v>MELROSE</v>
      </c>
      <c r="D184">
        <f>IF(VLOOKUP(Data[[#This Row],[DEVELOPMENT]],'[4]IC Categories'!$A$2:$G$325,3,FALSE)=0,"",VLOOKUP(Data[[#This Row],[DEVELOPMENT]],'[4]IC Categories'!$A$2:$G$325,3,FALSE))</f>
        <v>2023</v>
      </c>
      <c r="E184">
        <f>VLOOKUP(Data[[#This Row],[DEVELOPMENT]],'[2]NYCHA_Development_Data_Book 201'!$B$2:$AY$324,21,FALSE)</f>
        <v>8</v>
      </c>
      <c r="F184">
        <f>VLOOKUP(Data[[#This Row],[DEVELOPMENT]],'[2]NYCHA_Development_Data_Book 201'!$B$2:$AY$324,23,FALSE)</f>
        <v>9</v>
      </c>
      <c r="G184">
        <f>VLOOKUP(Data[[#This Row],[DEVELOPMENT]],'[2]NYCHA_Development_Data_Book 201'!$B$2:$AY$324,12,FALSE)</f>
        <v>1021</v>
      </c>
      <c r="H184" t="s">
        <v>472</v>
      </c>
      <c r="I184" t="s">
        <v>471</v>
      </c>
      <c r="J184">
        <f>IFERROR(VLOOKUP(Data[[#This Row],[DEVELOPMENT]],[5]!Table1[[DEVELOPMENTS]:[Installation Date of Exterior Compactor]],4,FALSE),0)</f>
        <v>0</v>
      </c>
      <c r="K184" s="20">
        <f>IFERROR(VLOOKUP(Data[[#This Row],[DEVELOPMENT]],[5]!Table1[[DEVELOPMENTS]:[Installation Date of Exterior Compactor]],7,FALSE),0)</f>
        <v>0</v>
      </c>
      <c r="L184" s="42" t="str">
        <f>IF(Data[[#This Row],['# Interior Compactors]]=0,"",VLOOKUP(Data[[#This Row],[DEVELOPMENT]],[5]!Table1[[DEVELOPMENTS]:[Installation Date of Exterior Compactor]],5,FALSE))</f>
        <v/>
      </c>
      <c r="M184" s="43" t="str">
        <f>IF(Data[[#This Row],['# Exterior Compactors]]=0,"",VLOOKUP(Data[[#This Row],[DEVELOPMENT]],[5]!Table1[[DEVELOPMENTS]:[Installation Date of Exterior Compactor]],8,FALSE))</f>
        <v/>
      </c>
      <c r="N184">
        <f>Data[[#This Row],['# Interior Compactors]]</f>
        <v>0</v>
      </c>
      <c r="O184" s="20">
        <f>1</f>
        <v>1</v>
      </c>
      <c r="P184" s="20">
        <f>1</f>
        <v>1</v>
      </c>
      <c r="Q184" s="20">
        <f>1</f>
        <v>1</v>
      </c>
      <c r="R184" s="20">
        <f>1</f>
        <v>1</v>
      </c>
      <c r="S184" s="20">
        <f>1</f>
        <v>1</v>
      </c>
      <c r="T184" s="20">
        <f>Data[[#This Row],[DUs]]</f>
        <v>1021</v>
      </c>
      <c r="U18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4" s="101">
        <f>VLOOKUP(Data[[#This Row],[DEVELOPMENT]],'[2]NYCHA_Development_Data_Book 201'!$B$2:$E$324,3,FALSE)</f>
        <v>28</v>
      </c>
      <c r="Y184" s="20"/>
      <c r="Z184" s="20">
        <f>IFERROR(VLOOKUP(Data[[#This Row],[TDS]],'[7]Static Ext by TDS'!$A$5:$E$120,2,FALSE),0)</f>
        <v>2</v>
      </c>
      <c r="AA184" s="20">
        <f>IFERROR(VLOOKUP(Data[[#This Row],[TDS]],'[7]Static Int by TDS'!$A$6:$O$305,2,FALSE),0)</f>
        <v>8</v>
      </c>
      <c r="AB184" s="20"/>
      <c r="AC184" s="20"/>
      <c r="AD184" s="20">
        <f>IFERROR(VLOOKUP(Data[[#This Row],[TDS]],'[7]Static Ext by TDS'!$A$5:$P$120,3,FALSE)+VLOOKUP(Data[[#This Row],[TDS]],'[7]Static Ext by TDS'!$A$5:$P$120,6,FALSE),0)</f>
        <v>2</v>
      </c>
      <c r="AE184" s="20">
        <f>IFERROR(VLOOKUP(Data[[#This Row],[TDS]],'[7]Static Int by TDS'!$A$6:$O$305,3,FALSE)+VLOOKUP(Data[[#This Row],[TDS]],'[7]Static Int by TDS'!$A$6:$O$305,6,FALSE),0)</f>
        <v>8</v>
      </c>
      <c r="AF184" s="20" t="str">
        <f>VLOOKUP(Data[[#This Row],[DEVELOPMENT]],[8]Developments!$A$2:$A$312,1,FALSE)</f>
        <v>MELROSE</v>
      </c>
    </row>
    <row r="185" spans="1:32" x14ac:dyDescent="0.25">
      <c r="A185" s="17" t="s">
        <v>50</v>
      </c>
      <c r="B185" s="17" t="str">
        <f>VLOOKUP(Data[[#This Row],[DEVELOPMENT]],'[2]NYCHA_Development_Data_Book 201'!$B$2:$AY$324,40,FALSE)</f>
        <v>MANHATTAN</v>
      </c>
      <c r="C185" t="str">
        <f>VLOOKUP(Data[[#This Row],[DEVELOPMENT]],'[3]Cheat-Sheet'!$D$2:$Q$341,2,FALSE)</f>
        <v>GOMPERS</v>
      </c>
      <c r="D185" t="str">
        <f>IF(VLOOKUP(Data[[#This Row],[DEVELOPMENT]],'[4]IC Categories'!$A$2:$G$325,3,FALSE)=0,"",VLOOKUP(Data[[#This Row],[DEVELOPMENT]],'[4]IC Categories'!$A$2:$G$325,3,FALSE))</f>
        <v/>
      </c>
      <c r="E185">
        <f>VLOOKUP(Data[[#This Row],[DEVELOPMENT]],'[2]NYCHA_Development_Data_Book 201'!$B$2:$AY$324,21,FALSE)</f>
        <v>1</v>
      </c>
      <c r="F185">
        <f>VLOOKUP(Data[[#This Row],[DEVELOPMENT]],'[2]NYCHA_Development_Data_Book 201'!$B$2:$AY$324,23,FALSE)</f>
        <v>1</v>
      </c>
      <c r="G185">
        <f>VLOOKUP(Data[[#This Row],[DEVELOPMENT]],'[2]NYCHA_Development_Data_Book 201'!$B$2:$AY$324,12,FALSE)</f>
        <v>229</v>
      </c>
      <c r="H185" t="s">
        <v>472</v>
      </c>
      <c r="I185" t="s">
        <v>471</v>
      </c>
      <c r="J185">
        <f>IFERROR(VLOOKUP(Data[[#This Row],[DEVELOPMENT]],[5]!Table1[[DEVELOPMENTS]:[Installation Date of Exterior Compactor]],4,FALSE),0)</f>
        <v>0</v>
      </c>
      <c r="K185" s="20">
        <f>IFERROR(VLOOKUP(Data[[#This Row],[DEVELOPMENT]],[5]!Table1[[DEVELOPMENTS]:[Installation Date of Exterior Compactor]],7,FALSE),0)</f>
        <v>0</v>
      </c>
      <c r="L185" s="42" t="str">
        <f>IF(Data[[#This Row],['# Interior Compactors]]=0,"",VLOOKUP(Data[[#This Row],[DEVELOPMENT]],[5]!Table1[[DEVELOPMENTS]:[Installation Date of Exterior Compactor]],5,FALSE))</f>
        <v/>
      </c>
      <c r="M185" s="43" t="str">
        <f>IF(Data[[#This Row],['# Exterior Compactors]]=0,"",VLOOKUP(Data[[#This Row],[DEVELOPMENT]],[5]!Table1[[DEVELOPMENTS]:[Installation Date of Exterior Compactor]],8,FALSE))</f>
        <v/>
      </c>
      <c r="N185">
        <f>Data[[#This Row],['# Interior Compactors]]</f>
        <v>0</v>
      </c>
      <c r="O185" s="20">
        <f>1</f>
        <v>1</v>
      </c>
      <c r="P185" s="20">
        <f>1</f>
        <v>1</v>
      </c>
      <c r="Q185" s="20">
        <f>1</f>
        <v>1</v>
      </c>
      <c r="R185" s="20">
        <f>1</f>
        <v>1</v>
      </c>
      <c r="S185" s="20">
        <f>1</f>
        <v>1</v>
      </c>
      <c r="T185" s="20">
        <f>Data[[#This Row],[DUs]]</f>
        <v>229</v>
      </c>
      <c r="U18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5" s="101">
        <f>VLOOKUP(Data[[#This Row],[DEVELOPMENT]],'[2]NYCHA_Development_Data_Book 201'!$B$2:$E$324,3,FALSE)</f>
        <v>183</v>
      </c>
      <c r="Y185" s="20" t="s">
        <v>473</v>
      </c>
      <c r="Z185" s="20">
        <f>IFERROR(VLOOKUP(Data[[#This Row],[TDS]],'[7]Static Ext by TDS'!$A$5:$E$120,2,FALSE),0)</f>
        <v>0</v>
      </c>
      <c r="AA185" s="20">
        <f>IFERROR(VLOOKUP(Data[[#This Row],[TDS]],'[7]Static Int by TDS'!$A$6:$O$305,2,FALSE),0)</f>
        <v>1</v>
      </c>
      <c r="AB185" s="20"/>
      <c r="AC185" s="20"/>
      <c r="AD185" s="20">
        <f>IFERROR(VLOOKUP(Data[[#This Row],[TDS]],'[7]Static Ext by TDS'!$A$5:$P$120,3,FALSE)+VLOOKUP(Data[[#This Row],[TDS]],'[7]Static Ext by TDS'!$A$5:$P$120,6,FALSE),0)</f>
        <v>0</v>
      </c>
      <c r="AE185" s="20">
        <f>IFERROR(VLOOKUP(Data[[#This Row],[TDS]],'[7]Static Int by TDS'!$A$6:$O$305,3,FALSE)+VLOOKUP(Data[[#This Row],[TDS]],'[7]Static Int by TDS'!$A$6:$O$305,6,FALSE),0)</f>
        <v>1</v>
      </c>
      <c r="AF185" s="20" t="str">
        <f>VLOOKUP(Data[[#This Row],[DEVELOPMENT]],[8]Developments!$A$2:$A$312,1,FALSE)</f>
        <v>MELTZER TOWER</v>
      </c>
    </row>
    <row r="186" spans="1:32" x14ac:dyDescent="0.25">
      <c r="A186" t="s">
        <v>90</v>
      </c>
      <c r="B186" t="str">
        <f>VLOOKUP(Data[[#This Row],[DEVELOPMENT]],'[2]NYCHA_Development_Data_Book 201'!$B$2:$AY$324,40,FALSE)</f>
        <v>MANHATTAN</v>
      </c>
      <c r="C186" t="str">
        <f>VLOOKUP(Data[[#This Row],[DEVELOPMENT]],'[3]Cheat-Sheet'!$D$2:$Q$341,2,FALSE)</f>
        <v>WILSON</v>
      </c>
      <c r="D186" t="str">
        <f>IF(VLOOKUP(Data[[#This Row],[DEVELOPMENT]],'[4]IC Categories'!$A$2:$G$325,3,FALSE)=0,"",VLOOKUP(Data[[#This Row],[DEVELOPMENT]],'[4]IC Categories'!$A$2:$G$325,3,FALSE))</f>
        <v/>
      </c>
      <c r="E186">
        <f>VLOOKUP(Data[[#This Row],[DEVELOPMENT]],'[2]NYCHA_Development_Data_Book 201'!$B$2:$AY$324,21,FALSE)</f>
        <v>3</v>
      </c>
      <c r="F186">
        <f>VLOOKUP(Data[[#This Row],[DEVELOPMENT]],'[2]NYCHA_Development_Data_Book 201'!$B$2:$AY$324,23,FALSE)</f>
        <v>3</v>
      </c>
      <c r="G186">
        <f>VLOOKUP(Data[[#This Row],[DEVELOPMENT]],'[2]NYCHA_Development_Data_Book 201'!$B$2:$AY$324,12,FALSE)</f>
        <v>271</v>
      </c>
      <c r="H186" t="s">
        <v>470</v>
      </c>
      <c r="I186" t="s">
        <v>471</v>
      </c>
      <c r="J186">
        <f>IFERROR(VLOOKUP(Data[[#This Row],[DEVELOPMENT]],[5]!Table1[[DEVELOPMENTS]:[Installation Date of Exterior Compactor]],4,FALSE),0)</f>
        <v>0</v>
      </c>
      <c r="K186" s="20">
        <f>IFERROR(VLOOKUP(Data[[#This Row],[DEVELOPMENT]],[5]!Table1[[DEVELOPMENTS]:[Installation Date of Exterior Compactor]],7,FALSE),0)</f>
        <v>0</v>
      </c>
      <c r="L186" s="42" t="str">
        <f>IF(Data[[#This Row],['# Interior Compactors]]=0,"",VLOOKUP(Data[[#This Row],[DEVELOPMENT]],[5]!Table1[[DEVELOPMENTS]:[Installation Date of Exterior Compactor]],5,FALSE))</f>
        <v/>
      </c>
      <c r="M186" s="43" t="str">
        <f>IF(Data[[#This Row],['# Exterior Compactors]]=0,"",VLOOKUP(Data[[#This Row],[DEVELOPMENT]],[5]!Table1[[DEVELOPMENTS]:[Installation Date of Exterior Compactor]],8,FALSE))</f>
        <v/>
      </c>
      <c r="N186">
        <f>Data[[#This Row],['# Interior Compactors]]</f>
        <v>0</v>
      </c>
      <c r="O186" s="20">
        <f>1</f>
        <v>1</v>
      </c>
      <c r="P186" s="20">
        <f>1</f>
        <v>1</v>
      </c>
      <c r="Q186" s="20">
        <f>1</f>
        <v>1</v>
      </c>
      <c r="R186" s="20">
        <f>1</f>
        <v>1</v>
      </c>
      <c r="S186" s="20">
        <f>1</f>
        <v>1</v>
      </c>
      <c r="T186" s="20">
        <f>Data[[#This Row],[DUs]]</f>
        <v>271</v>
      </c>
      <c r="U18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6" s="101">
        <f>VLOOKUP(Data[[#This Row],[DEVELOPMENT]],'[2]NYCHA_Development_Data_Book 201'!$B$2:$E$324,3,FALSE)</f>
        <v>181</v>
      </c>
      <c r="Y186" s="20"/>
      <c r="Z186" s="20">
        <f>IFERROR(VLOOKUP(Data[[#This Row],[TDS]],'[7]Static Ext by TDS'!$A$5:$E$120,2,FALSE),0)</f>
        <v>0</v>
      </c>
      <c r="AA186" s="20">
        <f>IFERROR(VLOOKUP(Data[[#This Row],[TDS]],'[7]Static Int by TDS'!$A$6:$O$305,2,FALSE),0)</f>
        <v>3</v>
      </c>
      <c r="AB186" s="20"/>
      <c r="AC186" s="20"/>
      <c r="AD186" s="20">
        <f>IFERROR(VLOOKUP(Data[[#This Row],[TDS]],'[7]Static Ext by TDS'!$A$5:$P$120,3,FALSE)+VLOOKUP(Data[[#This Row],[TDS]],'[7]Static Ext by TDS'!$A$5:$P$120,6,FALSE),0)</f>
        <v>0</v>
      </c>
      <c r="AE186" s="20">
        <f>IFERROR(VLOOKUP(Data[[#This Row],[TDS]],'[7]Static Int by TDS'!$A$6:$O$305,3,FALSE)+VLOOKUP(Data[[#This Row],[TDS]],'[7]Static Int by TDS'!$A$6:$O$305,6,FALSE),0)</f>
        <v>3</v>
      </c>
      <c r="AF186" s="20" t="str">
        <f>VLOOKUP(Data[[#This Row],[DEVELOPMENT]],[8]Developments!$A$2:$A$312,1,FALSE)</f>
        <v>METRO NORTH PLAZA</v>
      </c>
    </row>
    <row r="187" spans="1:32" x14ac:dyDescent="0.25">
      <c r="A187" t="s">
        <v>274</v>
      </c>
      <c r="B187" s="20" t="str">
        <f>VLOOKUP(Data[[#This Row],[DEVELOPMENT]],'[2]NYCHA_Development_Data_Book 201'!$B$2:$AY$324,40,FALSE)</f>
        <v>BRONX</v>
      </c>
      <c r="C187" s="20" t="str">
        <f>VLOOKUP(Data[[#This Row],[DEVELOPMENT]],'[3]Cheat-Sheet'!$D$2:$Q$341,2,FALSE)</f>
        <v>EASTCHESTER GARDENS</v>
      </c>
      <c r="D187" s="20">
        <f>IF(VLOOKUP(Data[[#This Row],[DEVELOPMENT]],'[4]IC Categories'!$A$2:$G$325,3,FALSE)=0,"",VLOOKUP(Data[[#This Row],[DEVELOPMENT]],'[4]IC Categories'!$A$2:$G$325,3,FALSE))</f>
        <v>2026</v>
      </c>
      <c r="E187" s="20">
        <f>VLOOKUP(Data[[#This Row],[DEVELOPMENT]],'[2]NYCHA_Development_Data_Book 201'!$B$2:$AY$324,21,FALSE)</f>
        <v>1</v>
      </c>
      <c r="F187" s="20">
        <f>VLOOKUP(Data[[#This Row],[DEVELOPMENT]],'[2]NYCHA_Development_Data_Book 201'!$B$2:$AY$324,23,FALSE)</f>
        <v>1</v>
      </c>
      <c r="G187" s="20">
        <f>VLOOKUP(Data[[#This Row],[DEVELOPMENT]],'[2]NYCHA_Development_Data_Book 201'!$B$2:$AY$324,12,FALSE)</f>
        <v>177</v>
      </c>
      <c r="J187">
        <f>IFERROR(VLOOKUP(Data[[#This Row],[DEVELOPMENT]],[5]!Table1[[DEVELOPMENTS]:[Installation Date of Exterior Compactor]],4,FALSE),0)</f>
        <v>0</v>
      </c>
      <c r="K187" s="20">
        <f>IFERROR(VLOOKUP(Data[[#This Row],[DEVELOPMENT]],[5]!Table1[[DEVELOPMENTS]:[Installation Date of Exterior Compactor]],7,FALSE),0)</f>
        <v>0</v>
      </c>
      <c r="L187" s="42" t="str">
        <f>IF(Data[[#This Row],['# Interior Compactors]]=0,"",VLOOKUP(Data[[#This Row],[DEVELOPMENT]],[5]!Table1[[DEVELOPMENTS]:[Installation Date of Exterior Compactor]],5,FALSE))</f>
        <v/>
      </c>
      <c r="M187" s="43" t="str">
        <f>IF(Data[[#This Row],['# Exterior Compactors]]=0,"",VLOOKUP(Data[[#This Row],[DEVELOPMENT]],[5]!Table1[[DEVELOPMENTS]:[Installation Date of Exterior Compactor]],8,FALSE))</f>
        <v/>
      </c>
      <c r="N187" s="20">
        <f>Data[[#This Row],['# Interior Compactors]]</f>
        <v>0</v>
      </c>
      <c r="O187" s="20">
        <f>1</f>
        <v>1</v>
      </c>
      <c r="P187" s="20">
        <f>1</f>
        <v>1</v>
      </c>
      <c r="Q187" s="20">
        <f>1</f>
        <v>1</v>
      </c>
      <c r="R187" s="20">
        <f>1</f>
        <v>1</v>
      </c>
      <c r="S187" s="20">
        <f>1</f>
        <v>1</v>
      </c>
      <c r="T187" s="20">
        <f>Data[[#This Row],[DUs]]</f>
        <v>177</v>
      </c>
      <c r="U18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7" s="101">
        <f>VLOOKUP(Data[[#This Row],[DEVELOPMENT]],'[2]NYCHA_Development_Data_Book 201'!$B$2:$E$324,3,FALSE)</f>
        <v>191</v>
      </c>
      <c r="Y187" s="20"/>
      <c r="Z187" s="20">
        <f>IFERROR(VLOOKUP(Data[[#This Row],[TDS]],'[7]Static Ext by TDS'!$A$5:$E$120,2,FALSE),0)</f>
        <v>0</v>
      </c>
      <c r="AA187" s="20">
        <f>IFERROR(VLOOKUP(Data[[#This Row],[TDS]],'[7]Static Int by TDS'!$A$6:$O$305,2,FALSE),0)</f>
        <v>1</v>
      </c>
      <c r="AB187" s="20"/>
      <c r="AC187" s="20"/>
      <c r="AD187" s="20">
        <f>IFERROR(VLOOKUP(Data[[#This Row],[TDS]],'[7]Static Ext by TDS'!$A$5:$P$120,3,FALSE)+VLOOKUP(Data[[#This Row],[TDS]],'[7]Static Ext by TDS'!$A$5:$P$120,6,FALSE),0)</f>
        <v>0</v>
      </c>
      <c r="AE187" s="20">
        <f>IFERROR(VLOOKUP(Data[[#This Row],[TDS]],'[7]Static Int by TDS'!$A$6:$O$305,3,FALSE)+VLOOKUP(Data[[#This Row],[TDS]],'[7]Static Int by TDS'!$A$6:$O$305,6,FALSE),0)</f>
        <v>1</v>
      </c>
      <c r="AF187" s="20" t="str">
        <f>VLOOKUP(Data[[#This Row],[DEVELOPMENT]],[8]Developments!$A$2:$A$312,1,FALSE)</f>
        <v>MIDDLETOWN PLAZA</v>
      </c>
    </row>
    <row r="188" spans="1:32" x14ac:dyDescent="0.25">
      <c r="A188" t="s">
        <v>275</v>
      </c>
      <c r="B188" s="20" t="str">
        <f>VLOOKUP(Data[[#This Row],[DEVELOPMENT]],'[2]NYCHA_Development_Data_Book 201'!$B$2:$AY$324,40,FALSE)</f>
        <v>BRONX</v>
      </c>
      <c r="C188" s="20" t="str">
        <f>VLOOKUP(Data[[#This Row],[DEVELOPMENT]],'[3]Cheat-Sheet'!$D$2:$Q$341,2,FALSE)</f>
        <v>MILL BROOK</v>
      </c>
      <c r="D188" s="20" t="str">
        <f>IF(VLOOKUP(Data[[#This Row],[DEVELOPMENT]],'[4]IC Categories'!$A$2:$G$325,3,FALSE)=0,"",VLOOKUP(Data[[#This Row],[DEVELOPMENT]],'[4]IC Categories'!$A$2:$G$325,3,FALSE))</f>
        <v/>
      </c>
      <c r="E188" s="20">
        <f>VLOOKUP(Data[[#This Row],[DEVELOPMENT]],'[2]NYCHA_Development_Data_Book 201'!$B$2:$AY$324,21,FALSE)</f>
        <v>9</v>
      </c>
      <c r="F188" s="20">
        <f>VLOOKUP(Data[[#This Row],[DEVELOPMENT]],'[2]NYCHA_Development_Data_Book 201'!$B$2:$AY$324,23,FALSE)</f>
        <v>9</v>
      </c>
      <c r="G188" s="20">
        <f>VLOOKUP(Data[[#This Row],[DEVELOPMENT]],'[2]NYCHA_Development_Data_Book 201'!$B$2:$AY$324,12,FALSE)</f>
        <v>1251</v>
      </c>
      <c r="J188">
        <f>IFERROR(VLOOKUP(Data[[#This Row],[DEVELOPMENT]],[5]!Table1[[DEVELOPMENTS]:[Installation Date of Exterior Compactor]],4,FALSE),0)</f>
        <v>0</v>
      </c>
      <c r="K188" s="20">
        <f>IFERROR(VLOOKUP(Data[[#This Row],[DEVELOPMENT]],[5]!Table1[[DEVELOPMENTS]:[Installation Date of Exterior Compactor]],7,FALSE),0)</f>
        <v>0</v>
      </c>
      <c r="L188" s="42" t="str">
        <f>IF(Data[[#This Row],['# Interior Compactors]]=0,"",VLOOKUP(Data[[#This Row],[DEVELOPMENT]],[5]!Table1[[DEVELOPMENTS]:[Installation Date of Exterior Compactor]],5,FALSE))</f>
        <v/>
      </c>
      <c r="M188" s="43" t="str">
        <f>IF(Data[[#This Row],['# Exterior Compactors]]=0,"",VLOOKUP(Data[[#This Row],[DEVELOPMENT]],[5]!Table1[[DEVELOPMENTS]:[Installation Date of Exterior Compactor]],8,FALSE))</f>
        <v/>
      </c>
      <c r="N188" s="20">
        <f>Data[[#This Row],['# Interior Compactors]]</f>
        <v>0</v>
      </c>
      <c r="O188" s="20">
        <f>1</f>
        <v>1</v>
      </c>
      <c r="P188" s="20">
        <f>1</f>
        <v>1</v>
      </c>
      <c r="Q188" s="20">
        <f>1</f>
        <v>1</v>
      </c>
      <c r="R188" s="20">
        <f>1</f>
        <v>1</v>
      </c>
      <c r="S188" s="20">
        <f>1</f>
        <v>1</v>
      </c>
      <c r="T188" s="20">
        <f>Data[[#This Row],[DUs]]</f>
        <v>1251</v>
      </c>
      <c r="U18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8" s="101">
        <f>VLOOKUP(Data[[#This Row],[DEVELOPMENT]],'[2]NYCHA_Development_Data_Book 201'!$B$2:$E$324,3,FALSE)</f>
        <v>84</v>
      </c>
      <c r="Y188" s="20"/>
      <c r="Z188" s="20">
        <f>IFERROR(VLOOKUP(Data[[#This Row],[TDS]],'[7]Static Ext by TDS'!$A$5:$E$120,2,FALSE),0)</f>
        <v>3</v>
      </c>
      <c r="AA188" s="20">
        <f>IFERROR(VLOOKUP(Data[[#This Row],[TDS]],'[7]Static Int by TDS'!$A$6:$O$305,2,FALSE),0)</f>
        <v>9</v>
      </c>
      <c r="AB188" s="20"/>
      <c r="AC188" s="20"/>
      <c r="AD188" s="20">
        <f>IFERROR(VLOOKUP(Data[[#This Row],[TDS]],'[7]Static Ext by TDS'!$A$5:$P$120,3,FALSE)+VLOOKUP(Data[[#This Row],[TDS]],'[7]Static Ext by TDS'!$A$5:$P$120,6,FALSE),0)</f>
        <v>3</v>
      </c>
      <c r="AE188" s="20">
        <f>IFERROR(VLOOKUP(Data[[#This Row],[TDS]],'[7]Static Int by TDS'!$A$6:$O$305,3,FALSE)+VLOOKUP(Data[[#This Row],[TDS]],'[7]Static Int by TDS'!$A$6:$O$305,6,FALSE),0)</f>
        <v>9</v>
      </c>
      <c r="AF188" s="20" t="str">
        <f>VLOOKUP(Data[[#This Row],[DEVELOPMENT]],[8]Developments!$A$2:$A$312,1,FALSE)</f>
        <v>MILL BROOK</v>
      </c>
    </row>
    <row r="189" spans="1:32" x14ac:dyDescent="0.25">
      <c r="A189" t="s">
        <v>276</v>
      </c>
      <c r="B189" s="20" t="str">
        <f>VLOOKUP(Data[[#This Row],[DEVELOPMENT]],'[2]NYCHA_Development_Data_Book 201'!$B$2:$AY$324,40,FALSE)</f>
        <v>BRONX</v>
      </c>
      <c r="C189" s="20" t="str">
        <f>VLOOKUP(Data[[#This Row],[DEVELOPMENT]],'[3]Cheat-Sheet'!$D$2:$Q$341,2,FALSE)</f>
        <v>MILL BROOK</v>
      </c>
      <c r="D189" s="20" t="str">
        <f>IF(VLOOKUP(Data[[#This Row],[DEVELOPMENT]],'[4]IC Categories'!$A$2:$G$325,3,FALSE)=0,"",VLOOKUP(Data[[#This Row],[DEVELOPMENT]],'[4]IC Categories'!$A$2:$G$325,3,FALSE))</f>
        <v/>
      </c>
      <c r="E189" s="20">
        <f>VLOOKUP(Data[[#This Row],[DEVELOPMENT]],'[2]NYCHA_Development_Data_Book 201'!$B$2:$AY$324,21,FALSE)</f>
        <v>1</v>
      </c>
      <c r="F189" s="20">
        <f>VLOOKUP(Data[[#This Row],[DEVELOPMENT]],'[2]NYCHA_Development_Data_Book 201'!$B$2:$AY$324,23,FALSE)</f>
        <v>1</v>
      </c>
      <c r="G189" s="20">
        <f>VLOOKUP(Data[[#This Row],[DEVELOPMENT]],'[2]NYCHA_Development_Data_Book 201'!$B$2:$AY$324,12,FALSE)</f>
        <v>125</v>
      </c>
      <c r="J189">
        <f>IFERROR(VLOOKUP(Data[[#This Row],[DEVELOPMENT]],[5]!Table1[[DEVELOPMENTS]:[Installation Date of Exterior Compactor]],4,FALSE),0)</f>
        <v>0</v>
      </c>
      <c r="K189" s="20">
        <f>IFERROR(VLOOKUP(Data[[#This Row],[DEVELOPMENT]],[5]!Table1[[DEVELOPMENTS]:[Installation Date of Exterior Compactor]],7,FALSE),0)</f>
        <v>0</v>
      </c>
      <c r="L189" s="42" t="str">
        <f>IF(Data[[#This Row],['# Interior Compactors]]=0,"",VLOOKUP(Data[[#This Row],[DEVELOPMENT]],[5]!Table1[[DEVELOPMENTS]:[Installation Date of Exterior Compactor]],5,FALSE))</f>
        <v/>
      </c>
      <c r="M189" s="43" t="str">
        <f>IF(Data[[#This Row],['# Exterior Compactors]]=0,"",VLOOKUP(Data[[#This Row],[DEVELOPMENT]],[5]!Table1[[DEVELOPMENTS]:[Installation Date of Exterior Compactor]],8,FALSE))</f>
        <v/>
      </c>
      <c r="N189" s="20">
        <f>Data[[#This Row],['# Interior Compactors]]</f>
        <v>0</v>
      </c>
      <c r="O189" s="20">
        <f>1</f>
        <v>1</v>
      </c>
      <c r="P189" s="20">
        <f>1</f>
        <v>1</v>
      </c>
      <c r="Q189" s="20">
        <f>1</f>
        <v>1</v>
      </c>
      <c r="R189" s="20">
        <f>1</f>
        <v>1</v>
      </c>
      <c r="S189" s="20">
        <f>1</f>
        <v>1</v>
      </c>
      <c r="T189" s="20">
        <f>Data[[#This Row],[DUs]]</f>
        <v>125</v>
      </c>
      <c r="U18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8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8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89" s="101">
        <f>VLOOKUP(Data[[#This Row],[DEVELOPMENT]],'[2]NYCHA_Development_Data_Book 201'!$B$2:$E$324,3,FALSE)</f>
        <v>132</v>
      </c>
      <c r="Y189" s="20"/>
      <c r="Z189" s="20">
        <f>IFERROR(VLOOKUP(Data[[#This Row],[TDS]],'[7]Static Ext by TDS'!$A$5:$E$120,2,FALSE),0)</f>
        <v>0</v>
      </c>
      <c r="AA189" s="20">
        <f>IFERROR(VLOOKUP(Data[[#This Row],[TDS]],'[7]Static Int by TDS'!$A$6:$O$305,2,FALSE),0)</f>
        <v>1</v>
      </c>
      <c r="AB189" s="20"/>
      <c r="AC189" s="20"/>
      <c r="AD189" s="20">
        <f>IFERROR(VLOOKUP(Data[[#This Row],[TDS]],'[7]Static Ext by TDS'!$A$5:$P$120,3,FALSE)+VLOOKUP(Data[[#This Row],[TDS]],'[7]Static Ext by TDS'!$A$5:$P$120,6,FALSE),0)</f>
        <v>0</v>
      </c>
      <c r="AE189" s="20">
        <f>IFERROR(VLOOKUP(Data[[#This Row],[TDS]],'[7]Static Int by TDS'!$A$6:$O$305,3,FALSE)+VLOOKUP(Data[[#This Row],[TDS]],'[7]Static Int by TDS'!$A$6:$O$305,6,FALSE),0)</f>
        <v>1</v>
      </c>
      <c r="AF189" s="20" t="str">
        <f>VLOOKUP(Data[[#This Row],[DEVELOPMENT]],[8]Developments!$A$2:$A$312,1,FALSE)</f>
        <v>MILL BROOK EXTENSION</v>
      </c>
    </row>
    <row r="190" spans="1:32" x14ac:dyDescent="0.25">
      <c r="A190" t="s">
        <v>277</v>
      </c>
      <c r="B190" s="20" t="str">
        <f>VLOOKUP(Data[[#This Row],[DEVELOPMENT]],'[2]NYCHA_Development_Data_Book 201'!$B$2:$AY$324,40,FALSE)</f>
        <v>BRONX</v>
      </c>
      <c r="C190" s="20" t="str">
        <f>VLOOKUP(Data[[#This Row],[DEVELOPMENT]],'[3]Cheat-Sheet'!$D$2:$Q$341,2,FALSE)</f>
        <v>MITCHEL</v>
      </c>
      <c r="D190" s="20" t="str">
        <f>IF(VLOOKUP(Data[[#This Row],[DEVELOPMENT]],'[4]IC Categories'!$A$2:$G$325,3,FALSE)=0,"",VLOOKUP(Data[[#This Row],[DEVELOPMENT]],'[4]IC Categories'!$A$2:$G$325,3,FALSE))</f>
        <v/>
      </c>
      <c r="E190" s="20">
        <f>VLOOKUP(Data[[#This Row],[DEVELOPMENT]],'[2]NYCHA_Development_Data_Book 201'!$B$2:$AY$324,21,FALSE)</f>
        <v>10</v>
      </c>
      <c r="F190" s="20">
        <f>VLOOKUP(Data[[#This Row],[DEVELOPMENT]],'[2]NYCHA_Development_Data_Book 201'!$B$2:$AY$324,23,FALSE)</f>
        <v>12</v>
      </c>
      <c r="G190" s="20">
        <f>VLOOKUP(Data[[#This Row],[DEVELOPMENT]],'[2]NYCHA_Development_Data_Book 201'!$B$2:$AY$324,12,FALSE)</f>
        <v>1732</v>
      </c>
      <c r="J190">
        <f>IFERROR(VLOOKUP(Data[[#This Row],[DEVELOPMENT]],[5]!Table1[[DEVELOPMENTS]:[Installation Date of Exterior Compactor]],4,FALSE),0)</f>
        <v>0</v>
      </c>
      <c r="K190" s="20">
        <f>IFERROR(VLOOKUP(Data[[#This Row],[DEVELOPMENT]],[5]!Table1[[DEVELOPMENTS]:[Installation Date of Exterior Compactor]],7,FALSE),0)</f>
        <v>0</v>
      </c>
      <c r="L190" s="42" t="str">
        <f>IF(Data[[#This Row],['# Interior Compactors]]=0,"",VLOOKUP(Data[[#This Row],[DEVELOPMENT]],[5]!Table1[[DEVELOPMENTS]:[Installation Date of Exterior Compactor]],5,FALSE))</f>
        <v/>
      </c>
      <c r="M190" s="43" t="str">
        <f>IF(Data[[#This Row],['# Exterior Compactors]]=0,"",VLOOKUP(Data[[#This Row],[DEVELOPMENT]],[5]!Table1[[DEVELOPMENTS]:[Installation Date of Exterior Compactor]],8,FALSE))</f>
        <v/>
      </c>
      <c r="N190" s="20">
        <f>Data[[#This Row],['# Interior Compactors]]</f>
        <v>0</v>
      </c>
      <c r="O190" s="20">
        <f>1</f>
        <v>1</v>
      </c>
      <c r="P190" s="20">
        <f>1</f>
        <v>1</v>
      </c>
      <c r="Q190" s="20">
        <f>1</f>
        <v>1</v>
      </c>
      <c r="R190" s="20">
        <f>1</f>
        <v>1</v>
      </c>
      <c r="S190" s="20">
        <f>1</f>
        <v>1</v>
      </c>
      <c r="T190" s="20">
        <f>Data[[#This Row],[DUs]]</f>
        <v>1732</v>
      </c>
      <c r="U19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0" s="101">
        <f>VLOOKUP(Data[[#This Row],[DEVELOPMENT]],'[2]NYCHA_Development_Data_Book 201'!$B$2:$E$324,3,FALSE)</f>
        <v>145</v>
      </c>
      <c r="Y190" s="20"/>
      <c r="Z190" s="20">
        <f>IFERROR(VLOOKUP(Data[[#This Row],[TDS]],'[7]Static Ext by TDS'!$A$5:$E$120,2,FALSE),0)</f>
        <v>4</v>
      </c>
      <c r="AA190" s="20">
        <f>IFERROR(VLOOKUP(Data[[#This Row],[TDS]],'[7]Static Int by TDS'!$A$6:$O$305,2,FALSE),0)</f>
        <v>20</v>
      </c>
      <c r="AB190" s="20"/>
      <c r="AC190" s="20"/>
      <c r="AD190" s="20">
        <f>IFERROR(VLOOKUP(Data[[#This Row],[TDS]],'[7]Static Ext by TDS'!$A$5:$P$120,3,FALSE)+VLOOKUP(Data[[#This Row],[TDS]],'[7]Static Ext by TDS'!$A$5:$P$120,6,FALSE),0)</f>
        <v>4</v>
      </c>
      <c r="AE190" s="20">
        <f>IFERROR(VLOOKUP(Data[[#This Row],[TDS]],'[7]Static Int by TDS'!$A$6:$O$305,3,FALSE)+VLOOKUP(Data[[#This Row],[TDS]],'[7]Static Int by TDS'!$A$6:$O$305,6,FALSE),0)</f>
        <v>20</v>
      </c>
      <c r="AF190" s="20" t="str">
        <f>VLOOKUP(Data[[#This Row],[DEVELOPMENT]],[8]Developments!$A$2:$A$312,1,FALSE)</f>
        <v>MITCHEL</v>
      </c>
    </row>
    <row r="191" spans="1:32" x14ac:dyDescent="0.25">
      <c r="A191" t="s">
        <v>114</v>
      </c>
      <c r="B191" t="str">
        <f>VLOOKUP(Data[[#This Row],[DEVELOPMENT]],'[2]NYCHA_Development_Data_Book 201'!$B$2:$AY$324,40,FALSE)</f>
        <v>BRONX</v>
      </c>
      <c r="C191" t="str">
        <f>VLOOKUP(Data[[#This Row],[DEVELOPMENT]],'[3]Cheat-Sheet'!$D$2:$Q$341,2,FALSE)</f>
        <v>MONROE</v>
      </c>
      <c r="D191" t="str">
        <f>IF(VLOOKUP(Data[[#This Row],[DEVELOPMENT]],'[4]IC Categories'!$A$2:$G$325,3,FALSE)=0,"",VLOOKUP(Data[[#This Row],[DEVELOPMENT]],'[4]IC Categories'!$A$2:$G$325,3,FALSE))</f>
        <v/>
      </c>
      <c r="E191">
        <f>VLOOKUP(Data[[#This Row],[DEVELOPMENT]],'[2]NYCHA_Development_Data_Book 201'!$B$2:$AY$324,21,FALSE)</f>
        <v>12</v>
      </c>
      <c r="F191">
        <f>VLOOKUP(Data[[#This Row],[DEVELOPMENT]],'[2]NYCHA_Development_Data_Book 201'!$B$2:$AY$324,23,FALSE)</f>
        <v>20</v>
      </c>
      <c r="G191">
        <f>VLOOKUP(Data[[#This Row],[DEVELOPMENT]],'[2]NYCHA_Development_Data_Book 201'!$B$2:$AY$324,12,FALSE)</f>
        <v>1100</v>
      </c>
      <c r="H191" t="s">
        <v>474</v>
      </c>
      <c r="I191" t="s">
        <v>471</v>
      </c>
      <c r="J191">
        <f>IFERROR(VLOOKUP(Data[[#This Row],[DEVELOPMENT]],[5]!Table1[[DEVELOPMENTS]:[Installation Date of Exterior Compactor]],4,FALSE),0)</f>
        <v>0</v>
      </c>
      <c r="K191" s="20">
        <f>IFERROR(VLOOKUP(Data[[#This Row],[DEVELOPMENT]],[5]!Table1[[DEVELOPMENTS]:[Installation Date of Exterior Compactor]],7,FALSE),0)</f>
        <v>0</v>
      </c>
      <c r="L191" s="42" t="str">
        <f>IF(Data[[#This Row],['# Interior Compactors]]=0,"",VLOOKUP(Data[[#This Row],[DEVELOPMENT]],[5]!Table1[[DEVELOPMENTS]:[Installation Date of Exterior Compactor]],5,FALSE))</f>
        <v/>
      </c>
      <c r="M191" s="43" t="str">
        <f>IF(Data[[#This Row],['# Exterior Compactors]]=0,"",VLOOKUP(Data[[#This Row],[DEVELOPMENT]],[5]!Table1[[DEVELOPMENTS]:[Installation Date of Exterior Compactor]],8,FALSE))</f>
        <v/>
      </c>
      <c r="N191">
        <f>Data[[#This Row],['# Interior Compactors]]</f>
        <v>0</v>
      </c>
      <c r="O191" s="20">
        <f>1</f>
        <v>1</v>
      </c>
      <c r="P191" s="20">
        <f>1</f>
        <v>1</v>
      </c>
      <c r="Q191" s="20">
        <f>1</f>
        <v>1</v>
      </c>
      <c r="R191" s="20">
        <f>1</f>
        <v>1</v>
      </c>
      <c r="S191" s="20">
        <f>1</f>
        <v>1</v>
      </c>
      <c r="T191" s="20">
        <f>Data[[#This Row],[DUs]]</f>
        <v>1100</v>
      </c>
      <c r="U19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1" s="101">
        <f>VLOOKUP(Data[[#This Row],[DEVELOPMENT]],'[2]NYCHA_Development_Data_Book 201'!$B$2:$E$324,3,FALSE)</f>
        <v>88</v>
      </c>
      <c r="Y191" s="20"/>
      <c r="Z191" s="20">
        <f>IFERROR(VLOOKUP(Data[[#This Row],[TDS]],'[7]Static Ext by TDS'!$A$5:$E$120,2,FALSE),0)</f>
        <v>2</v>
      </c>
      <c r="AA191" s="20">
        <f>IFERROR(VLOOKUP(Data[[#This Row],[TDS]],'[7]Static Int by TDS'!$A$6:$O$305,2,FALSE),0)</f>
        <v>18</v>
      </c>
      <c r="AB191" s="20"/>
      <c r="AC191" s="20"/>
      <c r="AD191" s="20">
        <f>IFERROR(VLOOKUP(Data[[#This Row],[TDS]],'[7]Static Ext by TDS'!$A$5:$P$120,3,FALSE)+VLOOKUP(Data[[#This Row],[TDS]],'[7]Static Ext by TDS'!$A$5:$P$120,6,FALSE),0)</f>
        <v>2</v>
      </c>
      <c r="AE191" s="20">
        <f>IFERROR(VLOOKUP(Data[[#This Row],[TDS]],'[7]Static Int by TDS'!$A$6:$O$305,3,FALSE)+VLOOKUP(Data[[#This Row],[TDS]],'[7]Static Int by TDS'!$A$6:$O$305,6,FALSE),0)</f>
        <v>18</v>
      </c>
      <c r="AF191" s="20" t="str">
        <f>VLOOKUP(Data[[#This Row],[DEVELOPMENT]],[8]Developments!$A$2:$A$312,1,FALSE)</f>
        <v>MONROE</v>
      </c>
    </row>
    <row r="192" spans="1:32" x14ac:dyDescent="0.25">
      <c r="A192" t="s">
        <v>91</v>
      </c>
      <c r="B192" t="str">
        <f>VLOOKUP(Data[[#This Row],[DEVELOPMENT]],'[2]NYCHA_Development_Data_Book 201'!$B$2:$AY$324,40,FALSE)</f>
        <v>BRONX</v>
      </c>
      <c r="C192" t="str">
        <f>VLOOKUP(Data[[#This Row],[DEVELOPMENT]],'[3]Cheat-Sheet'!$D$2:$Q$341,2,FALSE)</f>
        <v>SAINT MARY'S PARK</v>
      </c>
      <c r="D192" t="str">
        <f>IF(VLOOKUP(Data[[#This Row],[DEVELOPMENT]],'[4]IC Categories'!$A$2:$G$325,3,FALSE)=0,"",VLOOKUP(Data[[#This Row],[DEVELOPMENT]],'[4]IC Categories'!$A$2:$G$325,3,FALSE))</f>
        <v/>
      </c>
      <c r="E192">
        <f>VLOOKUP(Data[[#This Row],[DEVELOPMENT]],'[2]NYCHA_Development_Data_Book 201'!$B$2:$AY$324,21,FALSE)</f>
        <v>2</v>
      </c>
      <c r="F192">
        <f>VLOOKUP(Data[[#This Row],[DEVELOPMENT]],'[2]NYCHA_Development_Data_Book 201'!$B$2:$AY$324,23,FALSE)</f>
        <v>4</v>
      </c>
      <c r="G192">
        <f>VLOOKUP(Data[[#This Row],[DEVELOPMENT]],'[2]NYCHA_Development_Data_Book 201'!$B$2:$AY$324,12,FALSE)</f>
        <v>463</v>
      </c>
      <c r="H192" t="s">
        <v>474</v>
      </c>
      <c r="I192" t="s">
        <v>475</v>
      </c>
      <c r="J192">
        <f>IFERROR(VLOOKUP(Data[[#This Row],[DEVELOPMENT]],[5]!Table1[[DEVELOPMENTS]:[Installation Date of Exterior Compactor]],4,FALSE),0)</f>
        <v>0</v>
      </c>
      <c r="K192" s="20">
        <f>IFERROR(VLOOKUP(Data[[#This Row],[DEVELOPMENT]],[5]!Table1[[DEVELOPMENTS]:[Installation Date of Exterior Compactor]],7,FALSE),0)</f>
        <v>0</v>
      </c>
      <c r="L192" s="42" t="str">
        <f>IF(Data[[#This Row],['# Interior Compactors]]=0,"",VLOOKUP(Data[[#This Row],[DEVELOPMENT]],[5]!Table1[[DEVELOPMENTS]:[Installation Date of Exterior Compactor]],5,FALSE))</f>
        <v/>
      </c>
      <c r="M192" s="43" t="str">
        <f>IF(Data[[#This Row],['# Exterior Compactors]]=0,"",VLOOKUP(Data[[#This Row],[DEVELOPMENT]],[5]!Table1[[DEVELOPMENTS]:[Installation Date of Exterior Compactor]],8,FALSE))</f>
        <v/>
      </c>
      <c r="N192">
        <f>Data[[#This Row],['# Interior Compactors]]</f>
        <v>0</v>
      </c>
      <c r="O192" s="20">
        <f>1</f>
        <v>1</v>
      </c>
      <c r="P192" s="20">
        <f>1</f>
        <v>1</v>
      </c>
      <c r="Q192" s="20">
        <f>1</f>
        <v>1</v>
      </c>
      <c r="R192" s="20">
        <f>1</f>
        <v>1</v>
      </c>
      <c r="S192" s="20">
        <f>1</f>
        <v>1</v>
      </c>
      <c r="T192" s="20">
        <f>Data[[#This Row],[DUs]]</f>
        <v>463</v>
      </c>
      <c r="U19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2" s="101">
        <f>VLOOKUP(Data[[#This Row],[DEVELOPMENT]],'[2]NYCHA_Development_Data_Book 201'!$B$2:$E$324,3,FALSE)</f>
        <v>129</v>
      </c>
      <c r="Y192" s="20"/>
      <c r="Z192" s="20">
        <f>IFERROR(VLOOKUP(Data[[#This Row],[TDS]],'[7]Static Ext by TDS'!$A$5:$E$120,2,FALSE),0)</f>
        <v>1</v>
      </c>
      <c r="AA192" s="20">
        <f>IFERROR(VLOOKUP(Data[[#This Row],[TDS]],'[7]Static Int by TDS'!$A$6:$O$305,2,FALSE),0)</f>
        <v>4</v>
      </c>
      <c r="AB192" s="20"/>
      <c r="AC192" s="20"/>
      <c r="AD192" s="20">
        <f>IFERROR(VLOOKUP(Data[[#This Row],[TDS]],'[7]Static Ext by TDS'!$A$5:$P$120,3,FALSE)+VLOOKUP(Data[[#This Row],[TDS]],'[7]Static Ext by TDS'!$A$5:$P$120,6,FALSE),0)</f>
        <v>1</v>
      </c>
      <c r="AE192" s="20">
        <f>IFERROR(VLOOKUP(Data[[#This Row],[TDS]],'[7]Static Int by TDS'!$A$6:$O$305,3,FALSE)+VLOOKUP(Data[[#This Row],[TDS]],'[7]Static Int by TDS'!$A$6:$O$305,6,FALSE),0)</f>
        <v>4</v>
      </c>
      <c r="AF192" s="20" t="str">
        <f>VLOOKUP(Data[[#This Row],[DEVELOPMENT]],[8]Developments!$A$2:$A$312,1,FALSE)</f>
        <v>MOORE</v>
      </c>
    </row>
    <row r="193" spans="1:32" x14ac:dyDescent="0.25">
      <c r="A193" s="17" t="s">
        <v>40</v>
      </c>
      <c r="B193" s="17" t="str">
        <f>VLOOKUP(Data[[#This Row],[DEVELOPMENT]],'[2]NYCHA_Development_Data_Book 201'!$B$2:$AY$324,40,FALSE)</f>
        <v>BRONX</v>
      </c>
      <c r="C193" t="str">
        <f>VLOOKUP(Data[[#This Row],[DEVELOPMENT]],'[3]Cheat-Sheet'!$D$2:$Q$341,2,FALSE)</f>
        <v>MORRIS</v>
      </c>
      <c r="D193" t="str">
        <f>IF(VLOOKUP(Data[[#This Row],[DEVELOPMENT]],'[4]IC Categories'!$A$2:$G$325,3,FALSE)=0,"",VLOOKUP(Data[[#This Row],[DEVELOPMENT]],'[4]IC Categories'!$A$2:$G$325,3,FALSE))</f>
        <v/>
      </c>
      <c r="E193">
        <f>VLOOKUP(Data[[#This Row],[DEVELOPMENT]],'[2]NYCHA_Development_Data_Book 201'!$B$2:$AY$324,21,FALSE)</f>
        <v>10</v>
      </c>
      <c r="F193">
        <f>VLOOKUP(Data[[#This Row],[DEVELOPMENT]],'[2]NYCHA_Development_Data_Book 201'!$B$2:$AY$324,23,FALSE)</f>
        <v>10</v>
      </c>
      <c r="G193">
        <f>VLOOKUP(Data[[#This Row],[DEVELOPMENT]],'[2]NYCHA_Development_Data_Book 201'!$B$2:$AY$324,12,FALSE)</f>
        <v>1083</v>
      </c>
      <c r="H193" t="s">
        <v>472</v>
      </c>
      <c r="I193" t="s">
        <v>475</v>
      </c>
      <c r="J193">
        <f>IFERROR(VLOOKUP(Data[[#This Row],[DEVELOPMENT]],[5]!Table1[[DEVELOPMENTS]:[Installation Date of Exterior Compactor]],4,FALSE),0)</f>
        <v>0</v>
      </c>
      <c r="K193" s="20">
        <f>IFERROR(VLOOKUP(Data[[#This Row],[DEVELOPMENT]],[5]!Table1[[DEVELOPMENTS]:[Installation Date of Exterior Compactor]],7,FALSE),0)</f>
        <v>0</v>
      </c>
      <c r="L193" s="42" t="str">
        <f>IF(Data[[#This Row],['# Interior Compactors]]=0,"",VLOOKUP(Data[[#This Row],[DEVELOPMENT]],[5]!Table1[[DEVELOPMENTS]:[Installation Date of Exterior Compactor]],5,FALSE))</f>
        <v/>
      </c>
      <c r="M193" s="43" t="str">
        <f>IF(Data[[#This Row],['# Exterior Compactors]]=0,"",VLOOKUP(Data[[#This Row],[DEVELOPMENT]],[5]!Table1[[DEVELOPMENTS]:[Installation Date of Exterior Compactor]],8,FALSE))</f>
        <v/>
      </c>
      <c r="N193">
        <f>Data[[#This Row],['# Interior Compactors]]</f>
        <v>0</v>
      </c>
      <c r="O193" s="20">
        <f>1</f>
        <v>1</v>
      </c>
      <c r="P193" s="20">
        <f>1</f>
        <v>1</v>
      </c>
      <c r="Q193" s="20">
        <f>1</f>
        <v>1</v>
      </c>
      <c r="R193" s="20">
        <f>1</f>
        <v>1</v>
      </c>
      <c r="S193" s="20">
        <f>1</f>
        <v>1</v>
      </c>
      <c r="T193" s="20">
        <f>Data[[#This Row],[DUs]]</f>
        <v>1083</v>
      </c>
      <c r="U19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3" s="101">
        <f>VLOOKUP(Data[[#This Row],[DEVELOPMENT]],'[2]NYCHA_Development_Data_Book 201'!$B$2:$E$324,3,FALSE)</f>
        <v>102</v>
      </c>
      <c r="Y193" s="20"/>
      <c r="Z193" s="20">
        <f>IFERROR(VLOOKUP(Data[[#This Row],[TDS]],'[7]Static Ext by TDS'!$A$5:$E$120,2,FALSE),0)</f>
        <v>3</v>
      </c>
      <c r="AA193" s="20">
        <f>IFERROR(VLOOKUP(Data[[#This Row],[TDS]],'[7]Static Int by TDS'!$A$6:$O$305,2,FALSE),0)</f>
        <v>10</v>
      </c>
      <c r="AB193" s="20"/>
      <c r="AC193" s="20"/>
      <c r="AD193" s="20">
        <f>IFERROR(VLOOKUP(Data[[#This Row],[TDS]],'[7]Static Ext by TDS'!$A$5:$P$120,3,FALSE)+VLOOKUP(Data[[#This Row],[TDS]],'[7]Static Ext by TDS'!$A$5:$P$120,6,FALSE),0)</f>
        <v>3</v>
      </c>
      <c r="AE193" s="20">
        <f>IFERROR(VLOOKUP(Data[[#This Row],[TDS]],'[7]Static Int by TDS'!$A$6:$O$305,3,FALSE)+VLOOKUP(Data[[#This Row],[TDS]],'[7]Static Int by TDS'!$A$6:$O$305,6,FALSE),0)</f>
        <v>10</v>
      </c>
      <c r="AF193" s="20" t="str">
        <f>VLOOKUP(Data[[#This Row],[DEVELOPMENT]],[8]Developments!$A$2:$A$312,1,FALSE)</f>
        <v>MORRIS I</v>
      </c>
    </row>
    <row r="194" spans="1:32" x14ac:dyDescent="0.25">
      <c r="A194" s="17" t="s">
        <v>140</v>
      </c>
      <c r="B194" s="17" t="str">
        <f>VLOOKUP(Data[[#This Row],[DEVELOPMENT]],'[2]NYCHA_Development_Data_Book 201'!$B$2:$AY$324,40,FALSE)</f>
        <v>BRONX</v>
      </c>
      <c r="C194" t="str">
        <f>VLOOKUP(Data[[#This Row],[DEVELOPMENT]],'[3]Cheat-Sheet'!$D$2:$Q$341,2,FALSE)</f>
        <v>MORRIS</v>
      </c>
      <c r="D194" t="str">
        <f>IF(VLOOKUP(Data[[#This Row],[DEVELOPMENT]],'[4]IC Categories'!$A$2:$G$325,3,FALSE)=0,"",VLOOKUP(Data[[#This Row],[DEVELOPMENT]],'[4]IC Categories'!$A$2:$G$325,3,FALSE))</f>
        <v/>
      </c>
      <c r="E194">
        <f>VLOOKUP(Data[[#This Row],[DEVELOPMENT]],'[2]NYCHA_Development_Data_Book 201'!$B$2:$AY$324,21,FALSE)</f>
        <v>7</v>
      </c>
      <c r="F194">
        <f>VLOOKUP(Data[[#This Row],[DEVELOPMENT]],'[2]NYCHA_Development_Data_Book 201'!$B$2:$AY$324,23,FALSE)</f>
        <v>7</v>
      </c>
      <c r="G194">
        <f>VLOOKUP(Data[[#This Row],[DEVELOPMENT]],'[2]NYCHA_Development_Data_Book 201'!$B$2:$AY$324,12,FALSE)</f>
        <v>802</v>
      </c>
      <c r="H194" t="s">
        <v>472</v>
      </c>
      <c r="I194" t="s">
        <v>478</v>
      </c>
      <c r="J194">
        <f>IFERROR(VLOOKUP(Data[[#This Row],[DEVELOPMENT]],[5]!Table1[[DEVELOPMENTS]:[Installation Date of Exterior Compactor]],4,FALSE),0)</f>
        <v>0</v>
      </c>
      <c r="K194" s="20">
        <f>IFERROR(VLOOKUP(Data[[#This Row],[DEVELOPMENT]],[5]!Table1[[DEVELOPMENTS]:[Installation Date of Exterior Compactor]],7,FALSE),0)</f>
        <v>0</v>
      </c>
      <c r="L194" s="42" t="str">
        <f>IF(Data[[#This Row],['# Interior Compactors]]=0,"",VLOOKUP(Data[[#This Row],[DEVELOPMENT]],[5]!Table1[[DEVELOPMENTS]:[Installation Date of Exterior Compactor]],5,FALSE))</f>
        <v/>
      </c>
      <c r="M194" s="43" t="str">
        <f>IF(Data[[#This Row],['# Exterior Compactors]]=0,"",VLOOKUP(Data[[#This Row],[DEVELOPMENT]],[5]!Table1[[DEVELOPMENTS]:[Installation Date of Exterior Compactor]],8,FALSE))</f>
        <v/>
      </c>
      <c r="N194">
        <f>Data[[#This Row],['# Interior Compactors]]</f>
        <v>0</v>
      </c>
      <c r="O194" s="20">
        <f>1</f>
        <v>1</v>
      </c>
      <c r="P194" s="20">
        <f>1</f>
        <v>1</v>
      </c>
      <c r="Q194" s="20">
        <f>1</f>
        <v>1</v>
      </c>
      <c r="R194" s="20">
        <f>1</f>
        <v>1</v>
      </c>
      <c r="S194" s="20">
        <f>1</f>
        <v>1</v>
      </c>
      <c r="T194" s="20">
        <f>Data[[#This Row],[DUs]]</f>
        <v>802</v>
      </c>
      <c r="U19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4" s="101">
        <f>VLOOKUP(Data[[#This Row],[DEVELOPMENT]],'[2]NYCHA_Development_Data_Book 201'!$B$2:$E$324,3,FALSE)</f>
        <v>502</v>
      </c>
      <c r="Y194" s="20"/>
      <c r="Z194" s="20">
        <f>IFERROR(VLOOKUP(Data[[#This Row],[TDS]],'[7]Static Ext by TDS'!$A$5:$E$120,2,FALSE),0)</f>
        <v>2</v>
      </c>
      <c r="AA194" s="20">
        <f>IFERROR(VLOOKUP(Data[[#This Row],[TDS]],'[7]Static Int by TDS'!$A$6:$O$305,2,FALSE),0)</f>
        <v>7</v>
      </c>
      <c r="AB194" s="20"/>
      <c r="AC194" s="20"/>
      <c r="AD194" s="20">
        <f>IFERROR(VLOOKUP(Data[[#This Row],[TDS]],'[7]Static Ext by TDS'!$A$5:$P$120,3,FALSE)+VLOOKUP(Data[[#This Row],[TDS]],'[7]Static Ext by TDS'!$A$5:$P$120,6,FALSE),0)</f>
        <v>2</v>
      </c>
      <c r="AE194" s="20">
        <f>IFERROR(VLOOKUP(Data[[#This Row],[TDS]],'[7]Static Int by TDS'!$A$6:$O$305,3,FALSE)+VLOOKUP(Data[[#This Row],[TDS]],'[7]Static Int by TDS'!$A$6:$O$305,6,FALSE),0)</f>
        <v>7</v>
      </c>
      <c r="AF194" s="20" t="str">
        <f>VLOOKUP(Data[[#This Row],[DEVELOPMENT]],[8]Developments!$A$2:$A$312,1,FALSE)</f>
        <v>MORRIS II</v>
      </c>
    </row>
    <row r="195" spans="1:32" x14ac:dyDescent="0.25">
      <c r="A195" t="s">
        <v>92</v>
      </c>
      <c r="B195" t="str">
        <f>VLOOKUP(Data[[#This Row],[DEVELOPMENT]],'[2]NYCHA_Development_Data_Book 201'!$B$2:$AY$324,40,FALSE)</f>
        <v>MANHATTAN</v>
      </c>
      <c r="C195" t="str">
        <f>VLOOKUP(Data[[#This Row],[DEVELOPMENT]],'[3]Cheat-Sheet'!$D$2:$Q$341,2,FALSE)</f>
        <v>ROBINSON</v>
      </c>
      <c r="D195" t="str">
        <f>IF(VLOOKUP(Data[[#This Row],[DEVELOPMENT]],'[4]IC Categories'!$A$2:$G$325,3,FALSE)=0,"",VLOOKUP(Data[[#This Row],[DEVELOPMENT]],'[4]IC Categories'!$A$2:$G$325,3,FALSE))</f>
        <v/>
      </c>
      <c r="E195">
        <f>VLOOKUP(Data[[#This Row],[DEVELOPMENT]],'[2]NYCHA_Development_Data_Book 201'!$B$2:$AY$324,21,FALSE)</f>
        <v>1</v>
      </c>
      <c r="F195">
        <f>VLOOKUP(Data[[#This Row],[DEVELOPMENT]],'[2]NYCHA_Development_Data_Book 201'!$B$2:$AY$324,23,FALSE)</f>
        <v>1</v>
      </c>
      <c r="G195">
        <f>VLOOKUP(Data[[#This Row],[DEVELOPMENT]],'[2]NYCHA_Development_Data_Book 201'!$B$2:$AY$324,12,FALSE)</f>
        <v>97</v>
      </c>
      <c r="H195" t="s">
        <v>470</v>
      </c>
      <c r="I195" t="s">
        <v>477</v>
      </c>
      <c r="J195">
        <f>IFERROR(VLOOKUP(Data[[#This Row],[DEVELOPMENT]],[5]!Table1[[DEVELOPMENTS]:[Installation Date of Exterior Compactor]],4,FALSE),0)</f>
        <v>0</v>
      </c>
      <c r="K195" s="20">
        <f>IFERROR(VLOOKUP(Data[[#This Row],[DEVELOPMENT]],[5]!Table1[[DEVELOPMENTS]:[Installation Date of Exterior Compactor]],7,FALSE),0)</f>
        <v>0</v>
      </c>
      <c r="L195" s="42" t="str">
        <f>IF(Data[[#This Row],['# Interior Compactors]]=0,"",VLOOKUP(Data[[#This Row],[DEVELOPMENT]],[5]!Table1[[DEVELOPMENTS]:[Installation Date of Exterior Compactor]],5,FALSE))</f>
        <v/>
      </c>
      <c r="M195" s="43" t="str">
        <f>IF(Data[[#This Row],['# Exterior Compactors]]=0,"",VLOOKUP(Data[[#This Row],[DEVELOPMENT]],[5]!Table1[[DEVELOPMENTS]:[Installation Date of Exterior Compactor]],8,FALSE))</f>
        <v/>
      </c>
      <c r="N195">
        <f>Data[[#This Row],['# Interior Compactors]]</f>
        <v>0</v>
      </c>
      <c r="O195" s="20">
        <f>1</f>
        <v>1</v>
      </c>
      <c r="P195" s="20">
        <f>1</f>
        <v>1</v>
      </c>
      <c r="Q195" s="20">
        <f>1</f>
        <v>1</v>
      </c>
      <c r="R195" s="20">
        <f>1</f>
        <v>1</v>
      </c>
      <c r="S195" s="20">
        <f>1</f>
        <v>1</v>
      </c>
      <c r="T195" s="20">
        <f>Data[[#This Row],[DUs]]</f>
        <v>97</v>
      </c>
      <c r="U19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5" s="101">
        <f>VLOOKUP(Data[[#This Row],[DEVELOPMENT]],'[2]NYCHA_Development_Data_Book 201'!$B$2:$E$324,3,FALSE)</f>
        <v>277</v>
      </c>
      <c r="Y195" s="20"/>
      <c r="Z195" s="20">
        <f>IFERROR(VLOOKUP(Data[[#This Row],[TDS]],'[7]Static Ext by TDS'!$A$5:$E$120,2,FALSE),0)</f>
        <v>0</v>
      </c>
      <c r="AA195" s="20">
        <f>IFERROR(VLOOKUP(Data[[#This Row],[TDS]],'[7]Static Int by TDS'!$A$6:$O$305,2,FALSE),0)</f>
        <v>1</v>
      </c>
      <c r="AB195" s="20"/>
      <c r="AC195" s="20"/>
      <c r="AD195" s="20">
        <f>IFERROR(VLOOKUP(Data[[#This Row],[TDS]],'[7]Static Ext by TDS'!$A$5:$P$120,3,FALSE)+VLOOKUP(Data[[#This Row],[TDS]],'[7]Static Ext by TDS'!$A$5:$P$120,6,FALSE),0)</f>
        <v>0</v>
      </c>
      <c r="AE195" s="20">
        <f>IFERROR(VLOOKUP(Data[[#This Row],[TDS]],'[7]Static Int by TDS'!$A$6:$O$305,3,FALSE)+VLOOKUP(Data[[#This Row],[TDS]],'[7]Static Int by TDS'!$A$6:$O$305,6,FALSE),0)</f>
        <v>1</v>
      </c>
      <c r="AF195" s="20" t="str">
        <f>VLOOKUP(Data[[#This Row],[DEVELOPMENT]],[8]Developments!$A$2:$A$312,1,FALSE)</f>
        <v>MORRIS PARK SENIOR CITIZENS HOME</v>
      </c>
    </row>
    <row r="196" spans="1:32" x14ac:dyDescent="0.25">
      <c r="A196" s="17" t="s">
        <v>147</v>
      </c>
      <c r="B196" s="17" t="str">
        <f>VLOOKUP(Data[[#This Row],[DEVELOPMENT]],'[2]NYCHA_Development_Data_Book 201'!$B$2:$AY$324,40,FALSE)</f>
        <v>BRONX</v>
      </c>
      <c r="C196" t="str">
        <f>VLOOKUP(Data[[#This Row],[DEVELOPMENT]],'[3]Cheat-Sheet'!$D$2:$Q$341,2,FALSE)</f>
        <v>WEBSTER</v>
      </c>
      <c r="D196" t="str">
        <f>IF(VLOOKUP(Data[[#This Row],[DEVELOPMENT]],'[4]IC Categories'!$A$2:$G$325,3,FALSE)=0,"",VLOOKUP(Data[[#This Row],[DEVELOPMENT]],'[4]IC Categories'!$A$2:$G$325,3,FALSE))</f>
        <v/>
      </c>
      <c r="E196">
        <f>VLOOKUP(Data[[#This Row],[DEVELOPMENT]],'[2]NYCHA_Development_Data_Book 201'!$B$2:$AY$324,21,FALSE)</f>
        <v>2</v>
      </c>
      <c r="F196">
        <f>VLOOKUP(Data[[#This Row],[DEVELOPMENT]],'[2]NYCHA_Development_Data_Book 201'!$B$2:$AY$324,23,FALSE)</f>
        <v>2</v>
      </c>
      <c r="G196">
        <f>VLOOKUP(Data[[#This Row],[DEVELOPMENT]],'[2]NYCHA_Development_Data_Book 201'!$B$2:$AY$324,12,FALSE)</f>
        <v>206</v>
      </c>
      <c r="H196" t="s">
        <v>472</v>
      </c>
      <c r="I196" t="s">
        <v>477</v>
      </c>
      <c r="J196">
        <f>IFERROR(VLOOKUP(Data[[#This Row],[DEVELOPMENT]],[5]!Table1[[DEVELOPMENTS]:[Installation Date of Exterior Compactor]],4,FALSE),0)</f>
        <v>0</v>
      </c>
      <c r="K196" s="20">
        <f>IFERROR(VLOOKUP(Data[[#This Row],[DEVELOPMENT]],[5]!Table1[[DEVELOPMENTS]:[Installation Date of Exterior Compactor]],7,FALSE),0)</f>
        <v>0</v>
      </c>
      <c r="L196" s="42" t="str">
        <f>IF(Data[[#This Row],['# Interior Compactors]]=0,"",VLOOKUP(Data[[#This Row],[DEVELOPMENT]],[5]!Table1[[DEVELOPMENTS]:[Installation Date of Exterior Compactor]],5,FALSE))</f>
        <v/>
      </c>
      <c r="M196" s="43" t="str">
        <f>IF(Data[[#This Row],['# Exterior Compactors]]=0,"",VLOOKUP(Data[[#This Row],[DEVELOPMENT]],[5]!Table1[[DEVELOPMENTS]:[Installation Date of Exterior Compactor]],8,FALSE))</f>
        <v/>
      </c>
      <c r="N196">
        <f>Data[[#This Row],['# Interior Compactors]]</f>
        <v>0</v>
      </c>
      <c r="O196" s="20">
        <f>1</f>
        <v>1</v>
      </c>
      <c r="P196" s="20">
        <f>1</f>
        <v>1</v>
      </c>
      <c r="Q196" s="20">
        <f>1</f>
        <v>1</v>
      </c>
      <c r="R196" s="20">
        <f>1</f>
        <v>1</v>
      </c>
      <c r="S196" s="20">
        <f>1</f>
        <v>1</v>
      </c>
      <c r="T196" s="20">
        <f>Data[[#This Row],[DUs]]</f>
        <v>206</v>
      </c>
      <c r="U19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6" s="101">
        <f>VLOOKUP(Data[[#This Row],[DEVELOPMENT]],'[2]NYCHA_Development_Data_Book 201'!$B$2:$E$324,3,FALSE)</f>
        <v>130</v>
      </c>
      <c r="Y196" s="20"/>
      <c r="Z196" s="20">
        <f>IFERROR(VLOOKUP(Data[[#This Row],[TDS]],'[7]Static Ext by TDS'!$A$5:$E$120,2,FALSE),0)</f>
        <v>0</v>
      </c>
      <c r="AA196" s="20">
        <f>IFERROR(VLOOKUP(Data[[#This Row],[TDS]],'[7]Static Int by TDS'!$A$6:$O$305,2,FALSE),0)</f>
        <v>2</v>
      </c>
      <c r="AB196" s="20"/>
      <c r="AC196" s="20"/>
      <c r="AD196" s="20">
        <f>IFERROR(VLOOKUP(Data[[#This Row],[TDS]],'[7]Static Ext by TDS'!$A$5:$P$120,3,FALSE)+VLOOKUP(Data[[#This Row],[TDS]],'[7]Static Ext by TDS'!$A$5:$P$120,6,FALSE),0)</f>
        <v>0</v>
      </c>
      <c r="AE196" s="20">
        <f>IFERROR(VLOOKUP(Data[[#This Row],[TDS]],'[7]Static Int by TDS'!$A$6:$O$305,3,FALSE)+VLOOKUP(Data[[#This Row],[TDS]],'[7]Static Int by TDS'!$A$6:$O$305,6,FALSE),0)</f>
        <v>2</v>
      </c>
      <c r="AF196" s="20" t="str">
        <f>VLOOKUP(Data[[#This Row],[DEVELOPMENT]],[8]Developments!$A$2:$A$312,1,FALSE)</f>
        <v>MORRISANIA</v>
      </c>
    </row>
    <row r="197" spans="1:32" x14ac:dyDescent="0.25">
      <c r="A197" s="17" t="s">
        <v>41</v>
      </c>
      <c r="B197" s="17" t="str">
        <f>VLOOKUP(Data[[#This Row],[DEVELOPMENT]],'[2]NYCHA_Development_Data_Book 201'!$B$2:$AY$324,40,FALSE)</f>
        <v>BRONX</v>
      </c>
      <c r="C197" t="str">
        <f>VLOOKUP(Data[[#This Row],[DEVELOPMENT]],'[3]Cheat-Sheet'!$D$2:$Q$341,2,FALSE)</f>
        <v>MORRISANIA AIR RIGHTS</v>
      </c>
      <c r="D197" t="str">
        <f>IF(VLOOKUP(Data[[#This Row],[DEVELOPMENT]],'[4]IC Categories'!$A$2:$G$325,3,FALSE)=0,"",VLOOKUP(Data[[#This Row],[DEVELOPMENT]],'[4]IC Categories'!$A$2:$G$325,3,FALSE))</f>
        <v/>
      </c>
      <c r="E197">
        <f>VLOOKUP(Data[[#This Row],[DEVELOPMENT]],'[2]NYCHA_Development_Data_Book 201'!$B$2:$AY$324,21,FALSE)</f>
        <v>3</v>
      </c>
      <c r="F197">
        <f>VLOOKUP(Data[[#This Row],[DEVELOPMENT]],'[2]NYCHA_Development_Data_Book 201'!$B$2:$AY$324,23,FALSE)</f>
        <v>5</v>
      </c>
      <c r="G197">
        <f>VLOOKUP(Data[[#This Row],[DEVELOPMENT]],'[2]NYCHA_Development_Data_Book 201'!$B$2:$AY$324,12,FALSE)</f>
        <v>841</v>
      </c>
      <c r="H197" t="s">
        <v>472</v>
      </c>
      <c r="I197" t="s">
        <v>471</v>
      </c>
      <c r="J197">
        <f>IFERROR(VLOOKUP(Data[[#This Row],[DEVELOPMENT]],[5]!Table1[[DEVELOPMENTS]:[Installation Date of Exterior Compactor]],4,FALSE),0)</f>
        <v>0</v>
      </c>
      <c r="K197" s="20">
        <f>IFERROR(VLOOKUP(Data[[#This Row],[DEVELOPMENT]],[5]!Table1[[DEVELOPMENTS]:[Installation Date of Exterior Compactor]],7,FALSE),0)</f>
        <v>0</v>
      </c>
      <c r="L197" s="42" t="str">
        <f>IF(Data[[#This Row],['# Interior Compactors]]=0,"",VLOOKUP(Data[[#This Row],[DEVELOPMENT]],[5]!Table1[[DEVELOPMENTS]:[Installation Date of Exterior Compactor]],5,FALSE))</f>
        <v/>
      </c>
      <c r="M197" s="43" t="str">
        <f>IF(Data[[#This Row],['# Exterior Compactors]]=0,"",VLOOKUP(Data[[#This Row],[DEVELOPMENT]],[5]!Table1[[DEVELOPMENTS]:[Installation Date of Exterior Compactor]],8,FALSE))</f>
        <v/>
      </c>
      <c r="N197">
        <f>Data[[#This Row],['# Interior Compactors]]</f>
        <v>0</v>
      </c>
      <c r="O197" s="20">
        <f>1</f>
        <v>1</v>
      </c>
      <c r="P197" s="20">
        <f>1</f>
        <v>1</v>
      </c>
      <c r="Q197" s="20">
        <f>1</f>
        <v>1</v>
      </c>
      <c r="R197" s="20">
        <f>1</f>
        <v>1</v>
      </c>
      <c r="S197" s="20">
        <f>1</f>
        <v>1</v>
      </c>
      <c r="T197" s="20">
        <f>Data[[#This Row],[DUs]]</f>
        <v>841</v>
      </c>
      <c r="U19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7" s="101">
        <f>VLOOKUP(Data[[#This Row],[DEVELOPMENT]],'[2]NYCHA_Development_Data_Book 201'!$B$2:$E$324,3,FALSE)</f>
        <v>267</v>
      </c>
      <c r="Y197" s="20"/>
      <c r="Z197" s="20">
        <f>IFERROR(VLOOKUP(Data[[#This Row],[TDS]],'[7]Static Ext by TDS'!$A$5:$E$120,2,FALSE),0)</f>
        <v>0</v>
      </c>
      <c r="AA197" s="20">
        <f>IFERROR(VLOOKUP(Data[[#This Row],[TDS]],'[7]Static Int by TDS'!$A$6:$O$305,2,FALSE),0)</f>
        <v>5</v>
      </c>
      <c r="AB197" s="20"/>
      <c r="AC197" s="20"/>
      <c r="AD197" s="20">
        <f>IFERROR(VLOOKUP(Data[[#This Row],[TDS]],'[7]Static Ext by TDS'!$A$5:$P$120,3,FALSE)+VLOOKUP(Data[[#This Row],[TDS]],'[7]Static Ext by TDS'!$A$5:$P$120,6,FALSE),0)</f>
        <v>0</v>
      </c>
      <c r="AE197" s="20">
        <f>IFERROR(VLOOKUP(Data[[#This Row],[TDS]],'[7]Static Int by TDS'!$A$6:$O$305,3,FALSE)+VLOOKUP(Data[[#This Row],[TDS]],'[7]Static Int by TDS'!$A$6:$O$305,6,FALSE),0)</f>
        <v>5</v>
      </c>
      <c r="AF197" s="20" t="str">
        <f>VLOOKUP(Data[[#This Row],[DEVELOPMENT]],[8]Developments!$A$2:$A$312,1,FALSE)</f>
        <v>MORRISANIA AIR RIGHTS</v>
      </c>
    </row>
    <row r="198" spans="1:32" x14ac:dyDescent="0.25">
      <c r="A198" t="s">
        <v>278</v>
      </c>
      <c r="B198" s="20" t="str">
        <f>VLOOKUP(Data[[#This Row],[DEVELOPMENT]],'[2]NYCHA_Development_Data_Book 201'!$B$2:$AY$324,40,FALSE)</f>
        <v>BRONX</v>
      </c>
      <c r="C198" s="20" t="str">
        <f>VLOOKUP(Data[[#This Row],[DEVELOPMENT]],'[3]Cheat-Sheet'!$D$2:$Q$341,2,FALSE)</f>
        <v>MOTT HAVEN</v>
      </c>
      <c r="D198" s="20" t="str">
        <f>IF(VLOOKUP(Data[[#This Row],[DEVELOPMENT]],'[4]IC Categories'!$A$2:$G$325,3,FALSE)=0,"",VLOOKUP(Data[[#This Row],[DEVELOPMENT]],'[4]IC Categories'!$A$2:$G$325,3,FALSE))</f>
        <v/>
      </c>
      <c r="E198" s="20">
        <f>VLOOKUP(Data[[#This Row],[DEVELOPMENT]],'[2]NYCHA_Development_Data_Book 201'!$B$2:$AY$324,21,FALSE)</f>
        <v>8</v>
      </c>
      <c r="F198" s="20">
        <f>VLOOKUP(Data[[#This Row],[DEVELOPMENT]],'[2]NYCHA_Development_Data_Book 201'!$B$2:$AY$324,23,FALSE)</f>
        <v>9</v>
      </c>
      <c r="G198" s="20">
        <f>VLOOKUP(Data[[#This Row],[DEVELOPMENT]],'[2]NYCHA_Development_Data_Book 201'!$B$2:$AY$324,12,FALSE)</f>
        <v>992</v>
      </c>
      <c r="J198">
        <f>IFERROR(VLOOKUP(Data[[#This Row],[DEVELOPMENT]],[5]!Table1[[DEVELOPMENTS]:[Installation Date of Exterior Compactor]],4,FALSE),0)</f>
        <v>0</v>
      </c>
      <c r="K198" s="20">
        <f>IFERROR(VLOOKUP(Data[[#This Row],[DEVELOPMENT]],[5]!Table1[[DEVELOPMENTS]:[Installation Date of Exterior Compactor]],7,FALSE),0)</f>
        <v>0</v>
      </c>
      <c r="L198" s="42" t="str">
        <f>IF(Data[[#This Row],['# Interior Compactors]]=0,"",VLOOKUP(Data[[#This Row],[DEVELOPMENT]],[5]!Table1[[DEVELOPMENTS]:[Installation Date of Exterior Compactor]],5,FALSE))</f>
        <v/>
      </c>
      <c r="M198" s="43" t="str">
        <f>IF(Data[[#This Row],['# Exterior Compactors]]=0,"",VLOOKUP(Data[[#This Row],[DEVELOPMENT]],[5]!Table1[[DEVELOPMENTS]:[Installation Date of Exterior Compactor]],8,FALSE))</f>
        <v/>
      </c>
      <c r="N198" s="20">
        <f>Data[[#This Row],['# Interior Compactors]]</f>
        <v>0</v>
      </c>
      <c r="O198" s="20">
        <f>1</f>
        <v>1</v>
      </c>
      <c r="P198" s="20">
        <f>1</f>
        <v>1</v>
      </c>
      <c r="Q198" s="20">
        <f>1</f>
        <v>1</v>
      </c>
      <c r="R198" s="20">
        <f>1</f>
        <v>1</v>
      </c>
      <c r="S198" s="20">
        <f>1</f>
        <v>1</v>
      </c>
      <c r="T198" s="20">
        <f>Data[[#This Row],[DUs]]</f>
        <v>992</v>
      </c>
      <c r="U19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8" s="101">
        <f>VLOOKUP(Data[[#This Row],[DEVELOPMENT]],'[2]NYCHA_Development_Data_Book 201'!$B$2:$E$324,3,FALSE)</f>
        <v>121</v>
      </c>
      <c r="Y198" s="20"/>
      <c r="Z198" s="20">
        <f>IFERROR(VLOOKUP(Data[[#This Row],[TDS]],'[7]Static Ext by TDS'!$A$5:$E$120,2,FALSE),0)</f>
        <v>2</v>
      </c>
      <c r="AA198" s="20">
        <f>IFERROR(VLOOKUP(Data[[#This Row],[TDS]],'[7]Static Int by TDS'!$A$6:$O$305,2,FALSE),0)</f>
        <v>8</v>
      </c>
      <c r="AB198" s="20"/>
      <c r="AC198" s="20"/>
      <c r="AD198" s="20">
        <f>IFERROR(VLOOKUP(Data[[#This Row],[TDS]],'[7]Static Ext by TDS'!$A$5:$P$120,3,FALSE)+VLOOKUP(Data[[#This Row],[TDS]],'[7]Static Ext by TDS'!$A$5:$P$120,6,FALSE),0)</f>
        <v>2</v>
      </c>
      <c r="AE198" s="20">
        <f>IFERROR(VLOOKUP(Data[[#This Row],[TDS]],'[7]Static Int by TDS'!$A$6:$O$305,3,FALSE)+VLOOKUP(Data[[#This Row],[TDS]],'[7]Static Int by TDS'!$A$6:$O$305,6,FALSE),0)</f>
        <v>8</v>
      </c>
      <c r="AF198" s="20" t="str">
        <f>VLOOKUP(Data[[#This Row],[DEVELOPMENT]],[8]Developments!$A$2:$A$312,1,FALSE)</f>
        <v>MOTT HAVEN</v>
      </c>
    </row>
    <row r="199" spans="1:32" x14ac:dyDescent="0.25">
      <c r="A199" t="s">
        <v>279</v>
      </c>
      <c r="B199" s="20" t="str">
        <f>VLOOKUP(Data[[#This Row],[DEVELOPMENT]],'[2]NYCHA_Development_Data_Book 201'!$B$2:$AY$324,40,FALSE)</f>
        <v>STATEN ISLAND</v>
      </c>
      <c r="C199" s="20" t="str">
        <f>VLOOKUP(Data[[#This Row],[DEVELOPMENT]],'[3]Cheat-Sheet'!$D$2:$Q$341,2,FALSE)</f>
        <v>SOUTH BEACH</v>
      </c>
      <c r="D199" s="20" t="str">
        <f>IF(VLOOKUP(Data[[#This Row],[DEVELOPMENT]],'[4]IC Categories'!$A$2:$G$325,3,FALSE)=0,"",VLOOKUP(Data[[#This Row],[DEVELOPMENT]],'[4]IC Categories'!$A$2:$G$325,3,FALSE))</f>
        <v/>
      </c>
      <c r="E199" s="20">
        <f>VLOOKUP(Data[[#This Row],[DEVELOPMENT]],'[2]NYCHA_Development_Data_Book 201'!$B$2:$AY$324,21,FALSE)</f>
        <v>1</v>
      </c>
      <c r="F199" s="20">
        <f>VLOOKUP(Data[[#This Row],[DEVELOPMENT]],'[2]NYCHA_Development_Data_Book 201'!$B$2:$AY$324,23,FALSE)</f>
        <v>2</v>
      </c>
      <c r="G199" s="20">
        <f>VLOOKUP(Data[[#This Row],[DEVELOPMENT]],'[2]NYCHA_Development_Data_Book 201'!$B$2:$AY$324,12,FALSE)</f>
        <v>276</v>
      </c>
      <c r="J199">
        <f>IFERROR(VLOOKUP(Data[[#This Row],[DEVELOPMENT]],[5]!Table1[[DEVELOPMENTS]:[Installation Date of Exterior Compactor]],4,FALSE),0)</f>
        <v>0</v>
      </c>
      <c r="K199" s="20">
        <f>IFERROR(VLOOKUP(Data[[#This Row],[DEVELOPMENT]],[5]!Table1[[DEVELOPMENTS]:[Installation Date of Exterior Compactor]],7,FALSE),0)</f>
        <v>0</v>
      </c>
      <c r="L199" s="42" t="str">
        <f>IF(Data[[#This Row],['# Interior Compactors]]=0,"",VLOOKUP(Data[[#This Row],[DEVELOPMENT]],[5]!Table1[[DEVELOPMENTS]:[Installation Date of Exterior Compactor]],5,FALSE))</f>
        <v/>
      </c>
      <c r="M199" s="43" t="str">
        <f>IF(Data[[#This Row],['# Exterior Compactors]]=0,"",VLOOKUP(Data[[#This Row],[DEVELOPMENT]],[5]!Table1[[DEVELOPMENTS]:[Installation Date of Exterior Compactor]],8,FALSE))</f>
        <v/>
      </c>
      <c r="N199" s="20">
        <f>Data[[#This Row],['# Interior Compactors]]</f>
        <v>0</v>
      </c>
      <c r="O199" s="20">
        <f>1</f>
        <v>1</v>
      </c>
      <c r="P199" s="20">
        <f>1</f>
        <v>1</v>
      </c>
      <c r="Q199" s="20">
        <f>1</f>
        <v>1</v>
      </c>
      <c r="R199" s="20">
        <f>1</f>
        <v>1</v>
      </c>
      <c r="S199" s="20">
        <f>1</f>
        <v>1</v>
      </c>
      <c r="T199" s="20">
        <f>Data[[#This Row],[DUs]]</f>
        <v>276</v>
      </c>
      <c r="U19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19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19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199" s="101">
        <f>VLOOKUP(Data[[#This Row],[DEVELOPMENT]],'[2]NYCHA_Development_Data_Book 201'!$B$2:$E$324,3,FALSE)</f>
        <v>314</v>
      </c>
      <c r="Y199" s="20"/>
      <c r="Z199" s="20">
        <f>IFERROR(VLOOKUP(Data[[#This Row],[TDS]],'[7]Static Ext by TDS'!$A$5:$E$120,2,FALSE),0)</f>
        <v>0</v>
      </c>
      <c r="AA199" s="20">
        <f>IFERROR(VLOOKUP(Data[[#This Row],[TDS]],'[7]Static Int by TDS'!$A$6:$O$305,2,FALSE),0)</f>
        <v>2</v>
      </c>
      <c r="AB199" s="20"/>
      <c r="AC199" s="20"/>
      <c r="AD199" s="20">
        <f>IFERROR(VLOOKUP(Data[[#This Row],[TDS]],'[7]Static Ext by TDS'!$A$5:$P$120,3,FALSE)+VLOOKUP(Data[[#This Row],[TDS]],'[7]Static Ext by TDS'!$A$5:$P$120,6,FALSE),0)</f>
        <v>0</v>
      </c>
      <c r="AE199" s="20">
        <f>IFERROR(VLOOKUP(Data[[#This Row],[TDS]],'[7]Static Int by TDS'!$A$6:$O$305,3,FALSE)+VLOOKUP(Data[[#This Row],[TDS]],'[7]Static Int by TDS'!$A$6:$O$305,6,FALSE),0)</f>
        <v>2</v>
      </c>
      <c r="AF199" s="20" t="str">
        <f>VLOOKUP(Data[[#This Row],[DEVELOPMENT]],[8]Developments!$A$2:$A$312,1,FALSE)</f>
        <v>NEW LANE AREA</v>
      </c>
    </row>
    <row r="200" spans="1:32" x14ac:dyDescent="0.25">
      <c r="A200" t="s">
        <v>280</v>
      </c>
      <c r="B200" s="20" t="str">
        <f>VLOOKUP(Data[[#This Row],[DEVELOPMENT]],'[2]NYCHA_Development_Data_Book 201'!$B$2:$AY$324,40,FALSE)</f>
        <v>BROOKLYN</v>
      </c>
      <c r="C200" s="20" t="str">
        <f>VLOOKUP(Data[[#This Row],[DEVELOPMENT]],'[3]Cheat-Sheet'!$D$2:$Q$341,2,FALSE)</f>
        <v>SHEEPSHEAD BAY</v>
      </c>
      <c r="D200" s="20">
        <f>IF(VLOOKUP(Data[[#This Row],[DEVELOPMENT]],'[4]IC Categories'!$A$2:$G$325,3,FALSE)=0,"",VLOOKUP(Data[[#This Row],[DEVELOPMENT]],'[4]IC Categories'!$A$2:$G$325,3,FALSE))</f>
        <v>2028</v>
      </c>
      <c r="E200" s="20">
        <f>VLOOKUP(Data[[#This Row],[DEVELOPMENT]],'[2]NYCHA_Development_Data_Book 201'!$B$2:$AY$324,21,FALSE)</f>
        <v>16</v>
      </c>
      <c r="F200" s="20">
        <f>VLOOKUP(Data[[#This Row],[DEVELOPMENT]],'[2]NYCHA_Development_Data_Book 201'!$B$2:$AY$324,23,FALSE)</f>
        <v>33</v>
      </c>
      <c r="G200" s="20">
        <f>VLOOKUP(Data[[#This Row],[DEVELOPMENT]],'[2]NYCHA_Development_Data_Book 201'!$B$2:$AY$324,12,FALSE)</f>
        <v>1146</v>
      </c>
      <c r="J200">
        <f>IFERROR(VLOOKUP(Data[[#This Row],[DEVELOPMENT]],[5]!Table1[[DEVELOPMENTS]:[Installation Date of Exterior Compactor]],4,FALSE),0)</f>
        <v>0</v>
      </c>
      <c r="K200" s="20">
        <f>IFERROR(VLOOKUP(Data[[#This Row],[DEVELOPMENT]],[5]!Table1[[DEVELOPMENTS]:[Installation Date of Exterior Compactor]],7,FALSE),0)</f>
        <v>0</v>
      </c>
      <c r="L200" s="42" t="str">
        <f>IF(Data[[#This Row],['# Interior Compactors]]=0,"",VLOOKUP(Data[[#This Row],[DEVELOPMENT]],[5]!Table1[[DEVELOPMENTS]:[Installation Date of Exterior Compactor]],5,FALSE))</f>
        <v/>
      </c>
      <c r="M200" s="43" t="str">
        <f>IF(Data[[#This Row],['# Exterior Compactors]]=0,"",VLOOKUP(Data[[#This Row],[DEVELOPMENT]],[5]!Table1[[DEVELOPMENTS]:[Installation Date of Exterior Compactor]],8,FALSE))</f>
        <v/>
      </c>
      <c r="N200" s="20">
        <f>Data[[#This Row],['# Interior Compactors]]</f>
        <v>0</v>
      </c>
      <c r="O200" s="20">
        <f>1</f>
        <v>1</v>
      </c>
      <c r="P200" s="20">
        <f>1</f>
        <v>1</v>
      </c>
      <c r="Q200" s="20">
        <f>1</f>
        <v>1</v>
      </c>
      <c r="R200" s="20">
        <f>1</f>
        <v>1</v>
      </c>
      <c r="S200" s="20">
        <f>1</f>
        <v>1</v>
      </c>
      <c r="T200" s="20">
        <f>Data[[#This Row],[DUs]]</f>
        <v>1146</v>
      </c>
      <c r="U20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0" s="101">
        <f>VLOOKUP(Data[[#This Row],[DEVELOPMENT]],'[2]NYCHA_Development_Data_Book 201'!$B$2:$E$324,3,FALSE)</f>
        <v>43</v>
      </c>
      <c r="Y200" s="20"/>
      <c r="Z200" s="20">
        <f>IFERROR(VLOOKUP(Data[[#This Row],[TDS]],'[7]Static Ext by TDS'!$A$5:$E$120,2,FALSE),0)</f>
        <v>0</v>
      </c>
      <c r="AA200" s="20">
        <f>IFERROR(VLOOKUP(Data[[#This Row],[TDS]],'[7]Static Int by TDS'!$A$6:$O$305,2,FALSE),0)</f>
        <v>32</v>
      </c>
      <c r="AB200" s="20"/>
      <c r="AC200" s="20"/>
      <c r="AD200" s="20">
        <f>IFERROR(VLOOKUP(Data[[#This Row],[TDS]],'[7]Static Ext by TDS'!$A$5:$P$120,3,FALSE)+VLOOKUP(Data[[#This Row],[TDS]],'[7]Static Ext by TDS'!$A$5:$P$120,6,FALSE),0)</f>
        <v>0</v>
      </c>
      <c r="AE200" s="20">
        <f>IFERROR(VLOOKUP(Data[[#This Row],[TDS]],'[7]Static Int by TDS'!$A$6:$O$305,3,FALSE)+VLOOKUP(Data[[#This Row],[TDS]],'[7]Static Int by TDS'!$A$6:$O$305,6,FALSE),0)</f>
        <v>32</v>
      </c>
      <c r="AF200" s="20" t="str">
        <f>VLOOKUP(Data[[#This Row],[DEVELOPMENT]],[8]Developments!$A$2:$A$312,1,FALSE)</f>
        <v>NOSTRAND</v>
      </c>
    </row>
    <row r="201" spans="1:32" x14ac:dyDescent="0.25">
      <c r="A201" t="s">
        <v>281</v>
      </c>
      <c r="B201" s="20" t="str">
        <f>VLOOKUP(Data[[#This Row],[DEVELOPMENT]],'[2]NYCHA_Development_Data_Book 201'!$B$2:$AY$324,40,FALSE)</f>
        <v>QUEENS</v>
      </c>
      <c r="C201" s="20" t="str">
        <f>VLOOKUP(Data[[#This Row],[DEVELOPMENT]],'[3]Cheat-Sheet'!$D$2:$Q$341,2,FALSE)</f>
        <v>BEACH 41ST STREET-BEACH CHANNEL DRIVE</v>
      </c>
      <c r="D201" s="20" t="str">
        <f>IF(VLOOKUP(Data[[#This Row],[DEVELOPMENT]],'[4]IC Categories'!$A$2:$G$325,3,FALSE)=0,"",VLOOKUP(Data[[#This Row],[DEVELOPMENT]],'[4]IC Categories'!$A$2:$G$325,3,FALSE))</f>
        <v/>
      </c>
      <c r="E201" s="20">
        <f>VLOOKUP(Data[[#This Row],[DEVELOPMENT]],'[2]NYCHA_Development_Data_Book 201'!$B$2:$AY$324,21,FALSE)</f>
        <v>7</v>
      </c>
      <c r="F201" s="20">
        <f>VLOOKUP(Data[[#This Row],[DEVELOPMENT]],'[2]NYCHA_Development_Data_Book 201'!$B$2:$AY$324,23,FALSE)</f>
        <v>14</v>
      </c>
      <c r="G201" s="20">
        <f>VLOOKUP(Data[[#This Row],[DEVELOPMENT]],'[2]NYCHA_Development_Data_Book 201'!$B$2:$AY$324,12,FALSE)</f>
        <v>417</v>
      </c>
      <c r="J201">
        <f>IFERROR(VLOOKUP(Data[[#This Row],[DEVELOPMENT]],[5]!Table1[[DEVELOPMENTS]:[Installation Date of Exterior Compactor]],4,FALSE),0)</f>
        <v>0</v>
      </c>
      <c r="K201" s="20">
        <f>IFERROR(VLOOKUP(Data[[#This Row],[DEVELOPMENT]],[5]!Table1[[DEVELOPMENTS]:[Installation Date of Exterior Compactor]],7,FALSE),0)</f>
        <v>0</v>
      </c>
      <c r="L201" s="42" t="str">
        <f>IF(Data[[#This Row],['# Interior Compactors]]=0,"",VLOOKUP(Data[[#This Row],[DEVELOPMENT]],[5]!Table1[[DEVELOPMENTS]:[Installation Date of Exterior Compactor]],5,FALSE))</f>
        <v/>
      </c>
      <c r="M201" s="43" t="str">
        <f>IF(Data[[#This Row],['# Exterior Compactors]]=0,"",VLOOKUP(Data[[#This Row],[DEVELOPMENT]],[5]!Table1[[DEVELOPMENTS]:[Installation Date of Exterior Compactor]],8,FALSE))</f>
        <v/>
      </c>
      <c r="N201" s="20">
        <f>Data[[#This Row],['# Interior Compactors]]</f>
        <v>0</v>
      </c>
      <c r="O201" s="20">
        <f>1</f>
        <v>1</v>
      </c>
      <c r="P201" s="20">
        <f>1</f>
        <v>1</v>
      </c>
      <c r="Q201" s="20">
        <f>1</f>
        <v>1</v>
      </c>
      <c r="R201" s="20">
        <f>1</f>
        <v>1</v>
      </c>
      <c r="S201" s="20">
        <f>1</f>
        <v>1</v>
      </c>
      <c r="T201" s="20">
        <f>Data[[#This Row],[DUs]]</f>
        <v>417</v>
      </c>
      <c r="U20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1" s="101">
        <f>VLOOKUP(Data[[#This Row],[DEVELOPMENT]],'[2]NYCHA_Development_Data_Book 201'!$B$2:$E$324,3,FALSE)</f>
        <v>51</v>
      </c>
      <c r="Y201" s="20"/>
      <c r="Z201" s="20">
        <f>IFERROR(VLOOKUP(Data[[#This Row],[TDS]],'[7]Static Ext by TDS'!$A$5:$E$120,2,FALSE),0)</f>
        <v>0</v>
      </c>
      <c r="AA201" s="20">
        <f>IFERROR(VLOOKUP(Data[[#This Row],[TDS]],'[7]Static Int by TDS'!$A$6:$O$305,2,FALSE),0)</f>
        <v>13</v>
      </c>
      <c r="AB201" s="20"/>
      <c r="AC201" s="20"/>
      <c r="AD201" s="20">
        <f>IFERROR(VLOOKUP(Data[[#This Row],[TDS]],'[7]Static Ext by TDS'!$A$5:$P$120,3,FALSE)+VLOOKUP(Data[[#This Row],[TDS]],'[7]Static Ext by TDS'!$A$5:$P$120,6,FALSE),0)</f>
        <v>0</v>
      </c>
      <c r="AE201" s="20">
        <f>IFERROR(VLOOKUP(Data[[#This Row],[TDS]],'[7]Static Int by TDS'!$A$6:$O$305,3,FALSE)+VLOOKUP(Data[[#This Row],[TDS]],'[7]Static Int by TDS'!$A$6:$O$305,6,FALSE),0)</f>
        <v>13</v>
      </c>
      <c r="AF201" s="20" t="str">
        <f>VLOOKUP(Data[[#This Row],[DEVELOPMENT]],[8]Developments!$A$2:$A$312,1,FALSE)</f>
        <v>OCEAN BAY APARTMENTS (OCEANSIDE)</v>
      </c>
    </row>
    <row r="202" spans="1:32" x14ac:dyDescent="0.25">
      <c r="A202" t="s">
        <v>282</v>
      </c>
      <c r="B202" s="20" t="str">
        <f>VLOOKUP(Data[[#This Row],[DEVELOPMENT]],'[2]NYCHA_Development_Data_Book 201'!$B$2:$AY$324,40,FALSE)</f>
        <v>BROOKLYN</v>
      </c>
      <c r="C202" s="20" t="str">
        <f>VLOOKUP(Data[[#This Row],[DEVELOPMENT]],'[3]Cheat-Sheet'!$D$2:$Q$341,2,FALSE)</f>
        <v>OCEAN HILL APARTMENTS</v>
      </c>
      <c r="D202" s="20" t="str">
        <f>IF(VLOOKUP(Data[[#This Row],[DEVELOPMENT]],'[4]IC Categories'!$A$2:$G$325,3,FALSE)=0,"",VLOOKUP(Data[[#This Row],[DEVELOPMENT]],'[4]IC Categories'!$A$2:$G$325,3,FALSE))</f>
        <v/>
      </c>
      <c r="E202" s="20">
        <f>VLOOKUP(Data[[#This Row],[DEVELOPMENT]],'[2]NYCHA_Development_Data_Book 201'!$B$2:$AY$324,21,FALSE)</f>
        <v>3</v>
      </c>
      <c r="F202" s="20">
        <f>VLOOKUP(Data[[#This Row],[DEVELOPMENT]],'[2]NYCHA_Development_Data_Book 201'!$B$2:$AY$324,23,FALSE)</f>
        <v>4</v>
      </c>
      <c r="G202" s="20">
        <f>VLOOKUP(Data[[#This Row],[DEVELOPMENT]],'[2]NYCHA_Development_Data_Book 201'!$B$2:$AY$324,12,FALSE)</f>
        <v>238</v>
      </c>
      <c r="J202">
        <f>IFERROR(VLOOKUP(Data[[#This Row],[DEVELOPMENT]],[5]!Table1[[DEVELOPMENTS]:[Installation Date of Exterior Compactor]],4,FALSE),0)</f>
        <v>0</v>
      </c>
      <c r="K202" s="20">
        <f>IFERROR(VLOOKUP(Data[[#This Row],[DEVELOPMENT]],[5]!Table1[[DEVELOPMENTS]:[Installation Date of Exterior Compactor]],7,FALSE),0)</f>
        <v>0</v>
      </c>
      <c r="L202" s="42" t="str">
        <f>IF(Data[[#This Row],['# Interior Compactors]]=0,"",VLOOKUP(Data[[#This Row],[DEVELOPMENT]],[5]!Table1[[DEVELOPMENTS]:[Installation Date of Exterior Compactor]],5,FALSE))</f>
        <v/>
      </c>
      <c r="M202" s="43" t="str">
        <f>IF(Data[[#This Row],['# Exterior Compactors]]=0,"",VLOOKUP(Data[[#This Row],[DEVELOPMENT]],[5]!Table1[[DEVELOPMENTS]:[Installation Date of Exterior Compactor]],8,FALSE))</f>
        <v/>
      </c>
      <c r="N202" s="20">
        <f>Data[[#This Row],['# Interior Compactors]]</f>
        <v>0</v>
      </c>
      <c r="O202" s="20">
        <f>1</f>
        <v>1</v>
      </c>
      <c r="P202" s="20">
        <f>1</f>
        <v>1</v>
      </c>
      <c r="Q202" s="20">
        <f>1</f>
        <v>1</v>
      </c>
      <c r="R202" s="20">
        <f>1</f>
        <v>1</v>
      </c>
      <c r="S202" s="20">
        <f>1</f>
        <v>1</v>
      </c>
      <c r="T202" s="20">
        <f>Data[[#This Row],[DUs]]</f>
        <v>238</v>
      </c>
      <c r="U20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2" s="101">
        <f>VLOOKUP(Data[[#This Row],[DEVELOPMENT]],'[2]NYCHA_Development_Data_Book 201'!$B$2:$E$324,3,FALSE)</f>
        <v>162</v>
      </c>
      <c r="Y202" s="20" t="s">
        <v>473</v>
      </c>
      <c r="Z202" s="20">
        <f>IFERROR(VLOOKUP(Data[[#This Row],[TDS]],'[7]Static Ext by TDS'!$A$5:$E$120,2,FALSE),0)</f>
        <v>0</v>
      </c>
      <c r="AA202" s="20">
        <f>IFERROR(VLOOKUP(Data[[#This Row],[TDS]],'[7]Static Int by TDS'!$A$6:$O$305,2,FALSE),0)</f>
        <v>3</v>
      </c>
      <c r="AB202" s="20"/>
      <c r="AC202" s="20"/>
      <c r="AD202" s="20">
        <f>IFERROR(VLOOKUP(Data[[#This Row],[TDS]],'[7]Static Ext by TDS'!$A$5:$P$120,3,FALSE)+VLOOKUP(Data[[#This Row],[TDS]],'[7]Static Ext by TDS'!$A$5:$P$120,6,FALSE),0)</f>
        <v>0</v>
      </c>
      <c r="AE202" s="20">
        <f>IFERROR(VLOOKUP(Data[[#This Row],[TDS]],'[7]Static Int by TDS'!$A$6:$O$305,3,FALSE)+VLOOKUP(Data[[#This Row],[TDS]],'[7]Static Int by TDS'!$A$6:$O$305,6,FALSE),0)</f>
        <v>3</v>
      </c>
      <c r="AF202" s="20" t="str">
        <f>VLOOKUP(Data[[#This Row],[DEVELOPMENT]],[8]Developments!$A$2:$A$312,1,FALSE)</f>
        <v>OCEAN HILL APARTMENTS</v>
      </c>
    </row>
    <row r="203" spans="1:32" x14ac:dyDescent="0.25">
      <c r="A203" t="s">
        <v>283</v>
      </c>
      <c r="B203" s="20" t="str">
        <f>VLOOKUP(Data[[#This Row],[DEVELOPMENT]],'[2]NYCHA_Development_Data_Book 201'!$B$2:$AY$324,40,FALSE)</f>
        <v>BROOKLYN</v>
      </c>
      <c r="C203" s="20" t="str">
        <f>VLOOKUP(Data[[#This Row],[DEVELOPMENT]],'[3]Cheat-Sheet'!$D$2:$Q$341,2,FALSE)</f>
        <v>PARK ROCK CONSOLIDATED</v>
      </c>
      <c r="D203" s="20">
        <f>IF(VLOOKUP(Data[[#This Row],[DEVELOPMENT]],'[4]IC Categories'!$A$2:$G$325,3,FALSE)=0,"",VLOOKUP(Data[[#This Row],[DEVELOPMENT]],'[4]IC Categories'!$A$2:$G$325,3,FALSE))</f>
        <v>2025</v>
      </c>
      <c r="E203" s="20">
        <f>VLOOKUP(Data[[#This Row],[DEVELOPMENT]],'[2]NYCHA_Development_Data_Book 201'!$B$2:$AY$324,21,FALSE)</f>
        <v>5</v>
      </c>
      <c r="F203" s="20">
        <f>VLOOKUP(Data[[#This Row],[DEVELOPMENT]],'[2]NYCHA_Development_Data_Book 201'!$B$2:$AY$324,23,FALSE)</f>
        <v>5</v>
      </c>
      <c r="G203" s="20">
        <f>VLOOKUP(Data[[#This Row],[DEVELOPMENT]],'[2]NYCHA_Development_Data_Book 201'!$B$2:$AY$324,12,FALSE)</f>
        <v>125</v>
      </c>
      <c r="J203">
        <f>IFERROR(VLOOKUP(Data[[#This Row],[DEVELOPMENT]],[5]!Table1[[DEVELOPMENTS]:[Installation Date of Exterior Compactor]],4,FALSE),0)</f>
        <v>0</v>
      </c>
      <c r="K203" s="20">
        <f>IFERROR(VLOOKUP(Data[[#This Row],[DEVELOPMENT]],[5]!Table1[[DEVELOPMENTS]:[Installation Date of Exterior Compactor]],7,FALSE),0)</f>
        <v>0</v>
      </c>
      <c r="L203" s="42" t="str">
        <f>IF(Data[[#This Row],['# Interior Compactors]]=0,"",VLOOKUP(Data[[#This Row],[DEVELOPMENT]],[5]!Table1[[DEVELOPMENTS]:[Installation Date of Exterior Compactor]],5,FALSE))</f>
        <v/>
      </c>
      <c r="M203" s="43" t="str">
        <f>IF(Data[[#This Row],['# Exterior Compactors]]=0,"",VLOOKUP(Data[[#This Row],[DEVELOPMENT]],[5]!Table1[[DEVELOPMENTS]:[Installation Date of Exterior Compactor]],8,FALSE))</f>
        <v/>
      </c>
      <c r="N203" s="20">
        <f>Data[[#This Row],['# Interior Compactors]]</f>
        <v>0</v>
      </c>
      <c r="O203" s="20">
        <f>1</f>
        <v>1</v>
      </c>
      <c r="P203" s="20">
        <f>1</f>
        <v>1</v>
      </c>
      <c r="Q203" s="20">
        <f>1</f>
        <v>1</v>
      </c>
      <c r="R203" s="20">
        <f>1</f>
        <v>1</v>
      </c>
      <c r="S203" s="20">
        <f>1</f>
        <v>1</v>
      </c>
      <c r="T203" s="20">
        <f>Data[[#This Row],[DUs]]</f>
        <v>125</v>
      </c>
      <c r="U20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3" s="101">
        <f>VLOOKUP(Data[[#This Row],[DEVELOPMENT]],'[2]NYCHA_Development_Data_Book 201'!$B$2:$E$324,3,FALSE)</f>
        <v>313</v>
      </c>
      <c r="Y203" s="20" t="s">
        <v>473</v>
      </c>
      <c r="Z203" s="20">
        <f>IFERROR(VLOOKUP(Data[[#This Row],[TDS]],'[7]Static Ext by TDS'!$A$5:$E$120,2,FALSE),0)</f>
        <v>0</v>
      </c>
      <c r="AA203" s="20">
        <f>IFERROR(VLOOKUP(Data[[#This Row],[TDS]],'[7]Static Int by TDS'!$A$6:$O$305,2,FALSE),0)</f>
        <v>6</v>
      </c>
      <c r="AB203" s="20"/>
      <c r="AC203" s="20"/>
      <c r="AD203" s="20">
        <f>IFERROR(VLOOKUP(Data[[#This Row],[TDS]],'[7]Static Ext by TDS'!$A$5:$P$120,3,FALSE)+VLOOKUP(Data[[#This Row],[TDS]],'[7]Static Ext by TDS'!$A$5:$P$120,6,FALSE),0)</f>
        <v>0</v>
      </c>
      <c r="AE203" s="20">
        <f>IFERROR(VLOOKUP(Data[[#This Row],[TDS]],'[7]Static Int by TDS'!$A$6:$O$305,3,FALSE)+VLOOKUP(Data[[#This Row],[TDS]],'[7]Static Int by TDS'!$A$6:$O$305,6,FALSE),0)</f>
        <v>6</v>
      </c>
      <c r="AF203" s="20" t="str">
        <f>VLOOKUP(Data[[#This Row],[DEVELOPMENT]],[8]Developments!$A$2:$A$312,1,FALSE)</f>
        <v>OCEAN HILL-BROWNSVILLE</v>
      </c>
    </row>
    <row r="204" spans="1:32" x14ac:dyDescent="0.25">
      <c r="A204" t="s">
        <v>284</v>
      </c>
      <c r="B204" s="20" t="str">
        <f>VLOOKUP(Data[[#This Row],[DEVELOPMENT]],'[2]NYCHA_Development_Data_Book 201'!$B$2:$AY$324,40,FALSE)</f>
        <v>BROOKLYN</v>
      </c>
      <c r="C204" s="20" t="str">
        <f>VLOOKUP(Data[[#This Row],[DEVELOPMENT]],'[3]Cheat-Sheet'!$D$2:$Q$341,2,FALSE)</f>
        <v>O'DWYER GARDENS</v>
      </c>
      <c r="D204" s="20" t="str">
        <f>IF(VLOOKUP(Data[[#This Row],[DEVELOPMENT]],'[4]IC Categories'!$A$2:$G$325,3,FALSE)=0,"",VLOOKUP(Data[[#This Row],[DEVELOPMENT]],'[4]IC Categories'!$A$2:$G$325,3,FALSE))</f>
        <v/>
      </c>
      <c r="E204" s="20">
        <f>VLOOKUP(Data[[#This Row],[DEVELOPMENT]],'[2]NYCHA_Development_Data_Book 201'!$B$2:$AY$324,21,FALSE)</f>
        <v>6</v>
      </c>
      <c r="F204" s="20">
        <f>VLOOKUP(Data[[#This Row],[DEVELOPMENT]],'[2]NYCHA_Development_Data_Book 201'!$B$2:$AY$324,23,FALSE)</f>
        <v>7</v>
      </c>
      <c r="G204" s="20">
        <f>VLOOKUP(Data[[#This Row],[DEVELOPMENT]],'[2]NYCHA_Development_Data_Book 201'!$B$2:$AY$324,12,FALSE)</f>
        <v>570</v>
      </c>
      <c r="J204">
        <f>IFERROR(VLOOKUP(Data[[#This Row],[DEVELOPMENT]],[5]!Table1[[DEVELOPMENTS]:[Installation Date of Exterior Compactor]],4,FALSE),0)</f>
        <v>0</v>
      </c>
      <c r="K204" s="20">
        <f>IFERROR(VLOOKUP(Data[[#This Row],[DEVELOPMENT]],[5]!Table1[[DEVELOPMENTS]:[Installation Date of Exterior Compactor]],7,FALSE),0)</f>
        <v>0</v>
      </c>
      <c r="L204" s="42" t="str">
        <f>IF(Data[[#This Row],['# Interior Compactors]]=0,"",VLOOKUP(Data[[#This Row],[DEVELOPMENT]],[5]!Table1[[DEVELOPMENTS]:[Installation Date of Exterior Compactor]],5,FALSE))</f>
        <v/>
      </c>
      <c r="M204" s="43" t="str">
        <f>IF(Data[[#This Row],['# Exterior Compactors]]=0,"",VLOOKUP(Data[[#This Row],[DEVELOPMENT]],[5]!Table1[[DEVELOPMENTS]:[Installation Date of Exterior Compactor]],8,FALSE))</f>
        <v/>
      </c>
      <c r="N204" s="20">
        <f>Data[[#This Row],['# Interior Compactors]]</f>
        <v>0</v>
      </c>
      <c r="O204" s="20">
        <f>1</f>
        <v>1</v>
      </c>
      <c r="P204" s="20">
        <f>1</f>
        <v>1</v>
      </c>
      <c r="Q204" s="20">
        <f>1</f>
        <v>1</v>
      </c>
      <c r="R204" s="20">
        <f>1</f>
        <v>1</v>
      </c>
      <c r="S204" s="20">
        <f>1</f>
        <v>1</v>
      </c>
      <c r="T204" s="20">
        <f>Data[[#This Row],[DUs]]</f>
        <v>570</v>
      </c>
      <c r="U20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4" s="101">
        <f>VLOOKUP(Data[[#This Row],[DEVELOPMENT]],'[2]NYCHA_Development_Data_Book 201'!$B$2:$E$324,3,FALSE)</f>
        <v>172</v>
      </c>
      <c r="Y204" s="20"/>
      <c r="Z204" s="20">
        <f>IFERROR(VLOOKUP(Data[[#This Row],[TDS]],'[7]Static Ext by TDS'!$A$5:$E$120,2,FALSE),0)</f>
        <v>0</v>
      </c>
      <c r="AA204" s="20">
        <f>IFERROR(VLOOKUP(Data[[#This Row],[TDS]],'[7]Static Int by TDS'!$A$6:$O$305,2,FALSE),0)</f>
        <v>6</v>
      </c>
      <c r="AB204" s="20"/>
      <c r="AC204" s="20"/>
      <c r="AD204" s="20">
        <f>IFERROR(VLOOKUP(Data[[#This Row],[TDS]],'[7]Static Ext by TDS'!$A$5:$P$120,3,FALSE)+VLOOKUP(Data[[#This Row],[TDS]],'[7]Static Ext by TDS'!$A$5:$P$120,6,FALSE),0)</f>
        <v>0</v>
      </c>
      <c r="AE204" s="20">
        <f>IFERROR(VLOOKUP(Data[[#This Row],[TDS]],'[7]Static Int by TDS'!$A$6:$O$305,3,FALSE)+VLOOKUP(Data[[#This Row],[TDS]],'[7]Static Int by TDS'!$A$6:$O$305,6,FALSE),0)</f>
        <v>6</v>
      </c>
      <c r="AF204" s="20" t="str">
        <f>VLOOKUP(Data[[#This Row],[DEVELOPMENT]],[8]Developments!$A$2:$A$312,1,FALSE)</f>
        <v>O'DWYER GARDENS</v>
      </c>
    </row>
    <row r="205" spans="1:32" x14ac:dyDescent="0.25">
      <c r="A205" t="s">
        <v>383</v>
      </c>
      <c r="B205" s="20" t="str">
        <f>VLOOKUP(Data[[#This Row],[DEVELOPMENT]],'[2]NYCHA_Development_Data_Book 201'!$B$2:$AY$324,40,FALSE)</f>
        <v>BROOKLYN</v>
      </c>
      <c r="C205" s="20" t="str">
        <f>VLOOKUP(Data[[#This Row],[DEVELOPMENT]],'[3]Cheat-Sheet'!$D$2:$Q$341,2,FALSE)</f>
        <v>HOPE GARDENS</v>
      </c>
      <c r="D205" s="20">
        <f>IF(VLOOKUP(Data[[#This Row],[DEVELOPMENT]],'[4]IC Categories'!$A$2:$G$325,3,FALSE)=0,"",VLOOKUP(Data[[#This Row],[DEVELOPMENT]],'[4]IC Categories'!$A$2:$G$325,3,FALSE))</f>
        <v>2019</v>
      </c>
      <c r="E205" s="20">
        <f>VLOOKUP(Data[[#This Row],[DEVELOPMENT]],'[2]NYCHA_Development_Data_Book 201'!$B$2:$AY$324,21,FALSE)</f>
        <v>1</v>
      </c>
      <c r="F205" s="20">
        <f>VLOOKUP(Data[[#This Row],[DEVELOPMENT]],'[2]NYCHA_Development_Data_Book 201'!$B$2:$AY$324,23,FALSE)</f>
        <v>1</v>
      </c>
      <c r="G205" s="20">
        <f>VLOOKUP(Data[[#This Row],[DEVELOPMENT]],'[2]NYCHA_Development_Data_Book 201'!$B$2:$AY$324,12,FALSE)</f>
        <v>113</v>
      </c>
      <c r="J205">
        <f>IFERROR(VLOOKUP(Data[[#This Row],[DEVELOPMENT]],[5]!Table1[[DEVELOPMENTS]:[Installation Date of Exterior Compactor]],4,FALSE),0)</f>
        <v>0</v>
      </c>
      <c r="K205" s="20">
        <f>IFERROR(VLOOKUP(Data[[#This Row],[DEVELOPMENT]],[5]!Table1[[DEVELOPMENTS]:[Installation Date of Exterior Compactor]],7,FALSE),0)</f>
        <v>0</v>
      </c>
      <c r="L205" s="42" t="str">
        <f>IF(Data[[#This Row],['# Interior Compactors]]=0,"",VLOOKUP(Data[[#This Row],[DEVELOPMENT]],[5]!Table1[[DEVELOPMENTS]:[Installation Date of Exterior Compactor]],5,FALSE))</f>
        <v/>
      </c>
      <c r="M205" s="43" t="str">
        <f>IF(Data[[#This Row],['# Exterior Compactors]]=0,"",VLOOKUP(Data[[#This Row],[DEVELOPMENT]],[5]!Table1[[DEVELOPMENTS]:[Installation Date of Exterior Compactor]],8,FALSE))</f>
        <v/>
      </c>
      <c r="N205" s="20">
        <f>Data[[#This Row],['# Interior Compactors]]</f>
        <v>0</v>
      </c>
      <c r="O205" s="20">
        <f>1</f>
        <v>1</v>
      </c>
      <c r="P205" s="20">
        <f>1</f>
        <v>1</v>
      </c>
      <c r="Q205" s="20">
        <f>1</f>
        <v>1</v>
      </c>
      <c r="R205" s="20">
        <f>1</f>
        <v>1</v>
      </c>
      <c r="S205" s="20">
        <f>1</f>
        <v>1</v>
      </c>
      <c r="T205" s="20">
        <f>Data[[#This Row],[DUs]]</f>
        <v>113</v>
      </c>
      <c r="U20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5" s="101">
        <f>VLOOKUP(Data[[#This Row],[DEVELOPMENT]],'[2]NYCHA_Development_Data_Book 201'!$B$2:$E$324,3,FALSE)</f>
        <v>195</v>
      </c>
      <c r="Y205" s="20" t="s">
        <v>473</v>
      </c>
      <c r="Z205" s="20">
        <f>IFERROR(VLOOKUP(Data[[#This Row],[TDS]],'[7]Static Ext by TDS'!$A$5:$E$120,2,FALSE),0)</f>
        <v>0</v>
      </c>
      <c r="AA205" s="20">
        <f>IFERROR(VLOOKUP(Data[[#This Row],[TDS]],'[7]Static Int by TDS'!$A$6:$O$305,2,FALSE),0)</f>
        <v>1</v>
      </c>
      <c r="AB205" s="20"/>
      <c r="AC205" s="20"/>
      <c r="AD205" s="20">
        <f>IFERROR(VLOOKUP(Data[[#This Row],[TDS]],'[7]Static Ext by TDS'!$A$5:$P$120,3,FALSE)+VLOOKUP(Data[[#This Row],[TDS]],'[7]Static Ext by TDS'!$A$5:$P$120,6,FALSE),0)</f>
        <v>0</v>
      </c>
      <c r="AE205" s="20">
        <f>IFERROR(VLOOKUP(Data[[#This Row],[TDS]],'[7]Static Int by TDS'!$A$6:$O$305,3,FALSE)+VLOOKUP(Data[[#This Row],[TDS]],'[7]Static Int by TDS'!$A$6:$O$305,6,FALSE),0)</f>
        <v>1</v>
      </c>
      <c r="AF205" s="20" t="e">
        <f>VLOOKUP(Data[[#This Row],[DEVELOPMENT]],[8]Developments!$A$2:$A$312,1,FALSE)</f>
        <v>#N/A</v>
      </c>
    </row>
    <row r="206" spans="1:32" x14ac:dyDescent="0.25">
      <c r="A206" t="s">
        <v>93</v>
      </c>
      <c r="B206" t="str">
        <f>VLOOKUP(Data[[#This Row],[DEVELOPMENT]],'[2]NYCHA_Development_Data_Book 201'!$B$2:$AY$324,40,FALSE)</f>
        <v>MANHATTAN</v>
      </c>
      <c r="C206" t="str">
        <f>VLOOKUP(Data[[#This Row],[DEVELOPMENT]],'[3]Cheat-Sheet'!$D$2:$Q$341,2,FALSE)</f>
        <v>ROBINSON</v>
      </c>
      <c r="D206">
        <f>IF(VLOOKUP(Data[[#This Row],[DEVELOPMENT]],'[4]IC Categories'!$A$2:$G$325,3,FALSE)=0,"",VLOOKUP(Data[[#This Row],[DEVELOPMENT]],'[4]IC Categories'!$A$2:$G$325,3,FALSE))</f>
        <v>2019</v>
      </c>
      <c r="E206">
        <f>VLOOKUP(Data[[#This Row],[DEVELOPMENT]],'[2]NYCHA_Development_Data_Book 201'!$B$2:$AY$324,21,FALSE)</f>
        <v>2</v>
      </c>
      <c r="F206">
        <f>VLOOKUP(Data[[#This Row],[DEVELOPMENT]],'[2]NYCHA_Development_Data_Book 201'!$B$2:$AY$324,23,FALSE)</f>
        <v>2</v>
      </c>
      <c r="G206">
        <f>VLOOKUP(Data[[#This Row],[DEVELOPMENT]],'[2]NYCHA_Development_Data_Book 201'!$B$2:$AY$324,12,FALSE)</f>
        <v>90</v>
      </c>
      <c r="H206" t="s">
        <v>474</v>
      </c>
      <c r="I206" t="s">
        <v>475</v>
      </c>
      <c r="J206">
        <f>IFERROR(VLOOKUP(Data[[#This Row],[DEVELOPMENT]],[5]!Table1[[DEVELOPMENTS]:[Installation Date of Exterior Compactor]],4,FALSE),0)</f>
        <v>0</v>
      </c>
      <c r="K206" s="20">
        <f>IFERROR(VLOOKUP(Data[[#This Row],[DEVELOPMENT]],[5]!Table1[[DEVELOPMENTS]:[Installation Date of Exterior Compactor]],7,FALSE),0)</f>
        <v>0</v>
      </c>
      <c r="L206" s="42" t="str">
        <f>IF(Data[[#This Row],['# Interior Compactors]]=0,"",VLOOKUP(Data[[#This Row],[DEVELOPMENT]],[5]!Table1[[DEVELOPMENTS]:[Installation Date of Exterior Compactor]],5,FALSE))</f>
        <v/>
      </c>
      <c r="M206" s="43" t="str">
        <f>IF(Data[[#This Row],['# Exterior Compactors]]=0,"",VLOOKUP(Data[[#This Row],[DEVELOPMENT]],[5]!Table1[[DEVELOPMENTS]:[Installation Date of Exterior Compactor]],8,FALSE))</f>
        <v/>
      </c>
      <c r="N206">
        <f>Data[[#This Row],['# Interior Compactors]]</f>
        <v>0</v>
      </c>
      <c r="O206" s="20">
        <f>1</f>
        <v>1</v>
      </c>
      <c r="P206" s="20">
        <f>1</f>
        <v>1</v>
      </c>
      <c r="Q206" s="20">
        <f>1</f>
        <v>1</v>
      </c>
      <c r="R206" s="20">
        <f>1</f>
        <v>1</v>
      </c>
      <c r="S206" s="20">
        <f>1</f>
        <v>1</v>
      </c>
      <c r="T206" s="20">
        <f>Data[[#This Row],[DUs]]</f>
        <v>90</v>
      </c>
      <c r="U20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6" s="101">
        <f>VLOOKUP(Data[[#This Row],[DEVELOPMENT]],'[2]NYCHA_Development_Data_Book 201'!$B$2:$E$324,3,FALSE)</f>
        <v>204</v>
      </c>
      <c r="Y206" s="20"/>
      <c r="Z206" s="20">
        <f>IFERROR(VLOOKUP(Data[[#This Row],[TDS]],'[7]Static Ext by TDS'!$A$5:$E$120,2,FALSE),0)</f>
        <v>0</v>
      </c>
      <c r="AA206" s="20">
        <f>IFERROR(VLOOKUP(Data[[#This Row],[TDS]],'[7]Static Int by TDS'!$A$6:$O$305,2,FALSE),0)</f>
        <v>2</v>
      </c>
      <c r="AB206" s="20"/>
      <c r="AC206" s="20"/>
      <c r="AD206" s="20">
        <f>IFERROR(VLOOKUP(Data[[#This Row],[TDS]],'[7]Static Ext by TDS'!$A$5:$P$120,3,FALSE)+VLOOKUP(Data[[#This Row],[TDS]],'[7]Static Ext by TDS'!$A$5:$P$120,6,FALSE),0)</f>
        <v>0</v>
      </c>
      <c r="AE206" s="20">
        <f>IFERROR(VLOOKUP(Data[[#This Row],[TDS]],'[7]Static Int by TDS'!$A$6:$O$305,3,FALSE)+VLOOKUP(Data[[#This Row],[TDS]],'[7]Static Int by TDS'!$A$6:$O$305,6,FALSE),0)</f>
        <v>2</v>
      </c>
      <c r="AF206" s="20" t="str">
        <f>VLOOKUP(Data[[#This Row],[DEVELOPMENT]],[8]Developments!$A$2:$A$312,1,FALSE)</f>
        <v>PARK AVENUE-EAST 122ND, 123RD STREETS</v>
      </c>
    </row>
    <row r="207" spans="1:32" x14ac:dyDescent="0.25">
      <c r="A207" t="s">
        <v>285</v>
      </c>
      <c r="B207" s="20" t="str">
        <f>VLOOKUP(Data[[#This Row],[DEVELOPMENT]],'[2]NYCHA_Development_Data_Book 201'!$B$2:$AY$324,40,FALSE)</f>
        <v>BROOKLYN</v>
      </c>
      <c r="C207" s="20" t="str">
        <f>VLOOKUP(Data[[#This Row],[DEVELOPMENT]],'[3]Cheat-Sheet'!$D$2:$Q$341,2,FALSE)</f>
        <v>PARK ROCK CONSOLIDATED</v>
      </c>
      <c r="D207" s="20">
        <f>IF(VLOOKUP(Data[[#This Row],[DEVELOPMENT]],'[4]IC Categories'!$A$2:$G$325,3,FALSE)=0,"",VLOOKUP(Data[[#This Row],[DEVELOPMENT]],'[4]IC Categories'!$A$2:$G$325,3,FALSE))</f>
        <v>2025</v>
      </c>
      <c r="E207" s="20">
        <f>VLOOKUP(Data[[#This Row],[DEVELOPMENT]],'[2]NYCHA_Development_Data_Book 201'!$B$2:$AY$324,21,FALSE)</f>
        <v>9</v>
      </c>
      <c r="F207" s="20">
        <f>VLOOKUP(Data[[#This Row],[DEVELOPMENT]],'[2]NYCHA_Development_Data_Book 201'!$B$2:$AY$324,23,FALSE)</f>
        <v>9</v>
      </c>
      <c r="G207" s="20">
        <f>VLOOKUP(Data[[#This Row],[DEVELOPMENT]],'[2]NYCHA_Development_Data_Book 201'!$B$2:$AY$324,12,FALSE)</f>
        <v>134</v>
      </c>
      <c r="J207">
        <f>IFERROR(VLOOKUP(Data[[#This Row],[DEVELOPMENT]],[5]!Table1[[DEVELOPMENTS]:[Installation Date of Exterior Compactor]],4,FALSE),0)</f>
        <v>0</v>
      </c>
      <c r="K207" s="20">
        <f>IFERROR(VLOOKUP(Data[[#This Row],[DEVELOPMENT]],[5]!Table1[[DEVELOPMENTS]:[Installation Date of Exterior Compactor]],7,FALSE),0)</f>
        <v>0</v>
      </c>
      <c r="L207" s="42" t="str">
        <f>IF(Data[[#This Row],['# Interior Compactors]]=0,"",VLOOKUP(Data[[#This Row],[DEVELOPMENT]],[5]!Table1[[DEVELOPMENTS]:[Installation Date of Exterior Compactor]],5,FALSE))</f>
        <v/>
      </c>
      <c r="M207" s="43" t="str">
        <f>IF(Data[[#This Row],['# Exterior Compactors]]=0,"",VLOOKUP(Data[[#This Row],[DEVELOPMENT]],[5]!Table1[[DEVELOPMENTS]:[Installation Date of Exterior Compactor]],8,FALSE))</f>
        <v/>
      </c>
      <c r="N207" s="20">
        <f>Data[[#This Row],['# Interior Compactors]]</f>
        <v>0</v>
      </c>
      <c r="O207" s="20">
        <f>1</f>
        <v>1</v>
      </c>
      <c r="P207" s="20">
        <f>1</f>
        <v>1</v>
      </c>
      <c r="Q207" s="20">
        <f>1</f>
        <v>1</v>
      </c>
      <c r="R207" s="20">
        <f>1</f>
        <v>1</v>
      </c>
      <c r="S207" s="20">
        <f>1</f>
        <v>1</v>
      </c>
      <c r="T207" s="20">
        <f>Data[[#This Row],[DUs]]</f>
        <v>134</v>
      </c>
      <c r="U20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7" s="101">
        <f>VLOOKUP(Data[[#This Row],[DEVELOPMENT]],'[2]NYCHA_Development_Data_Book 201'!$B$2:$E$324,3,FALSE)</f>
        <v>351</v>
      </c>
      <c r="Y207" s="20" t="s">
        <v>473</v>
      </c>
      <c r="Z207" s="20">
        <f>IFERROR(VLOOKUP(Data[[#This Row],[TDS]],'[7]Static Ext by TDS'!$A$5:$E$120,2,FALSE),0)</f>
        <v>0</v>
      </c>
      <c r="AA207" s="20">
        <f>IFERROR(VLOOKUP(Data[[#This Row],[TDS]],'[7]Static Int by TDS'!$A$6:$O$305,2,FALSE),0)</f>
        <v>6</v>
      </c>
      <c r="AB207" s="20"/>
      <c r="AC207" s="20"/>
      <c r="AD207" s="20">
        <f>IFERROR(VLOOKUP(Data[[#This Row],[TDS]],'[7]Static Ext by TDS'!$A$5:$P$120,3,FALSE)+VLOOKUP(Data[[#This Row],[TDS]],'[7]Static Ext by TDS'!$A$5:$P$120,6,FALSE),0)</f>
        <v>0</v>
      </c>
      <c r="AE207" s="20">
        <f>IFERROR(VLOOKUP(Data[[#This Row],[TDS]],'[7]Static Int by TDS'!$A$6:$O$305,3,FALSE)+VLOOKUP(Data[[#This Row],[TDS]],'[7]Static Int by TDS'!$A$6:$O$305,6,FALSE),0)</f>
        <v>6</v>
      </c>
      <c r="AF207" s="20" t="str">
        <f>VLOOKUP(Data[[#This Row],[DEVELOPMENT]],[8]Developments!$A$2:$A$312,1,FALSE)</f>
        <v>PARK ROCK REHAB</v>
      </c>
    </row>
    <row r="208" spans="1:32" x14ac:dyDescent="0.25">
      <c r="A208" t="s">
        <v>286</v>
      </c>
      <c r="B208" s="20" t="str">
        <f>VLOOKUP(Data[[#This Row],[DEVELOPMENT]],'[2]NYCHA_Development_Data_Book 201'!$B$2:$AY$324,40,FALSE)</f>
        <v>BRONX</v>
      </c>
      <c r="C208" s="20" t="str">
        <f>VLOOKUP(Data[[#This Row],[DEVELOPMENT]],'[3]Cheat-Sheet'!$D$2:$Q$341,2,FALSE)</f>
        <v>PARKSIDE</v>
      </c>
      <c r="D208" s="20" t="str">
        <f>IF(VLOOKUP(Data[[#This Row],[DEVELOPMENT]],'[4]IC Categories'!$A$2:$G$325,3,FALSE)=0,"",VLOOKUP(Data[[#This Row],[DEVELOPMENT]],'[4]IC Categories'!$A$2:$G$325,3,FALSE))</f>
        <v/>
      </c>
      <c r="E208" s="20">
        <f>VLOOKUP(Data[[#This Row],[DEVELOPMENT]],'[2]NYCHA_Development_Data_Book 201'!$B$2:$AY$324,21,FALSE)</f>
        <v>14</v>
      </c>
      <c r="F208" s="20">
        <f>VLOOKUP(Data[[#This Row],[DEVELOPMENT]],'[2]NYCHA_Development_Data_Book 201'!$B$2:$AY$324,23,FALSE)</f>
        <v>20</v>
      </c>
      <c r="G208" s="20">
        <f>VLOOKUP(Data[[#This Row],[DEVELOPMENT]],'[2]NYCHA_Development_Data_Book 201'!$B$2:$AY$324,12,FALSE)</f>
        <v>879</v>
      </c>
      <c r="J208">
        <f>IFERROR(VLOOKUP(Data[[#This Row],[DEVELOPMENT]],[5]!Table1[[DEVELOPMENTS]:[Installation Date of Exterior Compactor]],4,FALSE),0)</f>
        <v>0</v>
      </c>
      <c r="K208" s="20">
        <f>IFERROR(VLOOKUP(Data[[#This Row],[DEVELOPMENT]],[5]!Table1[[DEVELOPMENTS]:[Installation Date of Exterior Compactor]],7,FALSE),0)</f>
        <v>0</v>
      </c>
      <c r="L208" s="42" t="str">
        <f>IF(Data[[#This Row],['# Interior Compactors]]=0,"",VLOOKUP(Data[[#This Row],[DEVELOPMENT]],[5]!Table1[[DEVELOPMENTS]:[Installation Date of Exterior Compactor]],5,FALSE))</f>
        <v/>
      </c>
      <c r="M208" s="43" t="str">
        <f>IF(Data[[#This Row],['# Exterior Compactors]]=0,"",VLOOKUP(Data[[#This Row],[DEVELOPMENT]],[5]!Table1[[DEVELOPMENTS]:[Installation Date of Exterior Compactor]],8,FALSE))</f>
        <v/>
      </c>
      <c r="N208" s="20">
        <f>Data[[#This Row],['# Interior Compactors]]</f>
        <v>0</v>
      </c>
      <c r="O208" s="20">
        <f>1</f>
        <v>1</v>
      </c>
      <c r="P208" s="20">
        <f>1</f>
        <v>1</v>
      </c>
      <c r="Q208" s="20">
        <f>1</f>
        <v>1</v>
      </c>
      <c r="R208" s="20">
        <f>1</f>
        <v>1</v>
      </c>
      <c r="S208" s="20">
        <f>1</f>
        <v>1</v>
      </c>
      <c r="T208" s="20">
        <f>Data[[#This Row],[DUs]]</f>
        <v>879</v>
      </c>
      <c r="U20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8" s="101">
        <f>VLOOKUP(Data[[#This Row],[DEVELOPMENT]],'[2]NYCHA_Development_Data_Book 201'!$B$2:$E$324,3,FALSE)</f>
        <v>47</v>
      </c>
      <c r="Y208" s="20"/>
      <c r="Z208" s="20">
        <f>IFERROR(VLOOKUP(Data[[#This Row],[TDS]],'[7]Static Ext by TDS'!$A$5:$E$120,2,FALSE),0)</f>
        <v>2</v>
      </c>
      <c r="AA208" s="20">
        <f>IFERROR(VLOOKUP(Data[[#This Row],[TDS]],'[7]Static Int by TDS'!$A$6:$O$305,2,FALSE),0)</f>
        <v>21</v>
      </c>
      <c r="AB208" s="20"/>
      <c r="AC208" s="20"/>
      <c r="AD208" s="20">
        <f>IFERROR(VLOOKUP(Data[[#This Row],[TDS]],'[7]Static Ext by TDS'!$A$5:$P$120,3,FALSE)+VLOOKUP(Data[[#This Row],[TDS]],'[7]Static Ext by TDS'!$A$5:$P$120,6,FALSE),0)</f>
        <v>2</v>
      </c>
      <c r="AE208" s="20">
        <f>IFERROR(VLOOKUP(Data[[#This Row],[TDS]],'[7]Static Int by TDS'!$A$6:$O$305,3,FALSE)+VLOOKUP(Data[[#This Row],[TDS]],'[7]Static Int by TDS'!$A$6:$O$305,6,FALSE),0)</f>
        <v>21</v>
      </c>
      <c r="AF208" s="20" t="str">
        <f>VLOOKUP(Data[[#This Row],[DEVELOPMENT]],[8]Developments!$A$2:$A$312,1,FALSE)</f>
        <v>PARKSIDE</v>
      </c>
    </row>
    <row r="209" spans="1:32" x14ac:dyDescent="0.25">
      <c r="A209" t="s">
        <v>132</v>
      </c>
      <c r="B209" t="str">
        <f>VLOOKUP(Data[[#This Row],[DEVELOPMENT]],'[2]NYCHA_Development_Data_Book 201'!$B$2:$AY$324,40,FALSE)</f>
        <v>BRONX</v>
      </c>
      <c r="C209" t="str">
        <f>VLOOKUP(Data[[#This Row],[DEVELOPMENT]],'[3]Cheat-Sheet'!$D$2:$Q$341,2,FALSE)</f>
        <v>PATTERSON</v>
      </c>
      <c r="D209">
        <f>IF(VLOOKUP(Data[[#This Row],[DEVELOPMENT]],'[4]IC Categories'!$A$2:$G$325,3,FALSE)=0,"",VLOOKUP(Data[[#This Row],[DEVELOPMENT]],'[4]IC Categories'!$A$2:$G$325,3,FALSE))</f>
        <v>2025</v>
      </c>
      <c r="E209">
        <f>VLOOKUP(Data[[#This Row],[DEVELOPMENT]],'[2]NYCHA_Development_Data_Book 201'!$B$2:$AY$324,21,FALSE)</f>
        <v>15</v>
      </c>
      <c r="F209">
        <f>VLOOKUP(Data[[#This Row],[DEVELOPMENT]],'[2]NYCHA_Development_Data_Book 201'!$B$2:$AY$324,23,FALSE)</f>
        <v>25</v>
      </c>
      <c r="G209">
        <f>VLOOKUP(Data[[#This Row],[DEVELOPMENT]],'[2]NYCHA_Development_Data_Book 201'!$B$2:$AY$324,12,FALSE)</f>
        <v>1789</v>
      </c>
      <c r="H209" t="s">
        <v>474</v>
      </c>
      <c r="I209" t="s">
        <v>475</v>
      </c>
      <c r="J209">
        <f>IFERROR(VLOOKUP(Data[[#This Row],[DEVELOPMENT]],[5]!Table1[[DEVELOPMENTS]:[Installation Date of Exterior Compactor]],4,FALSE),0)</f>
        <v>0</v>
      </c>
      <c r="K209" s="20">
        <f>IFERROR(VLOOKUP(Data[[#This Row],[DEVELOPMENT]],[5]!Table1[[DEVELOPMENTS]:[Installation Date of Exterior Compactor]],7,FALSE),0)</f>
        <v>0</v>
      </c>
      <c r="L209" s="42" t="str">
        <f>IF(Data[[#This Row],['# Interior Compactors]]=0,"",VLOOKUP(Data[[#This Row],[DEVELOPMENT]],[5]!Table1[[DEVELOPMENTS]:[Installation Date of Exterior Compactor]],5,FALSE))</f>
        <v/>
      </c>
      <c r="M209" s="43" t="str">
        <f>IF(Data[[#This Row],['# Exterior Compactors]]=0,"",VLOOKUP(Data[[#This Row],[DEVELOPMENT]],[5]!Table1[[DEVELOPMENTS]:[Installation Date of Exterior Compactor]],8,FALSE))</f>
        <v/>
      </c>
      <c r="N209">
        <f>Data[[#This Row],['# Interior Compactors]]</f>
        <v>0</v>
      </c>
      <c r="O209" s="20">
        <f>1</f>
        <v>1</v>
      </c>
      <c r="P209" s="20">
        <f>1</f>
        <v>1</v>
      </c>
      <c r="Q209" s="20">
        <f>1</f>
        <v>1</v>
      </c>
      <c r="R209" s="20">
        <f>1</f>
        <v>1</v>
      </c>
      <c r="S209" s="20">
        <f>1</f>
        <v>1</v>
      </c>
      <c r="T209" s="20">
        <f>Data[[#This Row],[DUs]]</f>
        <v>1789</v>
      </c>
      <c r="U20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0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0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09" s="101">
        <f>VLOOKUP(Data[[#This Row],[DEVELOPMENT]],'[2]NYCHA_Development_Data_Book 201'!$B$2:$E$324,3,FALSE)</f>
        <v>24</v>
      </c>
      <c r="Y209" s="20"/>
      <c r="Z209" s="20">
        <f>IFERROR(VLOOKUP(Data[[#This Row],[TDS]],'[7]Static Ext by TDS'!$A$5:$E$120,2,FALSE),0)</f>
        <v>4</v>
      </c>
      <c r="AA209" s="20">
        <f>IFERROR(VLOOKUP(Data[[#This Row],[TDS]],'[7]Static Int by TDS'!$A$6:$O$305,2,FALSE),0)</f>
        <v>25</v>
      </c>
      <c r="AB209" s="20"/>
      <c r="AC209" s="20"/>
      <c r="AD209" s="20">
        <f>IFERROR(VLOOKUP(Data[[#This Row],[TDS]],'[7]Static Ext by TDS'!$A$5:$P$120,3,FALSE)+VLOOKUP(Data[[#This Row],[TDS]],'[7]Static Ext by TDS'!$A$5:$P$120,6,FALSE),0)</f>
        <v>0</v>
      </c>
      <c r="AE209" s="20">
        <f>IFERROR(VLOOKUP(Data[[#This Row],[TDS]],'[7]Static Int by TDS'!$A$6:$O$305,3,FALSE)+VLOOKUP(Data[[#This Row],[TDS]],'[7]Static Int by TDS'!$A$6:$O$305,6,FALSE),0)</f>
        <v>0</v>
      </c>
      <c r="AF209" s="20" t="str">
        <f>VLOOKUP(Data[[#This Row],[DEVELOPMENT]],[8]Developments!$A$2:$A$312,1,FALSE)</f>
        <v>PATTERSON</v>
      </c>
    </row>
    <row r="210" spans="1:32" x14ac:dyDescent="0.25">
      <c r="A210" t="s">
        <v>287</v>
      </c>
      <c r="B210" s="20" t="str">
        <f>VLOOKUP(Data[[#This Row],[DEVELOPMENT]],'[2]NYCHA_Development_Data_Book 201'!$B$2:$AY$324,40,FALSE)</f>
        <v>BRONX</v>
      </c>
      <c r="C210" s="20" t="str">
        <f>VLOOKUP(Data[[#This Row],[DEVELOPMENT]],'[3]Cheat-Sheet'!$D$2:$Q$341,2,FALSE)</f>
        <v>PELHAM PARKWAY</v>
      </c>
      <c r="D210" s="20">
        <f>IF(VLOOKUP(Data[[#This Row],[DEVELOPMENT]],'[4]IC Categories'!$A$2:$G$325,3,FALSE)=0,"",VLOOKUP(Data[[#This Row],[DEVELOPMENT]],'[4]IC Categories'!$A$2:$G$325,3,FALSE))</f>
        <v>2022</v>
      </c>
      <c r="E210" s="20">
        <f>VLOOKUP(Data[[#This Row],[DEVELOPMENT]],'[2]NYCHA_Development_Data_Book 201'!$B$2:$AY$324,21,FALSE)</f>
        <v>23</v>
      </c>
      <c r="F210" s="20">
        <f>VLOOKUP(Data[[#This Row],[DEVELOPMENT]],'[2]NYCHA_Development_Data_Book 201'!$B$2:$AY$324,23,FALSE)</f>
        <v>38</v>
      </c>
      <c r="G210" s="20">
        <f>VLOOKUP(Data[[#This Row],[DEVELOPMENT]],'[2]NYCHA_Development_Data_Book 201'!$B$2:$AY$324,12,FALSE)</f>
        <v>1265</v>
      </c>
      <c r="J210">
        <f>IFERROR(VLOOKUP(Data[[#This Row],[DEVELOPMENT]],[5]!Table1[[DEVELOPMENTS]:[Installation Date of Exterior Compactor]],4,FALSE),0)</f>
        <v>0</v>
      </c>
      <c r="K210" s="20">
        <f>IFERROR(VLOOKUP(Data[[#This Row],[DEVELOPMENT]],[5]!Table1[[DEVELOPMENTS]:[Installation Date of Exterior Compactor]],7,FALSE),0)</f>
        <v>0</v>
      </c>
      <c r="L210" s="42" t="str">
        <f>IF(Data[[#This Row],['# Interior Compactors]]=0,"",VLOOKUP(Data[[#This Row],[DEVELOPMENT]],[5]!Table1[[DEVELOPMENTS]:[Installation Date of Exterior Compactor]],5,FALSE))</f>
        <v/>
      </c>
      <c r="M210" s="43" t="str">
        <f>IF(Data[[#This Row],['# Exterior Compactors]]=0,"",VLOOKUP(Data[[#This Row],[DEVELOPMENT]],[5]!Table1[[DEVELOPMENTS]:[Installation Date of Exterior Compactor]],8,FALSE))</f>
        <v/>
      </c>
      <c r="N210" s="20">
        <f>Data[[#This Row],['# Interior Compactors]]</f>
        <v>0</v>
      </c>
      <c r="O210" s="20">
        <f>1</f>
        <v>1</v>
      </c>
      <c r="P210" s="20">
        <f>1</f>
        <v>1</v>
      </c>
      <c r="Q210" s="20">
        <f>1</f>
        <v>1</v>
      </c>
      <c r="R210" s="20">
        <f>1</f>
        <v>1</v>
      </c>
      <c r="S210" s="20">
        <f>1</f>
        <v>1</v>
      </c>
      <c r="T210" s="20">
        <f>Data[[#This Row],[DUs]]</f>
        <v>1265</v>
      </c>
      <c r="U21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0" s="101">
        <f>VLOOKUP(Data[[#This Row],[DEVELOPMENT]],'[2]NYCHA_Development_Data_Book 201'!$B$2:$E$324,3,FALSE)</f>
        <v>39</v>
      </c>
      <c r="Y210" s="20"/>
      <c r="Z210" s="20">
        <f>IFERROR(VLOOKUP(Data[[#This Row],[TDS]],'[7]Static Ext by TDS'!$A$5:$E$120,2,FALSE),0)</f>
        <v>3</v>
      </c>
      <c r="AA210" s="20">
        <f>IFERROR(VLOOKUP(Data[[#This Row],[TDS]],'[7]Static Int by TDS'!$A$6:$O$305,2,FALSE),0)</f>
        <v>38</v>
      </c>
      <c r="AB210" s="20"/>
      <c r="AC210" s="20"/>
      <c r="AD210" s="20">
        <f>IFERROR(VLOOKUP(Data[[#This Row],[TDS]],'[7]Static Ext by TDS'!$A$5:$P$120,3,FALSE)+VLOOKUP(Data[[#This Row],[TDS]],'[7]Static Ext by TDS'!$A$5:$P$120,6,FALSE),0)</f>
        <v>3</v>
      </c>
      <c r="AE210" s="20">
        <f>IFERROR(VLOOKUP(Data[[#This Row],[TDS]],'[7]Static Int by TDS'!$A$6:$O$305,3,FALSE)+VLOOKUP(Data[[#This Row],[TDS]],'[7]Static Int by TDS'!$A$6:$O$305,6,FALSE),0)</f>
        <v>38</v>
      </c>
      <c r="AF210" s="20" t="str">
        <f>VLOOKUP(Data[[#This Row],[DEVELOPMENT]],[8]Developments!$A$2:$A$312,1,FALSE)</f>
        <v>PELHAM PARKWAY</v>
      </c>
    </row>
    <row r="211" spans="1:32" x14ac:dyDescent="0.25">
      <c r="A211" t="s">
        <v>288</v>
      </c>
      <c r="B211" s="20" t="str">
        <f>VLOOKUP(Data[[#This Row],[DEVELOPMENT]],'[2]NYCHA_Development_Data_Book 201'!$B$2:$AY$324,40,FALSE)</f>
        <v>BROOKLYN</v>
      </c>
      <c r="C211" s="20" t="str">
        <f>VLOOKUP(Data[[#This Row],[DEVELOPMENT]],'[3]Cheat-Sheet'!$D$2:$Q$341,2,FALSE)</f>
        <v>PENNSYLVANIA-WORTMAN</v>
      </c>
      <c r="D211" s="20" t="str">
        <f>IF(VLOOKUP(Data[[#This Row],[DEVELOPMENT]],'[4]IC Categories'!$A$2:$G$325,3,FALSE)=0,"",VLOOKUP(Data[[#This Row],[DEVELOPMENT]],'[4]IC Categories'!$A$2:$G$325,3,FALSE))</f>
        <v/>
      </c>
      <c r="E211" s="20">
        <f>VLOOKUP(Data[[#This Row],[DEVELOPMENT]],'[2]NYCHA_Development_Data_Book 201'!$B$2:$AY$324,21,FALSE)</f>
        <v>3</v>
      </c>
      <c r="F211" s="20">
        <f>VLOOKUP(Data[[#This Row],[DEVELOPMENT]],'[2]NYCHA_Development_Data_Book 201'!$B$2:$AY$324,23,FALSE)</f>
        <v>3</v>
      </c>
      <c r="G211" s="20">
        <f>VLOOKUP(Data[[#This Row],[DEVELOPMENT]],'[2]NYCHA_Development_Data_Book 201'!$B$2:$AY$324,12,FALSE)</f>
        <v>336</v>
      </c>
      <c r="J211">
        <f>IFERROR(VLOOKUP(Data[[#This Row],[DEVELOPMENT]],[5]!Table1[[DEVELOPMENTS]:[Installation Date of Exterior Compactor]],4,FALSE),0)</f>
        <v>0</v>
      </c>
      <c r="K211" s="20">
        <f>IFERROR(VLOOKUP(Data[[#This Row],[DEVELOPMENT]],[5]!Table1[[DEVELOPMENTS]:[Installation Date of Exterior Compactor]],7,FALSE),0)</f>
        <v>0</v>
      </c>
      <c r="L211" s="42" t="str">
        <f>IF(Data[[#This Row],['# Interior Compactors]]=0,"",VLOOKUP(Data[[#This Row],[DEVELOPMENT]],[5]!Table1[[DEVELOPMENTS]:[Installation Date of Exterior Compactor]],5,FALSE))</f>
        <v/>
      </c>
      <c r="M211" s="43" t="str">
        <f>IF(Data[[#This Row],['# Exterior Compactors]]=0,"",VLOOKUP(Data[[#This Row],[DEVELOPMENT]],[5]!Table1[[DEVELOPMENTS]:[Installation Date of Exterior Compactor]],8,FALSE))</f>
        <v/>
      </c>
      <c r="N211" s="20">
        <f>Data[[#This Row],['# Interior Compactors]]</f>
        <v>0</v>
      </c>
      <c r="O211" s="20">
        <f>1</f>
        <v>1</v>
      </c>
      <c r="P211" s="20">
        <f>1</f>
        <v>1</v>
      </c>
      <c r="Q211" s="20">
        <f>1</f>
        <v>1</v>
      </c>
      <c r="R211" s="20">
        <f>1</f>
        <v>1</v>
      </c>
      <c r="S211" s="20">
        <f>1</f>
        <v>1</v>
      </c>
      <c r="T211" s="20">
        <f>Data[[#This Row],[DUs]]</f>
        <v>336</v>
      </c>
      <c r="U21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1" s="101">
        <f>VLOOKUP(Data[[#This Row],[DEVELOPMENT]],'[2]NYCHA_Development_Data_Book 201'!$B$2:$E$324,3,FALSE)</f>
        <v>194</v>
      </c>
      <c r="Y211" s="20"/>
      <c r="Z211" s="20">
        <f>IFERROR(VLOOKUP(Data[[#This Row],[TDS]],'[7]Static Ext by TDS'!$A$5:$E$120,2,FALSE),0)</f>
        <v>0</v>
      </c>
      <c r="AA211" s="20">
        <f>IFERROR(VLOOKUP(Data[[#This Row],[TDS]],'[7]Static Int by TDS'!$A$6:$O$305,2,FALSE),0)</f>
        <v>3</v>
      </c>
      <c r="AB211" s="20"/>
      <c r="AC211" s="20"/>
      <c r="AD211" s="20">
        <f>IFERROR(VLOOKUP(Data[[#This Row],[TDS]],'[7]Static Ext by TDS'!$A$5:$P$120,3,FALSE)+VLOOKUP(Data[[#This Row],[TDS]],'[7]Static Ext by TDS'!$A$5:$P$120,6,FALSE),0)</f>
        <v>0</v>
      </c>
      <c r="AE211" s="20">
        <f>IFERROR(VLOOKUP(Data[[#This Row],[TDS]],'[7]Static Int by TDS'!$A$6:$O$305,3,FALSE)+VLOOKUP(Data[[#This Row],[TDS]],'[7]Static Int by TDS'!$A$6:$O$305,6,FALSE),0)</f>
        <v>3</v>
      </c>
      <c r="AF211" s="20" t="str">
        <f>VLOOKUP(Data[[#This Row],[DEVELOPMENT]],[8]Developments!$A$2:$A$312,1,FALSE)</f>
        <v>PENNSYLVANIA AVENUE-WORTMAN AVENUE</v>
      </c>
    </row>
    <row r="212" spans="1:32" x14ac:dyDescent="0.25">
      <c r="A212" t="s">
        <v>289</v>
      </c>
      <c r="B212" s="20" t="str">
        <f>VLOOKUP(Data[[#This Row],[DEVELOPMENT]],'[2]NYCHA_Development_Data_Book 201'!$B$2:$AY$324,40,FALSE)</f>
        <v>BROOKLYN</v>
      </c>
      <c r="C212" s="20" t="str">
        <f>VLOOKUP(Data[[#This Row],[DEVELOPMENT]],'[3]Cheat-Sheet'!$D$2:$Q$341,2,FALSE)</f>
        <v>PINK</v>
      </c>
      <c r="D212" s="20" t="str">
        <f>IF(VLOOKUP(Data[[#This Row],[DEVELOPMENT]],'[4]IC Categories'!$A$2:$G$325,3,FALSE)=0,"",VLOOKUP(Data[[#This Row],[DEVELOPMENT]],'[4]IC Categories'!$A$2:$G$325,3,FALSE))</f>
        <v/>
      </c>
      <c r="E212" s="20">
        <f>VLOOKUP(Data[[#This Row],[DEVELOPMENT]],'[2]NYCHA_Development_Data_Book 201'!$B$2:$AY$324,21,FALSE)</f>
        <v>22</v>
      </c>
      <c r="F212" s="20">
        <f>VLOOKUP(Data[[#This Row],[DEVELOPMENT]],'[2]NYCHA_Development_Data_Book 201'!$B$2:$AY$324,23,FALSE)</f>
        <v>25</v>
      </c>
      <c r="G212" s="20">
        <f>VLOOKUP(Data[[#This Row],[DEVELOPMENT]],'[2]NYCHA_Development_Data_Book 201'!$B$2:$AY$324,12,FALSE)</f>
        <v>1500</v>
      </c>
      <c r="J212">
        <f>IFERROR(VLOOKUP(Data[[#This Row],[DEVELOPMENT]],[5]!Table1[[DEVELOPMENTS]:[Installation Date of Exterior Compactor]],4,FALSE),0)</f>
        <v>0</v>
      </c>
      <c r="K212" s="20">
        <f>IFERROR(VLOOKUP(Data[[#This Row],[DEVELOPMENT]],[5]!Table1[[DEVELOPMENTS]:[Installation Date of Exterior Compactor]],7,FALSE),0)</f>
        <v>0</v>
      </c>
      <c r="L212" s="42" t="str">
        <f>IF(Data[[#This Row],['# Interior Compactors]]=0,"",VLOOKUP(Data[[#This Row],[DEVELOPMENT]],[5]!Table1[[DEVELOPMENTS]:[Installation Date of Exterior Compactor]],5,FALSE))</f>
        <v/>
      </c>
      <c r="M212" s="43" t="str">
        <f>IF(Data[[#This Row],['# Exterior Compactors]]=0,"",VLOOKUP(Data[[#This Row],[DEVELOPMENT]],[5]!Table1[[DEVELOPMENTS]:[Installation Date of Exterior Compactor]],8,FALSE))</f>
        <v/>
      </c>
      <c r="N212" s="20">
        <f>Data[[#This Row],['# Interior Compactors]]</f>
        <v>0</v>
      </c>
      <c r="O212" s="20">
        <f>1</f>
        <v>1</v>
      </c>
      <c r="P212" s="20">
        <f>1</f>
        <v>1</v>
      </c>
      <c r="Q212" s="20">
        <f>1</f>
        <v>1</v>
      </c>
      <c r="R212" s="20">
        <f>1</f>
        <v>1</v>
      </c>
      <c r="S212" s="20">
        <f>1</f>
        <v>1</v>
      </c>
      <c r="T212" s="20">
        <f>Data[[#This Row],[DUs]]</f>
        <v>1500</v>
      </c>
      <c r="U21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2" s="101">
        <f>VLOOKUP(Data[[#This Row],[DEVELOPMENT]],'[2]NYCHA_Development_Data_Book 201'!$B$2:$E$324,3,FALSE)</f>
        <v>89</v>
      </c>
      <c r="Y212" s="20"/>
      <c r="Z212" s="20">
        <f>IFERROR(VLOOKUP(Data[[#This Row],[TDS]],'[7]Static Ext by TDS'!$A$5:$E$120,2,FALSE),0)</f>
        <v>0</v>
      </c>
      <c r="AA212" s="20">
        <f>IFERROR(VLOOKUP(Data[[#This Row],[TDS]],'[7]Static Int by TDS'!$A$6:$O$305,2,FALSE),0)</f>
        <v>22</v>
      </c>
      <c r="AB212" s="20"/>
      <c r="AC212" s="20"/>
      <c r="AD212" s="20">
        <f>IFERROR(VLOOKUP(Data[[#This Row],[TDS]],'[7]Static Ext by TDS'!$A$5:$P$120,3,FALSE)+VLOOKUP(Data[[#This Row],[TDS]],'[7]Static Ext by TDS'!$A$5:$P$120,6,FALSE),0)</f>
        <v>0</v>
      </c>
      <c r="AE212" s="20">
        <f>IFERROR(VLOOKUP(Data[[#This Row],[TDS]],'[7]Static Int by TDS'!$A$6:$O$305,3,FALSE)+VLOOKUP(Data[[#This Row],[TDS]],'[7]Static Int by TDS'!$A$6:$O$305,6,FALSE),0)</f>
        <v>22</v>
      </c>
      <c r="AF212" s="20" t="str">
        <f>VLOOKUP(Data[[#This Row],[DEVELOPMENT]],[8]Developments!$A$2:$A$312,1,FALSE)</f>
        <v>PINK</v>
      </c>
    </row>
    <row r="213" spans="1:32" x14ac:dyDescent="0.25">
      <c r="A213" t="s">
        <v>133</v>
      </c>
      <c r="B213" t="str">
        <f>VLOOKUP(Data[[#This Row],[DEVELOPMENT]],'[2]NYCHA_Development_Data_Book 201'!$B$2:$AY$324,40,FALSE)</f>
        <v>MANHATTAN</v>
      </c>
      <c r="C213" t="str">
        <f>VLOOKUP(Data[[#This Row],[DEVELOPMENT]],'[3]Cheat-Sheet'!$D$2:$Q$341,2,FALSE)</f>
        <v>POLO GROUNDS TOWERS</v>
      </c>
      <c r="D213" t="str">
        <f>IF(VLOOKUP(Data[[#This Row],[DEVELOPMENT]],'[4]IC Categories'!$A$2:$G$325,3,FALSE)=0,"",VLOOKUP(Data[[#This Row],[DEVELOPMENT]],'[4]IC Categories'!$A$2:$G$325,3,FALSE))</f>
        <v/>
      </c>
      <c r="E213">
        <f>VLOOKUP(Data[[#This Row],[DEVELOPMENT]],'[2]NYCHA_Development_Data_Book 201'!$B$2:$AY$324,21,FALSE)</f>
        <v>4</v>
      </c>
      <c r="F213">
        <f>VLOOKUP(Data[[#This Row],[DEVELOPMENT]],'[2]NYCHA_Development_Data_Book 201'!$B$2:$AY$324,23,FALSE)</f>
        <v>12</v>
      </c>
      <c r="G213">
        <f>VLOOKUP(Data[[#This Row],[DEVELOPMENT]],'[2]NYCHA_Development_Data_Book 201'!$B$2:$AY$324,12,FALSE)</f>
        <v>1614</v>
      </c>
      <c r="H213" t="s">
        <v>470</v>
      </c>
      <c r="I213" t="s">
        <v>471</v>
      </c>
      <c r="J213">
        <f>IFERROR(VLOOKUP(Data[[#This Row],[DEVELOPMENT]],[5]!Table1[[DEVELOPMENTS]:[Installation Date of Exterior Compactor]],4,FALSE),0)</f>
        <v>0</v>
      </c>
      <c r="K213" s="20">
        <f>IFERROR(VLOOKUP(Data[[#This Row],[DEVELOPMENT]],[5]!Table1[[DEVELOPMENTS]:[Installation Date of Exterior Compactor]],7,FALSE),0)</f>
        <v>0</v>
      </c>
      <c r="L213" s="42" t="str">
        <f>IF(Data[[#This Row],['# Interior Compactors]]=0,"",VLOOKUP(Data[[#This Row],[DEVELOPMENT]],[5]!Table1[[DEVELOPMENTS]:[Installation Date of Exterior Compactor]],5,FALSE))</f>
        <v/>
      </c>
      <c r="M213" s="43" t="str">
        <f>IF(Data[[#This Row],['# Exterior Compactors]]=0,"",VLOOKUP(Data[[#This Row],[DEVELOPMENT]],[5]!Table1[[DEVELOPMENTS]:[Installation Date of Exterior Compactor]],8,FALSE))</f>
        <v/>
      </c>
      <c r="N213">
        <f>Data[[#This Row],['# Interior Compactors]]</f>
        <v>0</v>
      </c>
      <c r="O213" s="20">
        <f>1</f>
        <v>1</v>
      </c>
      <c r="P213" s="20">
        <f>1</f>
        <v>1</v>
      </c>
      <c r="Q213" s="20">
        <f>1</f>
        <v>1</v>
      </c>
      <c r="R213" s="20">
        <f>1</f>
        <v>1</v>
      </c>
      <c r="S213" s="20">
        <f>1</f>
        <v>1</v>
      </c>
      <c r="T213" s="20">
        <f>Data[[#This Row],[DUs]]</f>
        <v>1614</v>
      </c>
      <c r="U21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3" s="101">
        <f>VLOOKUP(Data[[#This Row],[DEVELOPMENT]],'[2]NYCHA_Development_Data_Book 201'!$B$2:$E$324,3,FALSE)</f>
        <v>149</v>
      </c>
      <c r="Y213" s="20"/>
      <c r="Z213" s="20">
        <f>IFERROR(VLOOKUP(Data[[#This Row],[TDS]],'[7]Static Ext by TDS'!$A$5:$E$120,2,FALSE),0)</f>
        <v>3</v>
      </c>
      <c r="AA213" s="20">
        <f>IFERROR(VLOOKUP(Data[[#This Row],[TDS]],'[7]Static Int by TDS'!$A$6:$O$305,2,FALSE),0)</f>
        <v>9</v>
      </c>
      <c r="AB213" s="20"/>
      <c r="AC213" s="20"/>
      <c r="AD213" s="20">
        <f>IFERROR(VLOOKUP(Data[[#This Row],[TDS]],'[7]Static Ext by TDS'!$A$5:$P$120,3,FALSE)+VLOOKUP(Data[[#This Row],[TDS]],'[7]Static Ext by TDS'!$A$5:$P$120,6,FALSE),0)</f>
        <v>3</v>
      </c>
      <c r="AE213" s="20">
        <f>IFERROR(VLOOKUP(Data[[#This Row],[TDS]],'[7]Static Int by TDS'!$A$6:$O$305,3,FALSE)+VLOOKUP(Data[[#This Row],[TDS]],'[7]Static Int by TDS'!$A$6:$O$305,6,FALSE),0)</f>
        <v>9</v>
      </c>
      <c r="AF213" s="20" t="str">
        <f>VLOOKUP(Data[[#This Row],[DEVELOPMENT]],[8]Developments!$A$2:$A$312,1,FALSE)</f>
        <v>POLO GROUNDS TOWERS</v>
      </c>
    </row>
    <row r="214" spans="1:32" x14ac:dyDescent="0.25">
      <c r="A214" t="s">
        <v>290</v>
      </c>
      <c r="B214" s="20" t="str">
        <f>VLOOKUP(Data[[#This Row],[DEVELOPMENT]],'[2]NYCHA_Development_Data_Book 201'!$B$2:$AY$324,40,FALSE)</f>
        <v>QUEENS</v>
      </c>
      <c r="C214" s="20" t="str">
        <f>VLOOKUP(Data[[#This Row],[DEVELOPMENT]],'[3]Cheat-Sheet'!$D$2:$Q$341,2,FALSE)</f>
        <v>POMONOK</v>
      </c>
      <c r="D214" s="20">
        <f>IF(VLOOKUP(Data[[#This Row],[DEVELOPMENT]],'[4]IC Categories'!$A$2:$G$325,3,FALSE)=0,"",VLOOKUP(Data[[#This Row],[DEVELOPMENT]],'[4]IC Categories'!$A$2:$G$325,3,FALSE))</f>
        <v>2027</v>
      </c>
      <c r="E214" s="20">
        <f>VLOOKUP(Data[[#This Row],[DEVELOPMENT]],'[2]NYCHA_Development_Data_Book 201'!$B$2:$AY$324,21,FALSE)</f>
        <v>35</v>
      </c>
      <c r="F214" s="20">
        <f>VLOOKUP(Data[[#This Row],[DEVELOPMENT]],'[2]NYCHA_Development_Data_Book 201'!$B$2:$AY$324,23,FALSE)</f>
        <v>121</v>
      </c>
      <c r="G214" s="20">
        <f>VLOOKUP(Data[[#This Row],[DEVELOPMENT]],'[2]NYCHA_Development_Data_Book 201'!$B$2:$AY$324,12,FALSE)</f>
        <v>2069</v>
      </c>
      <c r="J214">
        <f>IFERROR(VLOOKUP(Data[[#This Row],[DEVELOPMENT]],[5]!Table1[[DEVELOPMENTS]:[Installation Date of Exterior Compactor]],4,FALSE),0)</f>
        <v>0</v>
      </c>
      <c r="K214" s="20">
        <f>IFERROR(VLOOKUP(Data[[#This Row],[DEVELOPMENT]],[5]!Table1[[DEVELOPMENTS]:[Installation Date of Exterior Compactor]],7,FALSE),0)</f>
        <v>0</v>
      </c>
      <c r="L214" s="42" t="str">
        <f>IF(Data[[#This Row],['# Interior Compactors]]=0,"",VLOOKUP(Data[[#This Row],[DEVELOPMENT]],[5]!Table1[[DEVELOPMENTS]:[Installation Date of Exterior Compactor]],5,FALSE))</f>
        <v/>
      </c>
      <c r="M214" s="43" t="str">
        <f>IF(Data[[#This Row],['# Exterior Compactors]]=0,"",VLOOKUP(Data[[#This Row],[DEVELOPMENT]],[5]!Table1[[DEVELOPMENTS]:[Installation Date of Exterior Compactor]],8,FALSE))</f>
        <v/>
      </c>
      <c r="N214" s="20">
        <f>Data[[#This Row],['# Interior Compactors]]</f>
        <v>0</v>
      </c>
      <c r="O214" s="20">
        <f>1</f>
        <v>1</v>
      </c>
      <c r="P214" s="20">
        <f>1</f>
        <v>1</v>
      </c>
      <c r="Q214" s="20">
        <f>1</f>
        <v>1</v>
      </c>
      <c r="R214" s="20">
        <f>1</f>
        <v>1</v>
      </c>
      <c r="S214" s="20">
        <f>1</f>
        <v>1</v>
      </c>
      <c r="T214" s="20">
        <f>Data[[#This Row],[DUs]]</f>
        <v>2069</v>
      </c>
      <c r="U21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4" s="101">
        <f>VLOOKUP(Data[[#This Row],[DEVELOPMENT]],'[2]NYCHA_Development_Data_Book 201'!$B$2:$E$324,3,FALSE)</f>
        <v>53</v>
      </c>
      <c r="Y214" s="20"/>
      <c r="Z214" s="20">
        <f>IFERROR(VLOOKUP(Data[[#This Row],[TDS]],'[7]Static Ext by TDS'!$A$5:$E$120,2,FALSE),0)</f>
        <v>5</v>
      </c>
      <c r="AA214" s="20">
        <f>IFERROR(VLOOKUP(Data[[#This Row],[TDS]],'[7]Static Int by TDS'!$A$6:$O$305,2,FALSE),0)</f>
        <v>121</v>
      </c>
      <c r="AB214" s="20"/>
      <c r="AC214" s="20"/>
      <c r="AD214" s="20">
        <f>IFERROR(VLOOKUP(Data[[#This Row],[TDS]],'[7]Static Ext by TDS'!$A$5:$P$120,3,FALSE)+VLOOKUP(Data[[#This Row],[TDS]],'[7]Static Ext by TDS'!$A$5:$P$120,6,FALSE),0)</f>
        <v>5</v>
      </c>
      <c r="AE214" s="20">
        <f>IFERROR(VLOOKUP(Data[[#This Row],[TDS]],'[7]Static Int by TDS'!$A$6:$O$305,3,FALSE)+VLOOKUP(Data[[#This Row],[TDS]],'[7]Static Int by TDS'!$A$6:$O$305,6,FALSE),0)</f>
        <v>121</v>
      </c>
      <c r="AF214" s="20" t="str">
        <f>VLOOKUP(Data[[#This Row],[DEVELOPMENT]],[8]Developments!$A$2:$A$312,1,FALSE)</f>
        <v>POMONOK</v>
      </c>
    </row>
    <row r="215" spans="1:32" x14ac:dyDescent="0.25">
      <c r="A215" t="s">
        <v>386</v>
      </c>
      <c r="B215" s="20" t="str">
        <f>VLOOKUP(Data[[#This Row],[DEVELOPMENT]],'[2]NYCHA_Development_Data_Book 201'!$B$2:$AY$324,40,FALSE)</f>
        <v>BRONX</v>
      </c>
      <c r="C215" s="20" t="e">
        <f>VLOOKUP(Data[[#This Row],[DEVELOPMENT]],'[3]Cheat-Sheet'!$D$2:$Q$341,2,FALSE)</f>
        <v>#N/A</v>
      </c>
      <c r="D215" s="20" t="e">
        <f>IF(VLOOKUP(Data[[#This Row],[DEVELOPMENT]],'[4]IC Categories'!$A$2:$G$325,3,FALSE)=0,"",VLOOKUP(Data[[#This Row],[DEVELOPMENT]],'[4]IC Categories'!$A$2:$G$325,3,FALSE))</f>
        <v>#N/A</v>
      </c>
      <c r="E215" s="20">
        <f>VLOOKUP(Data[[#This Row],[DEVELOPMENT]],'[2]NYCHA_Development_Data_Book 201'!$B$2:$AY$324,21,FALSE)</f>
        <v>1</v>
      </c>
      <c r="F215" s="20">
        <f>VLOOKUP(Data[[#This Row],[DEVELOPMENT]],'[2]NYCHA_Development_Data_Book 201'!$B$2:$AY$324,23,FALSE)</f>
        <v>1</v>
      </c>
      <c r="G215" s="20">
        <f>VLOOKUP(Data[[#This Row],[DEVELOPMENT]],'[2]NYCHA_Development_Data_Book 201'!$B$2:$AY$324,12,FALSE)</f>
        <v>50</v>
      </c>
      <c r="J215">
        <f>IFERROR(VLOOKUP(Data[[#This Row],[DEVELOPMENT]],[5]!Table1[[DEVELOPMENTS]:[Installation Date of Exterior Compactor]],4,FALSE),0)</f>
        <v>0</v>
      </c>
      <c r="K215" s="20">
        <f>IFERROR(VLOOKUP(Data[[#This Row],[DEVELOPMENT]],[5]!Table1[[DEVELOPMENTS]:[Installation Date of Exterior Compactor]],7,FALSE),0)</f>
        <v>0</v>
      </c>
      <c r="L215" s="42" t="str">
        <f>IF(Data[[#This Row],['# Interior Compactors]]=0,"",VLOOKUP(Data[[#This Row],[DEVELOPMENT]],[5]!Table1[[DEVELOPMENTS]:[Installation Date of Exterior Compactor]],5,FALSE))</f>
        <v/>
      </c>
      <c r="M215" s="43" t="str">
        <f>IF(Data[[#This Row],['# Exterior Compactors]]=0,"",VLOOKUP(Data[[#This Row],[DEVELOPMENT]],[5]!Table1[[DEVELOPMENTS]:[Installation Date of Exterior Compactor]],8,FALSE))</f>
        <v/>
      </c>
      <c r="N215" s="20">
        <f>Data[[#This Row],['# Interior Compactors]]</f>
        <v>0</v>
      </c>
      <c r="O215" s="20">
        <f>1</f>
        <v>1</v>
      </c>
      <c r="P215" s="20">
        <f>1</f>
        <v>1</v>
      </c>
      <c r="Q215" s="20">
        <f>1</f>
        <v>1</v>
      </c>
      <c r="R215" s="20">
        <f>1</f>
        <v>1</v>
      </c>
      <c r="S215" s="20">
        <f>1</f>
        <v>1</v>
      </c>
      <c r="T215" s="20">
        <f>Data[[#This Row],[DUs]]</f>
        <v>50</v>
      </c>
      <c r="U21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5" s="101">
        <f>VLOOKUP(Data[[#This Row],[DEVELOPMENT]],'[2]NYCHA_Development_Data_Book 201'!$B$2:$E$324,3,FALSE)</f>
        <v>560</v>
      </c>
      <c r="Y215" s="20"/>
      <c r="Z215" s="20">
        <f>IFERROR(VLOOKUP(Data[[#This Row],[TDS]],'[7]Static Ext by TDS'!$A$5:$E$120,2,FALSE),0)</f>
        <v>0</v>
      </c>
      <c r="AA215" s="20">
        <f>IFERROR(VLOOKUP(Data[[#This Row],[TDS]],'[7]Static Int by TDS'!$A$6:$O$305,2,FALSE),0)</f>
        <v>0</v>
      </c>
      <c r="AB215" s="20"/>
      <c r="AC215" s="20"/>
      <c r="AD215" s="20">
        <f>IFERROR(VLOOKUP(Data[[#This Row],[TDS]],'[7]Static Ext by TDS'!$A$5:$P$120,3,FALSE)+VLOOKUP(Data[[#This Row],[TDS]],'[7]Static Ext by TDS'!$A$5:$P$120,6,FALSE),0)</f>
        <v>0</v>
      </c>
      <c r="AE215" s="20">
        <f>IFERROR(VLOOKUP(Data[[#This Row],[TDS]],'[7]Static Int by TDS'!$A$6:$O$305,3,FALSE)+VLOOKUP(Data[[#This Row],[TDS]],'[7]Static Int by TDS'!$A$6:$O$305,6,FALSE),0)</f>
        <v>0</v>
      </c>
      <c r="AF215" s="20" t="e">
        <f>VLOOKUP(Data[[#This Row],[DEVELOPMENT]],[8]Developments!$A$2:$A$312,1,FALSE)</f>
        <v>#N/A</v>
      </c>
    </row>
    <row r="216" spans="1:32" x14ac:dyDescent="0.25">
      <c r="A216" t="s">
        <v>94</v>
      </c>
      <c r="B216" t="str">
        <f>VLOOKUP(Data[[#This Row],[DEVELOPMENT]],'[2]NYCHA_Development_Data_Book 201'!$B$2:$AY$324,40,FALSE)</f>
        <v>MANHATTAN</v>
      </c>
      <c r="C216" t="str">
        <f>VLOOKUP(Data[[#This Row],[DEVELOPMENT]],'[3]Cheat-Sheet'!$D$2:$Q$341,2,FALSE)</f>
        <v>DREW-HAMILTON</v>
      </c>
      <c r="D216">
        <f>IF(VLOOKUP(Data[[#This Row],[DEVELOPMENT]],'[4]IC Categories'!$A$2:$G$325,3,FALSE)=0,"",VLOOKUP(Data[[#This Row],[DEVELOPMENT]],'[4]IC Categories'!$A$2:$G$325,3,FALSE))</f>
        <v>2019</v>
      </c>
      <c r="E216">
        <f>VLOOKUP(Data[[#This Row],[DEVELOPMENT]],'[2]NYCHA_Development_Data_Book 201'!$B$2:$AY$324,21,FALSE)</f>
        <v>1</v>
      </c>
      <c r="F216">
        <f>VLOOKUP(Data[[#This Row],[DEVELOPMENT]],'[2]NYCHA_Development_Data_Book 201'!$B$2:$AY$324,23,FALSE)</f>
        <v>2</v>
      </c>
      <c r="G216">
        <f>VLOOKUP(Data[[#This Row],[DEVELOPMENT]],'[2]NYCHA_Development_Data_Book 201'!$B$2:$AY$324,12,FALSE)</f>
        <v>125</v>
      </c>
      <c r="H216" t="s">
        <v>474</v>
      </c>
      <c r="I216" t="s">
        <v>471</v>
      </c>
      <c r="J216">
        <f>IFERROR(VLOOKUP(Data[[#This Row],[DEVELOPMENT]],[5]!Table1[[DEVELOPMENTS]:[Installation Date of Exterior Compactor]],4,FALSE),0)</f>
        <v>0</v>
      </c>
      <c r="K216" s="20">
        <f>IFERROR(VLOOKUP(Data[[#This Row],[DEVELOPMENT]],[5]!Table1[[DEVELOPMENTS]:[Installation Date of Exterior Compactor]],7,FALSE),0)</f>
        <v>0</v>
      </c>
      <c r="L216" s="42" t="str">
        <f>IF(Data[[#This Row],['# Interior Compactors]]=0,"",VLOOKUP(Data[[#This Row],[DEVELOPMENT]],[5]!Table1[[DEVELOPMENTS]:[Installation Date of Exterior Compactor]],5,FALSE))</f>
        <v/>
      </c>
      <c r="M216" s="43" t="str">
        <f>IF(Data[[#This Row],['# Exterior Compactors]]=0,"",VLOOKUP(Data[[#This Row],[DEVELOPMENT]],[5]!Table1[[DEVELOPMENTS]:[Installation Date of Exterior Compactor]],8,FALSE))</f>
        <v/>
      </c>
      <c r="N216">
        <f>Data[[#This Row],['# Interior Compactors]]</f>
        <v>0</v>
      </c>
      <c r="O216" s="20">
        <f>1</f>
        <v>1</v>
      </c>
      <c r="P216" s="20">
        <f>1</f>
        <v>1</v>
      </c>
      <c r="Q216" s="20">
        <f>1</f>
        <v>1</v>
      </c>
      <c r="R216" s="20">
        <f>1</f>
        <v>1</v>
      </c>
      <c r="S216" s="20">
        <f>1</f>
        <v>1</v>
      </c>
      <c r="T216" s="20">
        <f>Data[[#This Row],[DUs]]</f>
        <v>125</v>
      </c>
      <c r="U21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6" s="101">
        <f>VLOOKUP(Data[[#This Row],[DEVELOPMENT]],'[2]NYCHA_Development_Data_Book 201'!$B$2:$E$324,3,FALSE)</f>
        <v>340</v>
      </c>
      <c r="Y216" s="20"/>
      <c r="Z216" s="20">
        <f>IFERROR(VLOOKUP(Data[[#This Row],[TDS]],'[7]Static Ext by TDS'!$A$5:$E$120,2,FALSE),0)</f>
        <v>0</v>
      </c>
      <c r="AA216" s="20">
        <f>IFERROR(VLOOKUP(Data[[#This Row],[TDS]],'[7]Static Int by TDS'!$A$6:$O$305,2,FALSE),0)</f>
        <v>1</v>
      </c>
      <c r="AB216" s="20"/>
      <c r="AC216" s="20"/>
      <c r="AD216" s="20">
        <f>IFERROR(VLOOKUP(Data[[#This Row],[TDS]],'[7]Static Ext by TDS'!$A$5:$P$120,3,FALSE)+VLOOKUP(Data[[#This Row],[TDS]],'[7]Static Ext by TDS'!$A$5:$P$120,6,FALSE),0)</f>
        <v>0</v>
      </c>
      <c r="AE216" s="20">
        <f>IFERROR(VLOOKUP(Data[[#This Row],[TDS]],'[7]Static Int by TDS'!$A$6:$O$305,3,FALSE)+VLOOKUP(Data[[#This Row],[TDS]],'[7]Static Int by TDS'!$A$6:$O$305,6,FALSE),0)</f>
        <v>1</v>
      </c>
      <c r="AF216" s="20" t="str">
        <f>VLOOKUP(Data[[#This Row],[DEVELOPMENT]],[8]Developments!$A$2:$A$312,1,FALSE)</f>
        <v>PUBLIC SCHOOL 139 (CONVERSION)</v>
      </c>
    </row>
    <row r="217" spans="1:32" x14ac:dyDescent="0.25">
      <c r="A217" t="s">
        <v>134</v>
      </c>
      <c r="B217" t="str">
        <f>VLOOKUP(Data[[#This Row],[DEVELOPMENT]],'[2]NYCHA_Development_Data_Book 201'!$B$2:$AY$324,40,FALSE)</f>
        <v>QUEENS</v>
      </c>
      <c r="C217" t="str">
        <f>VLOOKUP(Data[[#This Row],[DEVELOPMENT]],'[3]Cheat-Sheet'!$D$2:$Q$341,2,FALSE)</f>
        <v>QUEENSBRIDGE NORTH</v>
      </c>
      <c r="D217" t="str">
        <f>IF(VLOOKUP(Data[[#This Row],[DEVELOPMENT]],'[4]IC Categories'!$A$2:$G$325,3,FALSE)=0,"",VLOOKUP(Data[[#This Row],[DEVELOPMENT]],'[4]IC Categories'!$A$2:$G$325,3,FALSE))</f>
        <v/>
      </c>
      <c r="E217">
        <f>VLOOKUP(Data[[#This Row],[DEVELOPMENT]],'[2]NYCHA_Development_Data_Book 201'!$B$2:$AY$324,21,FALSE)</f>
        <v>13</v>
      </c>
      <c r="F217">
        <f>VLOOKUP(Data[[#This Row],[DEVELOPMENT]],'[2]NYCHA_Development_Data_Book 201'!$B$2:$AY$324,23,FALSE)</f>
        <v>48</v>
      </c>
      <c r="G217">
        <f>VLOOKUP(Data[[#This Row],[DEVELOPMENT]],'[2]NYCHA_Development_Data_Book 201'!$B$2:$AY$324,12,FALSE)</f>
        <v>1542</v>
      </c>
      <c r="H217" t="s">
        <v>474</v>
      </c>
      <c r="I217" t="s">
        <v>471</v>
      </c>
      <c r="J217">
        <f>IFERROR(VLOOKUP(Data[[#This Row],[DEVELOPMENT]],[5]!Table1[[DEVELOPMENTS]:[Installation Date of Exterior Compactor]],4,FALSE),0)</f>
        <v>0</v>
      </c>
      <c r="K217" s="20">
        <f>IFERROR(VLOOKUP(Data[[#This Row],[DEVELOPMENT]],[5]!Table1[[DEVELOPMENTS]:[Installation Date of Exterior Compactor]],7,FALSE),0)</f>
        <v>0</v>
      </c>
      <c r="L217" s="42" t="str">
        <f>IF(Data[[#This Row],['# Interior Compactors]]=0,"",VLOOKUP(Data[[#This Row],[DEVELOPMENT]],[5]!Table1[[DEVELOPMENTS]:[Installation Date of Exterior Compactor]],5,FALSE))</f>
        <v/>
      </c>
      <c r="M217" s="43" t="str">
        <f>IF(Data[[#This Row],['# Exterior Compactors]]=0,"",VLOOKUP(Data[[#This Row],[DEVELOPMENT]],[5]!Table1[[DEVELOPMENTS]:[Installation Date of Exterior Compactor]],8,FALSE))</f>
        <v/>
      </c>
      <c r="N217">
        <f>Data[[#This Row],['# Interior Compactors]]</f>
        <v>0</v>
      </c>
      <c r="O217" s="20">
        <f>1</f>
        <v>1</v>
      </c>
      <c r="P217" s="20">
        <f>1</f>
        <v>1</v>
      </c>
      <c r="Q217" s="20">
        <f>1</f>
        <v>1</v>
      </c>
      <c r="R217" s="20">
        <f>1</f>
        <v>1</v>
      </c>
      <c r="S217" s="20">
        <f>1</f>
        <v>1</v>
      </c>
      <c r="T217" s="20">
        <f>Data[[#This Row],[DUs]]</f>
        <v>1542</v>
      </c>
      <c r="U21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7" s="101">
        <f>VLOOKUP(Data[[#This Row],[DEVELOPMENT]],'[2]NYCHA_Development_Data_Book 201'!$B$2:$E$324,3,FALSE)</f>
        <v>505</v>
      </c>
      <c r="Y217" s="20"/>
      <c r="Z217" s="20">
        <f>IFERROR(VLOOKUP(Data[[#This Row],[TDS]],'[7]Static Ext by TDS'!$A$5:$E$120,2,FALSE),0)</f>
        <v>0</v>
      </c>
      <c r="AA217" s="20">
        <f>IFERROR(VLOOKUP(Data[[#This Row],[TDS]],'[7]Static Int by TDS'!$A$6:$O$305,2,FALSE),0)</f>
        <v>47</v>
      </c>
      <c r="AB217" s="20"/>
      <c r="AC217" s="20"/>
      <c r="AD217" s="20">
        <f>IFERROR(VLOOKUP(Data[[#This Row],[TDS]],'[7]Static Ext by TDS'!$A$5:$P$120,3,FALSE)+VLOOKUP(Data[[#This Row],[TDS]],'[7]Static Ext by TDS'!$A$5:$P$120,6,FALSE),0)</f>
        <v>0</v>
      </c>
      <c r="AE217" s="20">
        <f>IFERROR(VLOOKUP(Data[[#This Row],[TDS]],'[7]Static Int by TDS'!$A$6:$O$305,3,FALSE)+VLOOKUP(Data[[#This Row],[TDS]],'[7]Static Int by TDS'!$A$6:$O$305,6,FALSE),0)</f>
        <v>47</v>
      </c>
      <c r="AF217" s="20" t="str">
        <f>VLOOKUP(Data[[#This Row],[DEVELOPMENT]],[8]Developments!$A$2:$A$312,1,FALSE)</f>
        <v>QUEENSBRIDGE NORTH</v>
      </c>
    </row>
    <row r="218" spans="1:32" x14ac:dyDescent="0.25">
      <c r="A218" t="s">
        <v>135</v>
      </c>
      <c r="B218" t="str">
        <f>VLOOKUP(Data[[#This Row],[DEVELOPMENT]],'[2]NYCHA_Development_Data_Book 201'!$B$2:$AY$324,40,FALSE)</f>
        <v>QUEENS</v>
      </c>
      <c r="C218" t="str">
        <f>VLOOKUP(Data[[#This Row],[DEVELOPMENT]],'[3]Cheat-Sheet'!$D$2:$Q$341,2,FALSE)</f>
        <v>QUEENSBRIDGE SOUTH</v>
      </c>
      <c r="D218" t="str">
        <f>IF(VLOOKUP(Data[[#This Row],[DEVELOPMENT]],'[4]IC Categories'!$A$2:$G$325,3,FALSE)=0,"",VLOOKUP(Data[[#This Row],[DEVELOPMENT]],'[4]IC Categories'!$A$2:$G$325,3,FALSE))</f>
        <v/>
      </c>
      <c r="E218">
        <f>VLOOKUP(Data[[#This Row],[DEVELOPMENT]],'[2]NYCHA_Development_Data_Book 201'!$B$2:$AY$324,21,FALSE)</f>
        <v>13</v>
      </c>
      <c r="F218">
        <f>VLOOKUP(Data[[#This Row],[DEVELOPMENT]],'[2]NYCHA_Development_Data_Book 201'!$B$2:$AY$324,23,FALSE)</f>
        <v>50</v>
      </c>
      <c r="G218">
        <f>VLOOKUP(Data[[#This Row],[DEVELOPMENT]],'[2]NYCHA_Development_Data_Book 201'!$B$2:$AY$324,12,FALSE)</f>
        <v>1603</v>
      </c>
      <c r="H218" t="s">
        <v>474</v>
      </c>
      <c r="I218" t="s">
        <v>471</v>
      </c>
      <c r="J218">
        <f>IFERROR(VLOOKUP(Data[[#This Row],[DEVELOPMENT]],[5]!Table1[[DEVELOPMENTS]:[Installation Date of Exterior Compactor]],4,FALSE),0)</f>
        <v>0</v>
      </c>
      <c r="K218" s="20">
        <f>IFERROR(VLOOKUP(Data[[#This Row],[DEVELOPMENT]],[5]!Table1[[DEVELOPMENTS]:[Installation Date of Exterior Compactor]],7,FALSE),0)</f>
        <v>0</v>
      </c>
      <c r="L218" s="42" t="str">
        <f>IF(Data[[#This Row],['# Interior Compactors]]=0,"",VLOOKUP(Data[[#This Row],[DEVELOPMENT]],[5]!Table1[[DEVELOPMENTS]:[Installation Date of Exterior Compactor]],5,FALSE))</f>
        <v/>
      </c>
      <c r="M218" s="43" t="str">
        <f>IF(Data[[#This Row],['# Exterior Compactors]]=0,"",VLOOKUP(Data[[#This Row],[DEVELOPMENT]],[5]!Table1[[DEVELOPMENTS]:[Installation Date of Exterior Compactor]],8,FALSE))</f>
        <v/>
      </c>
      <c r="N218">
        <f>Data[[#This Row],['# Interior Compactors]]</f>
        <v>0</v>
      </c>
      <c r="O218" s="20">
        <f>1</f>
        <v>1</v>
      </c>
      <c r="P218" s="20">
        <f>1</f>
        <v>1</v>
      </c>
      <c r="Q218" s="20">
        <f>1</f>
        <v>1</v>
      </c>
      <c r="R218" s="20">
        <f>1</f>
        <v>1</v>
      </c>
      <c r="S218" s="20">
        <f>1</f>
        <v>1</v>
      </c>
      <c r="T218" s="20">
        <f>Data[[#This Row],[DUs]]</f>
        <v>1603</v>
      </c>
      <c r="U21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8" s="101">
        <f>VLOOKUP(Data[[#This Row],[DEVELOPMENT]],'[2]NYCHA_Development_Data_Book 201'!$B$2:$E$324,3,FALSE)</f>
        <v>5</v>
      </c>
      <c r="Y218" s="20"/>
      <c r="Z218" s="20">
        <f>IFERROR(VLOOKUP(Data[[#This Row],[TDS]],'[7]Static Ext by TDS'!$A$5:$E$120,2,FALSE),0)</f>
        <v>12</v>
      </c>
      <c r="AA218" s="20">
        <f>IFERROR(VLOOKUP(Data[[#This Row],[TDS]],'[7]Static Int by TDS'!$A$6:$O$305,2,FALSE),0)</f>
        <v>49</v>
      </c>
      <c r="AB218" s="20"/>
      <c r="AC218" s="20"/>
      <c r="AD218" s="20">
        <f>IFERROR(VLOOKUP(Data[[#This Row],[TDS]],'[7]Static Ext by TDS'!$A$5:$P$120,3,FALSE)+VLOOKUP(Data[[#This Row],[TDS]],'[7]Static Ext by TDS'!$A$5:$P$120,6,FALSE),0)</f>
        <v>6</v>
      </c>
      <c r="AE218" s="20">
        <f>IFERROR(VLOOKUP(Data[[#This Row],[TDS]],'[7]Static Int by TDS'!$A$6:$O$305,3,FALSE)+VLOOKUP(Data[[#This Row],[TDS]],'[7]Static Int by TDS'!$A$6:$O$305,6,FALSE),0)</f>
        <v>49</v>
      </c>
      <c r="AF218" s="20" t="str">
        <f>VLOOKUP(Data[[#This Row],[DEVELOPMENT]],[8]Developments!$A$2:$A$312,1,FALSE)</f>
        <v>QUEENSBRIDGE SOUTH</v>
      </c>
    </row>
    <row r="219" spans="1:32" x14ac:dyDescent="0.25">
      <c r="A219" t="s">
        <v>291</v>
      </c>
      <c r="B219" s="20" t="str">
        <f>VLOOKUP(Data[[#This Row],[DEVELOPMENT]],'[2]NYCHA_Development_Data_Book 201'!$B$2:$AY$324,40,FALSE)</f>
        <v>BROOKLYN</v>
      </c>
      <c r="C219" s="20" t="str">
        <f>VLOOKUP(Data[[#This Row],[DEVELOPMENT]],'[3]Cheat-Sheet'!$D$2:$Q$341,2,FALSE)</f>
        <v>REID APARTMENTS</v>
      </c>
      <c r="D219" s="20">
        <f>IF(VLOOKUP(Data[[#This Row],[DEVELOPMENT]],'[4]IC Categories'!$A$2:$G$325,3,FALSE)=0,"",VLOOKUP(Data[[#This Row],[DEVELOPMENT]],'[4]IC Categories'!$A$2:$G$325,3,FALSE))</f>
        <v>2021</v>
      </c>
      <c r="E219" s="20">
        <f>VLOOKUP(Data[[#This Row],[DEVELOPMENT]],'[2]NYCHA_Development_Data_Book 201'!$B$2:$AY$324,21,FALSE)</f>
        <v>5</v>
      </c>
      <c r="F219" s="20">
        <f>VLOOKUP(Data[[#This Row],[DEVELOPMENT]],'[2]NYCHA_Development_Data_Book 201'!$B$2:$AY$324,23,FALSE)</f>
        <v>5</v>
      </c>
      <c r="G219" s="20">
        <f>VLOOKUP(Data[[#This Row],[DEVELOPMENT]],'[2]NYCHA_Development_Data_Book 201'!$B$2:$AY$324,12,FALSE)</f>
        <v>118</v>
      </c>
      <c r="J219">
        <f>IFERROR(VLOOKUP(Data[[#This Row],[DEVELOPMENT]],[5]!Table1[[DEVELOPMENTS]:[Installation Date of Exterior Compactor]],4,FALSE),0)</f>
        <v>0</v>
      </c>
      <c r="K219" s="20">
        <f>IFERROR(VLOOKUP(Data[[#This Row],[DEVELOPMENT]],[5]!Table1[[DEVELOPMENTS]:[Installation Date of Exterior Compactor]],7,FALSE),0)</f>
        <v>0</v>
      </c>
      <c r="L219" s="42" t="str">
        <f>IF(Data[[#This Row],['# Interior Compactors]]=0,"",VLOOKUP(Data[[#This Row],[DEVELOPMENT]],[5]!Table1[[DEVELOPMENTS]:[Installation Date of Exterior Compactor]],5,FALSE))</f>
        <v/>
      </c>
      <c r="M219" s="43" t="str">
        <f>IF(Data[[#This Row],['# Exterior Compactors]]=0,"",VLOOKUP(Data[[#This Row],[DEVELOPMENT]],[5]!Table1[[DEVELOPMENTS]:[Installation Date of Exterior Compactor]],8,FALSE))</f>
        <v/>
      </c>
      <c r="N219" s="20">
        <f>Data[[#This Row],['# Interior Compactors]]</f>
        <v>0</v>
      </c>
      <c r="O219" s="20">
        <f>1</f>
        <v>1</v>
      </c>
      <c r="P219" s="20">
        <f>1</f>
        <v>1</v>
      </c>
      <c r="Q219" s="20">
        <f>1</f>
        <v>1</v>
      </c>
      <c r="R219" s="20">
        <f>1</f>
        <v>1</v>
      </c>
      <c r="S219" s="20">
        <f>1</f>
        <v>1</v>
      </c>
      <c r="T219" s="20">
        <f>Data[[#This Row],[DUs]]</f>
        <v>118</v>
      </c>
      <c r="U21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1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1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19" s="101">
        <f>VLOOKUP(Data[[#This Row],[DEVELOPMENT]],'[2]NYCHA_Development_Data_Book 201'!$B$2:$E$324,3,FALSE)</f>
        <v>352</v>
      </c>
      <c r="Y219" s="20"/>
      <c r="Z219" s="20">
        <f>IFERROR(VLOOKUP(Data[[#This Row],[TDS]],'[7]Static Ext by TDS'!$A$5:$E$120,2,FALSE),0)</f>
        <v>0</v>
      </c>
      <c r="AA219" s="20">
        <f>IFERROR(VLOOKUP(Data[[#This Row],[TDS]],'[7]Static Int by TDS'!$A$6:$O$305,2,FALSE),0)</f>
        <v>9</v>
      </c>
      <c r="AB219" s="20"/>
      <c r="AC219" s="20"/>
      <c r="AD219" s="20">
        <f>IFERROR(VLOOKUP(Data[[#This Row],[TDS]],'[7]Static Ext by TDS'!$A$5:$P$120,3,FALSE)+VLOOKUP(Data[[#This Row],[TDS]],'[7]Static Ext by TDS'!$A$5:$P$120,6,FALSE),0)</f>
        <v>0</v>
      </c>
      <c r="AE219" s="20">
        <f>IFERROR(VLOOKUP(Data[[#This Row],[TDS]],'[7]Static Int by TDS'!$A$6:$O$305,3,FALSE)+VLOOKUP(Data[[#This Row],[TDS]],'[7]Static Int by TDS'!$A$6:$O$305,6,FALSE),0)</f>
        <v>9</v>
      </c>
      <c r="AF219" s="20" t="str">
        <f>VLOOKUP(Data[[#This Row],[DEVELOPMENT]],[8]Developments!$A$2:$A$312,1,FALSE)</f>
        <v>RALPH AVENUE REHAB</v>
      </c>
    </row>
    <row r="220" spans="1:32" x14ac:dyDescent="0.25">
      <c r="A220" t="s">
        <v>292</v>
      </c>
      <c r="B220" s="20" t="str">
        <f>VLOOKUP(Data[[#This Row],[DEVELOPMENT]],'[2]NYCHA_Development_Data_Book 201'!$B$2:$AY$324,40,FALSE)</f>
        <v>BRONX</v>
      </c>
      <c r="C220" s="20" t="str">
        <f>VLOOKUP(Data[[#This Row],[DEVELOPMENT]],'[3]Cheat-Sheet'!$D$2:$Q$341,2,FALSE)</f>
        <v>THROGGS NECK</v>
      </c>
      <c r="D220" s="20">
        <f>IF(VLOOKUP(Data[[#This Row],[DEVELOPMENT]],'[4]IC Categories'!$A$2:$G$325,3,FALSE)=0,"",VLOOKUP(Data[[#This Row],[DEVELOPMENT]],'[4]IC Categories'!$A$2:$G$325,3,FALSE))</f>
        <v>2022</v>
      </c>
      <c r="E220" s="20">
        <f>VLOOKUP(Data[[#This Row],[DEVELOPMENT]],'[2]NYCHA_Development_Data_Book 201'!$B$2:$AY$324,21,FALSE)</f>
        <v>3</v>
      </c>
      <c r="F220" s="20">
        <f>VLOOKUP(Data[[#This Row],[DEVELOPMENT]],'[2]NYCHA_Development_Data_Book 201'!$B$2:$AY$324,23,FALSE)</f>
        <v>3</v>
      </c>
      <c r="G220" s="20">
        <f>VLOOKUP(Data[[#This Row],[DEVELOPMENT]],'[2]NYCHA_Development_Data_Book 201'!$B$2:$AY$324,12,FALSE)</f>
        <v>251</v>
      </c>
      <c r="J220">
        <f>IFERROR(VLOOKUP(Data[[#This Row],[DEVELOPMENT]],[5]!Table1[[DEVELOPMENTS]:[Installation Date of Exterior Compactor]],4,FALSE),0)</f>
        <v>0</v>
      </c>
      <c r="K220" s="20">
        <f>IFERROR(VLOOKUP(Data[[#This Row],[DEVELOPMENT]],[5]!Table1[[DEVELOPMENTS]:[Installation Date of Exterior Compactor]],7,FALSE),0)</f>
        <v>0</v>
      </c>
      <c r="L220" s="42" t="str">
        <f>IF(Data[[#This Row],['# Interior Compactors]]=0,"",VLOOKUP(Data[[#This Row],[DEVELOPMENT]],[5]!Table1[[DEVELOPMENTS]:[Installation Date of Exterior Compactor]],5,FALSE))</f>
        <v/>
      </c>
      <c r="M220" s="43" t="str">
        <f>IF(Data[[#This Row],['# Exterior Compactors]]=0,"",VLOOKUP(Data[[#This Row],[DEVELOPMENT]],[5]!Table1[[DEVELOPMENTS]:[Installation Date of Exterior Compactor]],8,FALSE))</f>
        <v/>
      </c>
      <c r="N220" s="20">
        <f>Data[[#This Row],['# Interior Compactors]]</f>
        <v>0</v>
      </c>
      <c r="O220" s="20">
        <f>1</f>
        <v>1</v>
      </c>
      <c r="P220" s="20">
        <f>1</f>
        <v>1</v>
      </c>
      <c r="Q220" s="20">
        <f>1</f>
        <v>1</v>
      </c>
      <c r="R220" s="20">
        <f>1</f>
        <v>1</v>
      </c>
      <c r="S220" s="20">
        <f>1</f>
        <v>1</v>
      </c>
      <c r="T220" s="20">
        <f>Data[[#This Row],[DUs]]</f>
        <v>251</v>
      </c>
      <c r="U22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0" s="101">
        <f>VLOOKUP(Data[[#This Row],[DEVELOPMENT]],'[2]NYCHA_Development_Data_Book 201'!$B$2:$E$324,3,FALSE)</f>
        <v>245</v>
      </c>
      <c r="Y220" s="20"/>
      <c r="Z220" s="20">
        <f>IFERROR(VLOOKUP(Data[[#This Row],[TDS]],'[7]Static Ext by TDS'!$A$5:$E$120,2,FALSE),0)</f>
        <v>0</v>
      </c>
      <c r="AA220" s="20">
        <f>IFERROR(VLOOKUP(Data[[#This Row],[TDS]],'[7]Static Int by TDS'!$A$6:$O$305,2,FALSE),0)</f>
        <v>3</v>
      </c>
      <c r="AB220" s="20"/>
      <c r="AC220" s="20"/>
      <c r="AD220" s="20">
        <f>IFERROR(VLOOKUP(Data[[#This Row],[TDS]],'[7]Static Ext by TDS'!$A$5:$P$120,3,FALSE)+VLOOKUP(Data[[#This Row],[TDS]],'[7]Static Ext by TDS'!$A$5:$P$120,6,FALSE),0)</f>
        <v>0</v>
      </c>
      <c r="AE220" s="20">
        <f>IFERROR(VLOOKUP(Data[[#This Row],[TDS]],'[7]Static Int by TDS'!$A$6:$O$305,3,FALSE)+VLOOKUP(Data[[#This Row],[TDS]],'[7]Static Int by TDS'!$A$6:$O$305,6,FALSE),0)</f>
        <v>3</v>
      </c>
      <c r="AF220" s="20" t="str">
        <f>VLOOKUP(Data[[#This Row],[DEVELOPMENT]],[8]Developments!$A$2:$A$312,1,FALSE)</f>
        <v>RANDALL AVENUE-BALCOM AVENUE</v>
      </c>
    </row>
    <row r="221" spans="1:32" x14ac:dyDescent="0.25">
      <c r="A221" t="s">
        <v>387</v>
      </c>
      <c r="B221" s="20" t="str">
        <f>VLOOKUP(Data[[#This Row],[DEVELOPMENT]],'[2]NYCHA_Development_Data_Book 201'!$B$2:$AY$324,40,FALSE)</f>
        <v>MANHATTAN</v>
      </c>
      <c r="C221" s="20" t="e">
        <f>VLOOKUP(Data[[#This Row],[DEVELOPMENT]],'[3]Cheat-Sheet'!$D$2:$Q$341,2,FALSE)</f>
        <v>#N/A</v>
      </c>
      <c r="D221" s="20" t="e">
        <f>IF(VLOOKUP(Data[[#This Row],[DEVELOPMENT]],'[4]IC Categories'!$A$2:$G$325,3,FALSE)=0,"",VLOOKUP(Data[[#This Row],[DEVELOPMENT]],'[4]IC Categories'!$A$2:$G$325,3,FALSE))</f>
        <v>#N/A</v>
      </c>
      <c r="E221" s="20">
        <f>VLOOKUP(Data[[#This Row],[DEVELOPMENT]],'[2]NYCHA_Development_Data_Book 201'!$B$2:$AY$324,21,FALSE)</f>
        <v>2</v>
      </c>
      <c r="F221" s="20">
        <f>VLOOKUP(Data[[#This Row],[DEVELOPMENT]],'[2]NYCHA_Development_Data_Book 201'!$B$2:$AY$324,23,FALSE)</f>
        <v>0</v>
      </c>
      <c r="G221" s="20">
        <f>VLOOKUP(Data[[#This Row],[DEVELOPMENT]],'[2]NYCHA_Development_Data_Book 201'!$B$2:$AY$324,12,FALSE)</f>
        <v>147</v>
      </c>
      <c r="J221">
        <f>IFERROR(VLOOKUP(Data[[#This Row],[DEVELOPMENT]],[5]!Table1[[DEVELOPMENTS]:[Installation Date of Exterior Compactor]],4,FALSE),0)</f>
        <v>0</v>
      </c>
      <c r="K221" s="20">
        <f>IFERROR(VLOOKUP(Data[[#This Row],[DEVELOPMENT]],[5]!Table1[[DEVELOPMENTS]:[Installation Date of Exterior Compactor]],7,FALSE),0)</f>
        <v>0</v>
      </c>
      <c r="L221" s="42" t="str">
        <f>IF(Data[[#This Row],['# Interior Compactors]]=0,"",VLOOKUP(Data[[#This Row],[DEVELOPMENT]],[5]!Table1[[DEVELOPMENTS]:[Installation Date of Exterior Compactor]],5,FALSE))</f>
        <v/>
      </c>
      <c r="M221" s="43" t="str">
        <f>IF(Data[[#This Row],['# Exterior Compactors]]=0,"",VLOOKUP(Data[[#This Row],[DEVELOPMENT]],[5]!Table1[[DEVELOPMENTS]:[Installation Date of Exterior Compactor]],8,FALSE))</f>
        <v/>
      </c>
      <c r="N221" s="20">
        <f>Data[[#This Row],['# Interior Compactors]]</f>
        <v>0</v>
      </c>
      <c r="O221" s="20">
        <f>1</f>
        <v>1</v>
      </c>
      <c r="P221" s="20">
        <f>1</f>
        <v>1</v>
      </c>
      <c r="Q221" s="20">
        <f>1</f>
        <v>1</v>
      </c>
      <c r="R221" s="20">
        <f>1</f>
        <v>1</v>
      </c>
      <c r="S221" s="20">
        <f>1</f>
        <v>1</v>
      </c>
      <c r="T221" s="20">
        <f>Data[[#This Row],[DUs]]</f>
        <v>147</v>
      </c>
      <c r="U22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1" s="101">
        <f>VLOOKUP(Data[[#This Row],[DEVELOPMENT]],'[2]NYCHA_Development_Data_Book 201'!$B$2:$E$324,3,FALSE)</f>
        <v>561</v>
      </c>
      <c r="Y221" s="20"/>
      <c r="Z221" s="20">
        <f>IFERROR(VLOOKUP(Data[[#This Row],[TDS]],'[7]Static Ext by TDS'!$A$5:$E$120,2,FALSE),0)</f>
        <v>0</v>
      </c>
      <c r="AA221" s="20">
        <f>IFERROR(VLOOKUP(Data[[#This Row],[TDS]],'[7]Static Int by TDS'!$A$6:$O$305,2,FALSE),0)</f>
        <v>0</v>
      </c>
      <c r="AB221" s="20"/>
      <c r="AC221" s="20"/>
      <c r="AD221" s="20">
        <f>IFERROR(VLOOKUP(Data[[#This Row],[TDS]],'[7]Static Ext by TDS'!$A$5:$P$120,3,FALSE)+VLOOKUP(Data[[#This Row],[TDS]],'[7]Static Ext by TDS'!$A$5:$P$120,6,FALSE),0)</f>
        <v>0</v>
      </c>
      <c r="AE221" s="20">
        <f>IFERROR(VLOOKUP(Data[[#This Row],[TDS]],'[7]Static Int by TDS'!$A$6:$O$305,3,FALSE)+VLOOKUP(Data[[#This Row],[TDS]],'[7]Static Int by TDS'!$A$6:$O$305,6,FALSE),0)</f>
        <v>0</v>
      </c>
      <c r="AF221" s="20" t="e">
        <f>VLOOKUP(Data[[#This Row],[DEVELOPMENT]],[8]Developments!$A$2:$A$312,1,FALSE)</f>
        <v>#N/A</v>
      </c>
    </row>
    <row r="222" spans="1:32" x14ac:dyDescent="0.25">
      <c r="A222" t="s">
        <v>115</v>
      </c>
      <c r="B222" t="str">
        <f>VLOOKUP(Data[[#This Row],[DEVELOPMENT]],'[2]NYCHA_Development_Data_Book 201'!$B$2:$AY$324,40,FALSE)</f>
        <v>MANHATTAN</v>
      </c>
      <c r="C222" t="str">
        <f>VLOOKUP(Data[[#This Row],[DEVELOPMENT]],'[3]Cheat-Sheet'!$D$2:$Q$341,2,FALSE)</f>
        <v>RANGEL</v>
      </c>
      <c r="D222" t="str">
        <f>IF(VLOOKUP(Data[[#This Row],[DEVELOPMENT]],'[4]IC Categories'!$A$2:$G$325,3,FALSE)=0,"",VLOOKUP(Data[[#This Row],[DEVELOPMENT]],'[4]IC Categories'!$A$2:$G$325,3,FALSE))</f>
        <v/>
      </c>
      <c r="E222">
        <f>VLOOKUP(Data[[#This Row],[DEVELOPMENT]],'[2]NYCHA_Development_Data_Book 201'!$B$2:$AY$324,21,FALSE)</f>
        <v>8</v>
      </c>
      <c r="F222">
        <f>VLOOKUP(Data[[#This Row],[DEVELOPMENT]],'[2]NYCHA_Development_Data_Book 201'!$B$2:$AY$324,23,FALSE)</f>
        <v>9</v>
      </c>
      <c r="G222">
        <f>VLOOKUP(Data[[#This Row],[DEVELOPMENT]],'[2]NYCHA_Development_Data_Book 201'!$B$2:$AY$324,12,FALSE)</f>
        <v>982</v>
      </c>
      <c r="H222" t="s">
        <v>470</v>
      </c>
      <c r="I222" t="s">
        <v>471</v>
      </c>
      <c r="J222">
        <f>IFERROR(VLOOKUP(Data[[#This Row],[DEVELOPMENT]],[5]!Table1[[DEVELOPMENTS]:[Installation Date of Exterior Compactor]],4,FALSE),0)</f>
        <v>0</v>
      </c>
      <c r="K222" s="20">
        <f>IFERROR(VLOOKUP(Data[[#This Row],[DEVELOPMENT]],[5]!Table1[[DEVELOPMENTS]:[Installation Date of Exterior Compactor]],7,FALSE),0)</f>
        <v>0</v>
      </c>
      <c r="L222" s="42" t="str">
        <f>IF(Data[[#This Row],['# Interior Compactors]]=0,"",VLOOKUP(Data[[#This Row],[DEVELOPMENT]],[5]!Table1[[DEVELOPMENTS]:[Installation Date of Exterior Compactor]],5,FALSE))</f>
        <v/>
      </c>
      <c r="M222" s="43" t="str">
        <f>IF(Data[[#This Row],['# Exterior Compactors]]=0,"",VLOOKUP(Data[[#This Row],[DEVELOPMENT]],[5]!Table1[[DEVELOPMENTS]:[Installation Date of Exterior Compactor]],8,FALSE))</f>
        <v/>
      </c>
      <c r="N222">
        <f>Data[[#This Row],['# Interior Compactors]]</f>
        <v>0</v>
      </c>
      <c r="O222" s="20">
        <f>1</f>
        <v>1</v>
      </c>
      <c r="P222" s="20">
        <f>1</f>
        <v>1</v>
      </c>
      <c r="Q222" s="20">
        <f>1</f>
        <v>1</v>
      </c>
      <c r="R222" s="20">
        <f>1</f>
        <v>1</v>
      </c>
      <c r="S222" s="20">
        <f>1</f>
        <v>1</v>
      </c>
      <c r="T222" s="20">
        <f>Data[[#This Row],[DUs]]</f>
        <v>982</v>
      </c>
      <c r="U22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2" s="101">
        <f>VLOOKUP(Data[[#This Row],[DEVELOPMENT]],'[2]NYCHA_Development_Data_Book 201'!$B$2:$E$324,3,FALSE)</f>
        <v>37</v>
      </c>
      <c r="Y222" s="20"/>
      <c r="Z222" s="20">
        <f>IFERROR(VLOOKUP(Data[[#This Row],[TDS]],'[7]Static Ext by TDS'!$A$5:$E$120,2,FALSE),0)</f>
        <v>3</v>
      </c>
      <c r="AA222" s="20">
        <f>IFERROR(VLOOKUP(Data[[#This Row],[TDS]],'[7]Static Int by TDS'!$A$6:$O$305,2,FALSE),0)</f>
        <v>10</v>
      </c>
      <c r="AB222" s="20"/>
      <c r="AC222" s="20"/>
      <c r="AD222" s="20">
        <f>IFERROR(VLOOKUP(Data[[#This Row],[TDS]],'[7]Static Ext by TDS'!$A$5:$P$120,3,FALSE)+VLOOKUP(Data[[#This Row],[TDS]],'[7]Static Ext by TDS'!$A$5:$P$120,6,FALSE),0)</f>
        <v>3</v>
      </c>
      <c r="AE222" s="20">
        <f>IFERROR(VLOOKUP(Data[[#This Row],[TDS]],'[7]Static Int by TDS'!$A$6:$O$305,3,FALSE)+VLOOKUP(Data[[#This Row],[TDS]],'[7]Static Int by TDS'!$A$6:$O$305,6,FALSE),0)</f>
        <v>10</v>
      </c>
      <c r="AF222" s="20" t="str">
        <f>VLOOKUP(Data[[#This Row],[DEVELOPMENT]],[8]Developments!$A$2:$A$312,1,FALSE)</f>
        <v>RANGEL</v>
      </c>
    </row>
    <row r="223" spans="1:32" x14ac:dyDescent="0.25">
      <c r="A223" t="s">
        <v>293</v>
      </c>
      <c r="B223" s="20" t="str">
        <f>VLOOKUP(Data[[#This Row],[DEVELOPMENT]],'[2]NYCHA_Development_Data_Book 201'!$B$2:$AY$324,40,FALSE)</f>
        <v>QUEENS</v>
      </c>
      <c r="C223" s="20" t="str">
        <f>VLOOKUP(Data[[#This Row],[DEVELOPMENT]],'[3]Cheat-Sheet'!$D$2:$Q$341,2,FALSE)</f>
        <v>RAVENSWOOD</v>
      </c>
      <c r="D223" s="20" t="str">
        <f>IF(VLOOKUP(Data[[#This Row],[DEVELOPMENT]],'[4]IC Categories'!$A$2:$G$325,3,FALSE)=0,"",VLOOKUP(Data[[#This Row],[DEVELOPMENT]],'[4]IC Categories'!$A$2:$G$325,3,FALSE))</f>
        <v/>
      </c>
      <c r="E223" s="20">
        <f>VLOOKUP(Data[[#This Row],[DEVELOPMENT]],'[2]NYCHA_Development_Data_Book 201'!$B$2:$AY$324,21,FALSE)</f>
        <v>31</v>
      </c>
      <c r="F223" s="20">
        <f>VLOOKUP(Data[[#This Row],[DEVELOPMENT]],'[2]NYCHA_Development_Data_Book 201'!$B$2:$AY$324,23,FALSE)</f>
        <v>45</v>
      </c>
      <c r="G223" s="20">
        <f>VLOOKUP(Data[[#This Row],[DEVELOPMENT]],'[2]NYCHA_Development_Data_Book 201'!$B$2:$AY$324,12,FALSE)</f>
        <v>2164</v>
      </c>
      <c r="J223">
        <f>IFERROR(VLOOKUP(Data[[#This Row],[DEVELOPMENT]],[5]!Table1[[DEVELOPMENTS]:[Installation Date of Exterior Compactor]],4,FALSE),0)</f>
        <v>0</v>
      </c>
      <c r="K223" s="20">
        <f>IFERROR(VLOOKUP(Data[[#This Row],[DEVELOPMENT]],[5]!Table1[[DEVELOPMENTS]:[Installation Date of Exterior Compactor]],7,FALSE),0)</f>
        <v>0</v>
      </c>
      <c r="L223" s="42" t="str">
        <f>IF(Data[[#This Row],['# Interior Compactors]]=0,"",VLOOKUP(Data[[#This Row],[DEVELOPMENT]],[5]!Table1[[DEVELOPMENTS]:[Installation Date of Exterior Compactor]],5,FALSE))</f>
        <v/>
      </c>
      <c r="M223" s="43" t="str">
        <f>IF(Data[[#This Row],['# Exterior Compactors]]=0,"",VLOOKUP(Data[[#This Row],[DEVELOPMENT]],[5]!Table1[[DEVELOPMENTS]:[Installation Date of Exterior Compactor]],8,FALSE))</f>
        <v/>
      </c>
      <c r="N223" s="20">
        <f>Data[[#This Row],['# Interior Compactors]]</f>
        <v>0</v>
      </c>
      <c r="O223" s="20">
        <f>1</f>
        <v>1</v>
      </c>
      <c r="P223" s="20">
        <f>1</f>
        <v>1</v>
      </c>
      <c r="Q223" s="20">
        <f>1</f>
        <v>1</v>
      </c>
      <c r="R223" s="20">
        <f>1</f>
        <v>1</v>
      </c>
      <c r="S223" s="20">
        <f>1</f>
        <v>1</v>
      </c>
      <c r="T223" s="20">
        <f>Data[[#This Row],[DUs]]</f>
        <v>2164</v>
      </c>
      <c r="U22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3" s="101">
        <f>VLOOKUP(Data[[#This Row],[DEVELOPMENT]],'[2]NYCHA_Development_Data_Book 201'!$B$2:$E$324,3,FALSE)</f>
        <v>48</v>
      </c>
      <c r="Y223" s="20"/>
      <c r="Z223" s="20">
        <f>IFERROR(VLOOKUP(Data[[#This Row],[TDS]],'[7]Static Ext by TDS'!$A$5:$E$120,2,FALSE),0)</f>
        <v>0</v>
      </c>
      <c r="AA223" s="20">
        <f>IFERROR(VLOOKUP(Data[[#This Row],[TDS]],'[7]Static Int by TDS'!$A$6:$O$305,2,FALSE),0)</f>
        <v>39</v>
      </c>
      <c r="AB223" s="20"/>
      <c r="AC223" s="20"/>
      <c r="AD223" s="20">
        <f>IFERROR(VLOOKUP(Data[[#This Row],[TDS]],'[7]Static Ext by TDS'!$A$5:$P$120,3,FALSE)+VLOOKUP(Data[[#This Row],[TDS]],'[7]Static Ext by TDS'!$A$5:$P$120,6,FALSE),0)</f>
        <v>0</v>
      </c>
      <c r="AE223" s="20">
        <f>IFERROR(VLOOKUP(Data[[#This Row],[TDS]],'[7]Static Int by TDS'!$A$6:$O$305,3,FALSE)+VLOOKUP(Data[[#This Row],[TDS]],'[7]Static Int by TDS'!$A$6:$O$305,6,FALSE),0)</f>
        <v>39</v>
      </c>
      <c r="AF223" s="20" t="str">
        <f>VLOOKUP(Data[[#This Row],[DEVELOPMENT]],[8]Developments!$A$2:$A$312,1,FALSE)</f>
        <v>RAVENSWOOD</v>
      </c>
    </row>
    <row r="224" spans="1:32" x14ac:dyDescent="0.25">
      <c r="A224" t="s">
        <v>294</v>
      </c>
      <c r="B224" s="20" t="str">
        <f>VLOOKUP(Data[[#This Row],[DEVELOPMENT]],'[2]NYCHA_Development_Data_Book 201'!$B$2:$AY$324,40,FALSE)</f>
        <v>BROOKLYN</v>
      </c>
      <c r="C224" s="20" t="str">
        <f>VLOOKUP(Data[[#This Row],[DEVELOPMENT]],'[3]Cheat-Sheet'!$D$2:$Q$341,2,FALSE)</f>
        <v>RED HOOK EAST</v>
      </c>
      <c r="D224" s="20">
        <f>IF(VLOOKUP(Data[[#This Row],[DEVELOPMENT]],'[4]IC Categories'!$A$2:$G$325,3,FALSE)=0,"",VLOOKUP(Data[[#This Row],[DEVELOPMENT]],'[4]IC Categories'!$A$2:$G$325,3,FALSE))</f>
        <v>2024</v>
      </c>
      <c r="E224" s="20">
        <f>VLOOKUP(Data[[#This Row],[DEVELOPMENT]],'[2]NYCHA_Development_Data_Book 201'!$B$2:$AY$324,21,FALSE)</f>
        <v>16</v>
      </c>
      <c r="F224" s="20">
        <f>VLOOKUP(Data[[#This Row],[DEVELOPMENT]],'[2]NYCHA_Development_Data_Book 201'!$B$2:$AY$324,23,FALSE)</f>
        <v>51</v>
      </c>
      <c r="G224" s="20">
        <f>VLOOKUP(Data[[#This Row],[DEVELOPMENT]],'[2]NYCHA_Development_Data_Book 201'!$B$2:$AY$324,12,FALSE)</f>
        <v>1404</v>
      </c>
      <c r="J224">
        <f>IFERROR(VLOOKUP(Data[[#This Row],[DEVELOPMENT]],[5]!Table1[[DEVELOPMENTS]:[Installation Date of Exterior Compactor]],4,FALSE),0)</f>
        <v>0</v>
      </c>
      <c r="K224" s="20">
        <f>IFERROR(VLOOKUP(Data[[#This Row],[DEVELOPMENT]],[5]!Table1[[DEVELOPMENTS]:[Installation Date of Exterior Compactor]],7,FALSE),0)</f>
        <v>0</v>
      </c>
      <c r="L224" s="42" t="str">
        <f>IF(Data[[#This Row],['# Interior Compactors]]=0,"",VLOOKUP(Data[[#This Row],[DEVELOPMENT]],[5]!Table1[[DEVELOPMENTS]:[Installation Date of Exterior Compactor]],5,FALSE))</f>
        <v/>
      </c>
      <c r="M224" s="43" t="str">
        <f>IF(Data[[#This Row],['# Exterior Compactors]]=0,"",VLOOKUP(Data[[#This Row],[DEVELOPMENT]],[5]!Table1[[DEVELOPMENTS]:[Installation Date of Exterior Compactor]],8,FALSE))</f>
        <v/>
      </c>
      <c r="N224" s="20">
        <f>Data[[#This Row],['# Interior Compactors]]</f>
        <v>0</v>
      </c>
      <c r="O224" s="20">
        <f>1</f>
        <v>1</v>
      </c>
      <c r="P224" s="20">
        <f>1</f>
        <v>1</v>
      </c>
      <c r="Q224" s="20">
        <f>1</f>
        <v>1</v>
      </c>
      <c r="R224" s="20">
        <f>1</f>
        <v>1</v>
      </c>
      <c r="S224" s="20">
        <f>1</f>
        <v>1</v>
      </c>
      <c r="T224" s="20">
        <f>Data[[#This Row],[DUs]]</f>
        <v>1404</v>
      </c>
      <c r="U22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4" s="101">
        <f>VLOOKUP(Data[[#This Row],[DEVELOPMENT]],'[2]NYCHA_Development_Data_Book 201'!$B$2:$E$324,3,FALSE)</f>
        <v>4</v>
      </c>
      <c r="Y224" s="20"/>
      <c r="Z224" s="20">
        <f>IFERROR(VLOOKUP(Data[[#This Row],[TDS]],'[7]Static Ext by TDS'!$A$5:$E$120,2,FALSE),0)</f>
        <v>0</v>
      </c>
      <c r="AA224" s="20">
        <f>IFERROR(VLOOKUP(Data[[#This Row],[TDS]],'[7]Static Int by TDS'!$A$6:$O$305,2,FALSE),0)</f>
        <v>47</v>
      </c>
      <c r="AB224" s="20"/>
      <c r="AC224" s="20"/>
      <c r="AD224" s="20">
        <f>IFERROR(VLOOKUP(Data[[#This Row],[TDS]],'[7]Static Ext by TDS'!$A$5:$P$120,3,FALSE)+VLOOKUP(Data[[#This Row],[TDS]],'[7]Static Ext by TDS'!$A$5:$P$120,6,FALSE),0)</f>
        <v>0</v>
      </c>
      <c r="AE224" s="20">
        <f>IFERROR(VLOOKUP(Data[[#This Row],[TDS]],'[7]Static Int by TDS'!$A$6:$O$305,3,FALSE)+VLOOKUP(Data[[#This Row],[TDS]],'[7]Static Int by TDS'!$A$6:$O$305,6,FALSE),0)</f>
        <v>47</v>
      </c>
      <c r="AF224" s="20" t="str">
        <f>VLOOKUP(Data[[#This Row],[DEVELOPMENT]],[8]Developments!$A$2:$A$312,1,FALSE)</f>
        <v>RED HOOK EAST</v>
      </c>
    </row>
    <row r="225" spans="1:32" x14ac:dyDescent="0.25">
      <c r="A225" t="s">
        <v>295</v>
      </c>
      <c r="B225" s="20" t="str">
        <f>VLOOKUP(Data[[#This Row],[DEVELOPMENT]],'[2]NYCHA_Development_Data_Book 201'!$B$2:$AY$324,40,FALSE)</f>
        <v>BROOKLYN</v>
      </c>
      <c r="C225" s="20" t="str">
        <f>VLOOKUP(Data[[#This Row],[DEVELOPMENT]],'[3]Cheat-Sheet'!$D$2:$Q$341,2,FALSE)</f>
        <v>RED HOOK WEST</v>
      </c>
      <c r="D225" s="20">
        <f>IF(VLOOKUP(Data[[#This Row],[DEVELOPMENT]],'[4]IC Categories'!$A$2:$G$325,3,FALSE)=0,"",VLOOKUP(Data[[#This Row],[DEVELOPMENT]],'[4]IC Categories'!$A$2:$G$325,3,FALSE))</f>
        <v>2025</v>
      </c>
      <c r="E225" s="20">
        <f>VLOOKUP(Data[[#This Row],[DEVELOPMENT]],'[2]NYCHA_Development_Data_Book 201'!$B$2:$AY$324,21,FALSE)</f>
        <v>14</v>
      </c>
      <c r="F225" s="20">
        <f>VLOOKUP(Data[[#This Row],[DEVELOPMENT]],'[2]NYCHA_Development_Data_Book 201'!$B$2:$AY$324,23,FALSE)</f>
        <v>50</v>
      </c>
      <c r="G225" s="20">
        <f>VLOOKUP(Data[[#This Row],[DEVELOPMENT]],'[2]NYCHA_Development_Data_Book 201'!$B$2:$AY$324,12,FALSE)</f>
        <v>1471</v>
      </c>
      <c r="J225">
        <f>IFERROR(VLOOKUP(Data[[#This Row],[DEVELOPMENT]],[5]!Table1[[DEVELOPMENTS]:[Installation Date of Exterior Compactor]],4,FALSE),0)</f>
        <v>0</v>
      </c>
      <c r="K225" s="20">
        <f>IFERROR(VLOOKUP(Data[[#This Row],[DEVELOPMENT]],[5]!Table1[[DEVELOPMENTS]:[Installation Date of Exterior Compactor]],7,FALSE),0)</f>
        <v>0</v>
      </c>
      <c r="L225" s="42" t="str">
        <f>IF(Data[[#This Row],['# Interior Compactors]]=0,"",VLOOKUP(Data[[#This Row],[DEVELOPMENT]],[5]!Table1[[DEVELOPMENTS]:[Installation Date of Exterior Compactor]],5,FALSE))</f>
        <v/>
      </c>
      <c r="M225" s="43" t="str">
        <f>IF(Data[[#This Row],['# Exterior Compactors]]=0,"",VLOOKUP(Data[[#This Row],[DEVELOPMENT]],[5]!Table1[[DEVELOPMENTS]:[Installation Date of Exterior Compactor]],8,FALSE))</f>
        <v/>
      </c>
      <c r="N225" s="20">
        <f>Data[[#This Row],['# Interior Compactors]]</f>
        <v>0</v>
      </c>
      <c r="O225" s="20">
        <f>1</f>
        <v>1</v>
      </c>
      <c r="P225" s="20">
        <f>1</f>
        <v>1</v>
      </c>
      <c r="Q225" s="20">
        <f>1</f>
        <v>1</v>
      </c>
      <c r="R225" s="20">
        <f>1</f>
        <v>1</v>
      </c>
      <c r="S225" s="20">
        <f>1</f>
        <v>1</v>
      </c>
      <c r="T225" s="20">
        <f>Data[[#This Row],[DUs]]</f>
        <v>1471</v>
      </c>
      <c r="U22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5" s="101">
        <f>VLOOKUP(Data[[#This Row],[DEVELOPMENT]],'[2]NYCHA_Development_Data_Book 201'!$B$2:$E$324,3,FALSE)</f>
        <v>79</v>
      </c>
      <c r="Y225" s="20"/>
      <c r="Z225" s="20">
        <f>IFERROR(VLOOKUP(Data[[#This Row],[TDS]],'[7]Static Ext by TDS'!$A$5:$E$120,2,FALSE),0)</f>
        <v>2</v>
      </c>
      <c r="AA225" s="20">
        <f>IFERROR(VLOOKUP(Data[[#This Row],[TDS]],'[7]Static Int by TDS'!$A$6:$O$305,2,FALSE),0)</f>
        <v>43</v>
      </c>
      <c r="AB225" s="20"/>
      <c r="AC225" s="20"/>
      <c r="AD225" s="20">
        <f>IFERROR(VLOOKUP(Data[[#This Row],[TDS]],'[7]Static Ext by TDS'!$A$5:$P$120,3,FALSE)+VLOOKUP(Data[[#This Row],[TDS]],'[7]Static Ext by TDS'!$A$5:$P$120,6,FALSE),0)</f>
        <v>2</v>
      </c>
      <c r="AE225" s="20">
        <f>IFERROR(VLOOKUP(Data[[#This Row],[TDS]],'[7]Static Int by TDS'!$A$6:$O$305,3,FALSE)+VLOOKUP(Data[[#This Row],[TDS]],'[7]Static Int by TDS'!$A$6:$O$305,6,FALSE),0)</f>
        <v>43</v>
      </c>
      <c r="AF225" s="20" t="str">
        <f>VLOOKUP(Data[[#This Row],[DEVELOPMENT]],[8]Developments!$A$2:$A$312,1,FALSE)</f>
        <v>RED HOOK WEST</v>
      </c>
    </row>
    <row r="226" spans="1:32" x14ac:dyDescent="0.25">
      <c r="A226" t="s">
        <v>296</v>
      </c>
      <c r="B226" s="20" t="str">
        <f>VLOOKUP(Data[[#This Row],[DEVELOPMENT]],'[2]NYCHA_Development_Data_Book 201'!$B$2:$AY$324,40,FALSE)</f>
        <v>QUEENS</v>
      </c>
      <c r="C226" s="20" t="str">
        <f>VLOOKUP(Data[[#This Row],[DEVELOPMENT]],'[3]Cheat-Sheet'!$D$2:$Q$341,2,FALSE)</f>
        <v>REDFERN</v>
      </c>
      <c r="D226" s="20">
        <f>IF(VLOOKUP(Data[[#This Row],[DEVELOPMENT]],'[4]IC Categories'!$A$2:$G$325,3,FALSE)=0,"",VLOOKUP(Data[[#This Row],[DEVELOPMENT]],'[4]IC Categories'!$A$2:$G$325,3,FALSE))</f>
        <v>2022</v>
      </c>
      <c r="E226" s="20">
        <f>VLOOKUP(Data[[#This Row],[DEVELOPMENT]],'[2]NYCHA_Development_Data_Book 201'!$B$2:$AY$324,21,FALSE)</f>
        <v>9</v>
      </c>
      <c r="F226" s="20">
        <f>VLOOKUP(Data[[#This Row],[DEVELOPMENT]],'[2]NYCHA_Development_Data_Book 201'!$B$2:$AY$324,23,FALSE)</f>
        <v>16</v>
      </c>
      <c r="G226" s="20">
        <f>VLOOKUP(Data[[#This Row],[DEVELOPMENT]],'[2]NYCHA_Development_Data_Book 201'!$B$2:$AY$324,12,FALSE)</f>
        <v>599</v>
      </c>
      <c r="J226">
        <f>IFERROR(VLOOKUP(Data[[#This Row],[DEVELOPMENT]],[5]!Table1[[DEVELOPMENTS]:[Installation Date of Exterior Compactor]],4,FALSE),0)</f>
        <v>0</v>
      </c>
      <c r="K226" s="20">
        <f>IFERROR(VLOOKUP(Data[[#This Row],[DEVELOPMENT]],[5]!Table1[[DEVELOPMENTS]:[Installation Date of Exterior Compactor]],7,FALSE),0)</f>
        <v>0</v>
      </c>
      <c r="L226" s="42" t="str">
        <f>IF(Data[[#This Row],['# Interior Compactors]]=0,"",VLOOKUP(Data[[#This Row],[DEVELOPMENT]],[5]!Table1[[DEVELOPMENTS]:[Installation Date of Exterior Compactor]],5,FALSE))</f>
        <v/>
      </c>
      <c r="M226" s="43" t="str">
        <f>IF(Data[[#This Row],['# Exterior Compactors]]=0,"",VLOOKUP(Data[[#This Row],[DEVELOPMENT]],[5]!Table1[[DEVELOPMENTS]:[Installation Date of Exterior Compactor]],8,FALSE))</f>
        <v/>
      </c>
      <c r="N226" s="20">
        <f>Data[[#This Row],['# Interior Compactors]]</f>
        <v>0</v>
      </c>
      <c r="O226" s="20">
        <f>1</f>
        <v>1</v>
      </c>
      <c r="P226" s="20">
        <f>1</f>
        <v>1</v>
      </c>
      <c r="Q226" s="20">
        <f>1</f>
        <v>1</v>
      </c>
      <c r="R226" s="20">
        <f>1</f>
        <v>1</v>
      </c>
      <c r="S226" s="20">
        <f>1</f>
        <v>1</v>
      </c>
      <c r="T226" s="20">
        <f>Data[[#This Row],[DUs]]</f>
        <v>599</v>
      </c>
      <c r="U22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6" s="101">
        <f>VLOOKUP(Data[[#This Row],[DEVELOPMENT]],'[2]NYCHA_Development_Data_Book 201'!$B$2:$E$324,3,FALSE)</f>
        <v>55</v>
      </c>
      <c r="Y226" s="20"/>
      <c r="Z226" s="20">
        <f>IFERROR(VLOOKUP(Data[[#This Row],[TDS]],'[7]Static Ext by TDS'!$A$5:$E$120,2,FALSE),0)</f>
        <v>0</v>
      </c>
      <c r="AA226" s="20">
        <f>IFERROR(VLOOKUP(Data[[#This Row],[TDS]],'[7]Static Int by TDS'!$A$6:$O$305,2,FALSE),0)</f>
        <v>16</v>
      </c>
      <c r="AB226" s="20"/>
      <c r="AC226" s="20"/>
      <c r="AD226" s="20">
        <f>IFERROR(VLOOKUP(Data[[#This Row],[TDS]],'[7]Static Ext by TDS'!$A$5:$P$120,3,FALSE)+VLOOKUP(Data[[#This Row],[TDS]],'[7]Static Ext by TDS'!$A$5:$P$120,6,FALSE),0)</f>
        <v>0</v>
      </c>
      <c r="AE226" s="20">
        <f>IFERROR(VLOOKUP(Data[[#This Row],[TDS]],'[7]Static Int by TDS'!$A$6:$O$305,3,FALSE)+VLOOKUP(Data[[#This Row],[TDS]],'[7]Static Int by TDS'!$A$6:$O$305,6,FALSE),0)</f>
        <v>16</v>
      </c>
      <c r="AF226" s="20" t="str">
        <f>VLOOKUP(Data[[#This Row],[DEVELOPMENT]],[8]Developments!$A$2:$A$312,1,FALSE)</f>
        <v>REDFERN</v>
      </c>
    </row>
    <row r="227" spans="1:32" x14ac:dyDescent="0.25">
      <c r="A227" t="s">
        <v>297</v>
      </c>
      <c r="B227" s="20" t="str">
        <f>VLOOKUP(Data[[#This Row],[DEVELOPMENT]],'[2]NYCHA_Development_Data_Book 201'!$B$2:$AY$324,40,FALSE)</f>
        <v>QUEENS</v>
      </c>
      <c r="C227" s="20" t="str">
        <f>VLOOKUP(Data[[#This Row],[DEVELOPMENT]],'[3]Cheat-Sheet'!$D$2:$Q$341,2,FALSE)</f>
        <v>LATIMER GARDENS</v>
      </c>
      <c r="D227" s="20" t="str">
        <f>IF(VLOOKUP(Data[[#This Row],[DEVELOPMENT]],'[4]IC Categories'!$A$2:$G$325,3,FALSE)=0,"",VLOOKUP(Data[[#This Row],[DEVELOPMENT]],'[4]IC Categories'!$A$2:$G$325,3,FALSE))</f>
        <v/>
      </c>
      <c r="E227" s="20">
        <f>VLOOKUP(Data[[#This Row],[DEVELOPMENT]],'[2]NYCHA_Development_Data_Book 201'!$B$2:$AY$324,21,FALSE)</f>
        <v>1</v>
      </c>
      <c r="F227" s="20">
        <f>VLOOKUP(Data[[#This Row],[DEVELOPMENT]],'[2]NYCHA_Development_Data_Book 201'!$B$2:$AY$324,23,FALSE)</f>
        <v>1</v>
      </c>
      <c r="G227" s="20">
        <f>VLOOKUP(Data[[#This Row],[DEVELOPMENT]],'[2]NYCHA_Development_Data_Book 201'!$B$2:$AY$324,12,FALSE)</f>
        <v>13</v>
      </c>
      <c r="J227">
        <f>IFERROR(VLOOKUP(Data[[#This Row],[DEVELOPMENT]],[5]!Table1[[DEVELOPMENTS]:[Installation Date of Exterior Compactor]],4,FALSE),0)</f>
        <v>0</v>
      </c>
      <c r="K227" s="20">
        <f>IFERROR(VLOOKUP(Data[[#This Row],[DEVELOPMENT]],[5]!Table1[[DEVELOPMENTS]:[Installation Date of Exterior Compactor]],7,FALSE),0)</f>
        <v>0</v>
      </c>
      <c r="L227" s="42" t="str">
        <f>IF(Data[[#This Row],['# Interior Compactors]]=0,"",VLOOKUP(Data[[#This Row],[DEVELOPMENT]],[5]!Table1[[DEVELOPMENTS]:[Installation Date of Exterior Compactor]],5,FALSE))</f>
        <v/>
      </c>
      <c r="M227" s="43" t="str">
        <f>IF(Data[[#This Row],['# Exterior Compactors]]=0,"",VLOOKUP(Data[[#This Row],[DEVELOPMENT]],[5]!Table1[[DEVELOPMENTS]:[Installation Date of Exterior Compactor]],8,FALSE))</f>
        <v/>
      </c>
      <c r="N227" s="20">
        <f>Data[[#This Row],['# Interior Compactors]]</f>
        <v>0</v>
      </c>
      <c r="O227" s="20">
        <f>1</f>
        <v>1</v>
      </c>
      <c r="P227" s="20">
        <f>1</f>
        <v>1</v>
      </c>
      <c r="Q227" s="20">
        <f>1</f>
        <v>1</v>
      </c>
      <c r="R227" s="20">
        <f>1</f>
        <v>1</v>
      </c>
      <c r="S227" s="20">
        <f>1</f>
        <v>1</v>
      </c>
      <c r="T227" s="20">
        <f>Data[[#This Row],[DUs]]</f>
        <v>13</v>
      </c>
      <c r="U22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7" s="101">
        <f>VLOOKUP(Data[[#This Row],[DEVELOPMENT]],'[2]NYCHA_Development_Data_Book 201'!$B$2:$E$324,3,FALSE)</f>
        <v>143</v>
      </c>
      <c r="Y227" s="20"/>
      <c r="Z227" s="20">
        <f>IFERROR(VLOOKUP(Data[[#This Row],[TDS]],'[7]Static Ext by TDS'!$A$5:$E$120,2,FALSE),0)</f>
        <v>0</v>
      </c>
      <c r="AA227" s="20">
        <f>IFERROR(VLOOKUP(Data[[#This Row],[TDS]],'[7]Static Int by TDS'!$A$6:$O$305,2,FALSE),0)</f>
        <v>0</v>
      </c>
      <c r="AB227" s="20"/>
      <c r="AC227" s="20"/>
      <c r="AD227" s="20">
        <f>IFERROR(VLOOKUP(Data[[#This Row],[TDS]],'[7]Static Ext by TDS'!$A$5:$P$120,3,FALSE)+VLOOKUP(Data[[#This Row],[TDS]],'[7]Static Ext by TDS'!$A$5:$P$120,6,FALSE),0)</f>
        <v>0</v>
      </c>
      <c r="AE227" s="20">
        <f>IFERROR(VLOOKUP(Data[[#This Row],[TDS]],'[7]Static Int by TDS'!$A$6:$O$305,3,FALSE)+VLOOKUP(Data[[#This Row],[TDS]],'[7]Static Int by TDS'!$A$6:$O$305,6,FALSE),0)</f>
        <v>0</v>
      </c>
      <c r="AF227" s="20" t="str">
        <f>VLOOKUP(Data[[#This Row],[DEVELOPMENT]],[8]Developments!$A$2:$A$312,1,FALSE)</f>
        <v>REHAB PROGRAM (COLLEGE POINT)</v>
      </c>
    </row>
    <row r="228" spans="1:32" x14ac:dyDescent="0.25">
      <c r="A228" t="s">
        <v>298</v>
      </c>
      <c r="B228" s="20" t="str">
        <f>VLOOKUP(Data[[#This Row],[DEVELOPMENT]],'[2]NYCHA_Development_Data_Book 201'!$B$2:$AY$324,40,FALSE)</f>
        <v>MANHATTAN</v>
      </c>
      <c r="C228" s="20" t="str">
        <f>VLOOKUP(Data[[#This Row],[DEVELOPMENT]],'[3]Cheat-Sheet'!$D$2:$Q$341,2,FALSE)</f>
        <v>KRAUS MANAGEMENT (PRIVATE - M/B 1)</v>
      </c>
      <c r="D228" s="20" t="str">
        <f>IF(VLOOKUP(Data[[#This Row],[DEVELOPMENT]],'[4]IC Categories'!$A$2:$G$325,3,FALSE)=0,"",VLOOKUP(Data[[#This Row],[DEVELOPMENT]],'[4]IC Categories'!$A$2:$G$325,3,FALSE))</f>
        <v/>
      </c>
      <c r="E228" s="20">
        <f>VLOOKUP(Data[[#This Row],[DEVELOPMENT]],'[2]NYCHA_Development_Data_Book 201'!$B$2:$AY$324,21,FALSE)</f>
        <v>4</v>
      </c>
      <c r="F228" s="20">
        <f>VLOOKUP(Data[[#This Row],[DEVELOPMENT]],'[2]NYCHA_Development_Data_Book 201'!$B$2:$AY$324,23,FALSE)</f>
        <v>9</v>
      </c>
      <c r="G228" s="20">
        <f>VLOOKUP(Data[[#This Row],[DEVELOPMENT]],'[2]NYCHA_Development_Data_Book 201'!$B$2:$AY$324,12,FALSE)</f>
        <v>112</v>
      </c>
      <c r="J228">
        <f>IFERROR(VLOOKUP(Data[[#This Row],[DEVELOPMENT]],[5]!Table1[[DEVELOPMENTS]:[Installation Date of Exterior Compactor]],4,FALSE),0)</f>
        <v>0</v>
      </c>
      <c r="K228" s="20">
        <f>IFERROR(VLOOKUP(Data[[#This Row],[DEVELOPMENT]],[5]!Table1[[DEVELOPMENTS]:[Installation Date of Exterior Compactor]],7,FALSE),0)</f>
        <v>0</v>
      </c>
      <c r="L228" s="42" t="str">
        <f>IF(Data[[#This Row],['# Interior Compactors]]=0,"",VLOOKUP(Data[[#This Row],[DEVELOPMENT]],[5]!Table1[[DEVELOPMENTS]:[Installation Date of Exterior Compactor]],5,FALSE))</f>
        <v/>
      </c>
      <c r="M228" s="43" t="str">
        <f>IF(Data[[#This Row],['# Exterior Compactors]]=0,"",VLOOKUP(Data[[#This Row],[DEVELOPMENT]],[5]!Table1[[DEVELOPMENTS]:[Installation Date of Exterior Compactor]],8,FALSE))</f>
        <v/>
      </c>
      <c r="N228" s="20">
        <f>Data[[#This Row],['# Interior Compactors]]</f>
        <v>0</v>
      </c>
      <c r="O228" s="20">
        <f>1</f>
        <v>1</v>
      </c>
      <c r="P228" s="20">
        <f>1</f>
        <v>1</v>
      </c>
      <c r="Q228" s="20">
        <f>1</f>
        <v>1</v>
      </c>
      <c r="R228" s="20">
        <f>1</f>
        <v>1</v>
      </c>
      <c r="S228" s="20">
        <f>1</f>
        <v>1</v>
      </c>
      <c r="T228" s="20">
        <f>Data[[#This Row],[DUs]]</f>
        <v>112</v>
      </c>
      <c r="U22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8" s="101">
        <f>VLOOKUP(Data[[#This Row],[DEVELOPMENT]],'[2]NYCHA_Development_Data_Book 201'!$B$2:$E$324,3,FALSE)</f>
        <v>515</v>
      </c>
      <c r="Y228" s="20"/>
      <c r="Z228" s="20">
        <f>IFERROR(VLOOKUP(Data[[#This Row],[TDS]],'[7]Static Ext by TDS'!$A$5:$E$120,2,FALSE),0)</f>
        <v>0</v>
      </c>
      <c r="AA228" s="20">
        <f>IFERROR(VLOOKUP(Data[[#This Row],[TDS]],'[7]Static Int by TDS'!$A$6:$O$305,2,FALSE),0)</f>
        <v>3</v>
      </c>
      <c r="AB228" s="20"/>
      <c r="AC228" s="20"/>
      <c r="AD228" s="20">
        <f>IFERROR(VLOOKUP(Data[[#This Row],[TDS]],'[7]Static Ext by TDS'!$A$5:$P$120,3,FALSE)+VLOOKUP(Data[[#This Row],[TDS]],'[7]Static Ext by TDS'!$A$5:$P$120,6,FALSE),0)</f>
        <v>0</v>
      </c>
      <c r="AE228" s="20">
        <f>IFERROR(VLOOKUP(Data[[#This Row],[TDS]],'[7]Static Int by TDS'!$A$6:$O$305,3,FALSE)+VLOOKUP(Data[[#This Row],[TDS]],'[7]Static Int by TDS'!$A$6:$O$305,6,FALSE),0)</f>
        <v>3</v>
      </c>
      <c r="AF228" s="20" t="str">
        <f>VLOOKUP(Data[[#This Row],[DEVELOPMENT]],[8]Developments!$A$2:$A$312,1,FALSE)</f>
        <v>REHAB PROGRAM (DOUGLASS REHABS)</v>
      </c>
    </row>
    <row r="229" spans="1:32" x14ac:dyDescent="0.25">
      <c r="A229" t="s">
        <v>299</v>
      </c>
      <c r="B229" s="20" t="str">
        <f>VLOOKUP(Data[[#This Row],[DEVELOPMENT]],'[2]NYCHA_Development_Data_Book 201'!$B$2:$AY$324,40,FALSE)</f>
        <v>MANHATTAN</v>
      </c>
      <c r="C229" s="20" t="str">
        <f>VLOOKUP(Data[[#This Row],[DEVELOPMENT]],'[3]Cheat-Sheet'!$D$2:$Q$341,2,FALSE)</f>
        <v>KRAUS MANAGEMENT (PRIVATE - M/B 1)</v>
      </c>
      <c r="D229" s="20" t="str">
        <f>IF(VLOOKUP(Data[[#This Row],[DEVELOPMENT]],'[4]IC Categories'!$A$2:$G$325,3,FALSE)=0,"",VLOOKUP(Data[[#This Row],[DEVELOPMENT]],'[4]IC Categories'!$A$2:$G$325,3,FALSE))</f>
        <v/>
      </c>
      <c r="E229" s="20">
        <f>VLOOKUP(Data[[#This Row],[DEVELOPMENT]],'[2]NYCHA_Development_Data_Book 201'!$B$2:$AY$324,21,FALSE)</f>
        <v>4</v>
      </c>
      <c r="F229" s="20">
        <f>VLOOKUP(Data[[#This Row],[DEVELOPMENT]],'[2]NYCHA_Development_Data_Book 201'!$B$2:$AY$324,23,FALSE)</f>
        <v>4</v>
      </c>
      <c r="G229" s="20">
        <f>VLOOKUP(Data[[#This Row],[DEVELOPMENT]],'[2]NYCHA_Development_Data_Book 201'!$B$2:$AY$324,12,FALSE)</f>
        <v>156</v>
      </c>
      <c r="J229">
        <f>IFERROR(VLOOKUP(Data[[#This Row],[DEVELOPMENT]],[5]!Table1[[DEVELOPMENTS]:[Installation Date of Exterior Compactor]],4,FALSE),0)</f>
        <v>0</v>
      </c>
      <c r="K229" s="20">
        <f>IFERROR(VLOOKUP(Data[[#This Row],[DEVELOPMENT]],[5]!Table1[[DEVELOPMENTS]:[Installation Date of Exterior Compactor]],7,FALSE),0)</f>
        <v>0</v>
      </c>
      <c r="L229" s="42" t="str">
        <f>IF(Data[[#This Row],['# Interior Compactors]]=0,"",VLOOKUP(Data[[#This Row],[DEVELOPMENT]],[5]!Table1[[DEVELOPMENTS]:[Installation Date of Exterior Compactor]],5,FALSE))</f>
        <v/>
      </c>
      <c r="M229" s="43" t="str">
        <f>IF(Data[[#This Row],['# Exterior Compactors]]=0,"",VLOOKUP(Data[[#This Row],[DEVELOPMENT]],[5]!Table1[[DEVELOPMENTS]:[Installation Date of Exterior Compactor]],8,FALSE))</f>
        <v/>
      </c>
      <c r="N229">
        <f>Data[[#This Row],['# Interior Compactors]]</f>
        <v>0</v>
      </c>
      <c r="O229" s="20">
        <f>1</f>
        <v>1</v>
      </c>
      <c r="P229" s="20">
        <f>1</f>
        <v>1</v>
      </c>
      <c r="Q229" s="20">
        <f>1</f>
        <v>1</v>
      </c>
      <c r="R229" s="20">
        <f>1</f>
        <v>1</v>
      </c>
      <c r="S229" s="20">
        <f>1</f>
        <v>1</v>
      </c>
      <c r="T229" s="20">
        <f>Data[[#This Row],[DUs]]</f>
        <v>156</v>
      </c>
      <c r="U22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2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2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29" s="101">
        <f>VLOOKUP(Data[[#This Row],[DEVELOPMENT]],'[2]NYCHA_Development_Data_Book 201'!$B$2:$E$324,3,FALSE)</f>
        <v>516</v>
      </c>
      <c r="Y229" s="20"/>
      <c r="Z229" s="20">
        <f>IFERROR(VLOOKUP(Data[[#This Row],[TDS]],'[7]Static Ext by TDS'!$A$5:$E$120,2,FALSE),0)</f>
        <v>0</v>
      </c>
      <c r="AA229" s="20">
        <f>IFERROR(VLOOKUP(Data[[#This Row],[TDS]],'[7]Static Int by TDS'!$A$6:$O$305,2,FALSE),0)</f>
        <v>4</v>
      </c>
      <c r="AB229" s="20"/>
      <c r="AC229" s="20"/>
      <c r="AD229" s="20">
        <f>IFERROR(VLOOKUP(Data[[#This Row],[TDS]],'[7]Static Ext by TDS'!$A$5:$P$120,3,FALSE)+VLOOKUP(Data[[#This Row],[TDS]],'[7]Static Ext by TDS'!$A$5:$P$120,6,FALSE),0)</f>
        <v>0</v>
      </c>
      <c r="AE229" s="20">
        <f>IFERROR(VLOOKUP(Data[[#This Row],[TDS]],'[7]Static Int by TDS'!$A$6:$O$305,3,FALSE)+VLOOKUP(Data[[#This Row],[TDS]],'[7]Static Int by TDS'!$A$6:$O$305,6,FALSE),0)</f>
        <v>4</v>
      </c>
      <c r="AF229" s="20" t="str">
        <f>VLOOKUP(Data[[#This Row],[DEVELOPMENT]],[8]Developments!$A$2:$A$312,1,FALSE)</f>
        <v>REHAB PROGRAM (TAFT REHABS)</v>
      </c>
    </row>
    <row r="230" spans="1:32" x14ac:dyDescent="0.25">
      <c r="A230" t="s">
        <v>300</v>
      </c>
      <c r="B230" s="20" t="str">
        <f>VLOOKUP(Data[[#This Row],[DEVELOPMENT]],'[2]NYCHA_Development_Data_Book 201'!$B$2:$AY$324,40,FALSE)</f>
        <v>MANHATTAN</v>
      </c>
      <c r="C230" s="20" t="str">
        <f>VLOOKUP(Data[[#This Row],[DEVELOPMENT]],'[3]Cheat-Sheet'!$D$2:$Q$341,2,FALSE)</f>
        <v>WISE TOWERS</v>
      </c>
      <c r="D230" s="20" t="str">
        <f>IF(VLOOKUP(Data[[#This Row],[DEVELOPMENT]],'[4]IC Categories'!$A$2:$G$325,3,FALSE)=0,"",VLOOKUP(Data[[#This Row],[DEVELOPMENT]],'[4]IC Categories'!$A$2:$G$325,3,FALSE))</f>
        <v/>
      </c>
      <c r="E230" s="20">
        <f>VLOOKUP(Data[[#This Row],[DEVELOPMENT]],'[2]NYCHA_Development_Data_Book 201'!$B$2:$AY$324,21,FALSE)</f>
        <v>1</v>
      </c>
      <c r="F230" s="20">
        <f>VLOOKUP(Data[[#This Row],[DEVELOPMENT]],'[2]NYCHA_Development_Data_Book 201'!$B$2:$AY$324,23,FALSE)</f>
        <v>1</v>
      </c>
      <c r="G230" s="20">
        <f>VLOOKUP(Data[[#This Row],[DEVELOPMENT]],'[2]NYCHA_Development_Data_Book 201'!$B$2:$AY$324,12,FALSE)</f>
        <v>40</v>
      </c>
      <c r="H230" t="s">
        <v>476</v>
      </c>
      <c r="J230">
        <f>IFERROR(VLOOKUP(Data[[#This Row],[DEVELOPMENT]],[5]!Table1[[DEVELOPMENTS]:[Installation Date of Exterior Compactor]],4,FALSE),0)</f>
        <v>0</v>
      </c>
      <c r="K230" s="20">
        <f>IFERROR(VLOOKUP(Data[[#This Row],[DEVELOPMENT]],[5]!Table1[[DEVELOPMENTS]:[Installation Date of Exterior Compactor]],7,FALSE),0)</f>
        <v>0</v>
      </c>
      <c r="L230" s="42" t="str">
        <f>IF(Data[[#This Row],['# Interior Compactors]]=0,"",VLOOKUP(Data[[#This Row],[DEVELOPMENT]],[5]!Table1[[DEVELOPMENTS]:[Installation Date of Exterior Compactor]],5,FALSE))</f>
        <v/>
      </c>
      <c r="M230" s="43" t="str">
        <f>IF(Data[[#This Row],['# Exterior Compactors]]=0,"",VLOOKUP(Data[[#This Row],[DEVELOPMENT]],[5]!Table1[[DEVELOPMENTS]:[Installation Date of Exterior Compactor]],8,FALSE))</f>
        <v/>
      </c>
      <c r="N230" s="20">
        <f>Data[[#This Row],['# Interior Compactors]]</f>
        <v>0</v>
      </c>
      <c r="O230" s="20">
        <f>1</f>
        <v>1</v>
      </c>
      <c r="P230" s="20">
        <f>1</f>
        <v>1</v>
      </c>
      <c r="Q230" s="20">
        <f>1</f>
        <v>1</v>
      </c>
      <c r="R230" s="20">
        <f>1</f>
        <v>1</v>
      </c>
      <c r="S230" s="20">
        <f>1</f>
        <v>1</v>
      </c>
      <c r="T230" s="20">
        <f>Data[[#This Row],[DUs]]</f>
        <v>40</v>
      </c>
      <c r="U23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0" s="101">
        <f>VLOOKUP(Data[[#This Row],[DEVELOPMENT]],'[2]NYCHA_Development_Data_Book 201'!$B$2:$E$324,3,FALSE)</f>
        <v>517</v>
      </c>
      <c r="Y230" s="20"/>
      <c r="Z230" s="20">
        <f>IFERROR(VLOOKUP(Data[[#This Row],[TDS]],'[7]Static Ext by TDS'!$A$5:$E$120,2,FALSE),0)</f>
        <v>0</v>
      </c>
      <c r="AA230" s="20">
        <f>IFERROR(VLOOKUP(Data[[#This Row],[TDS]],'[7]Static Int by TDS'!$A$6:$O$305,2,FALSE),0)</f>
        <v>1</v>
      </c>
      <c r="AB230" s="20"/>
      <c r="AC230" s="20"/>
      <c r="AD230" s="20">
        <f>IFERROR(VLOOKUP(Data[[#This Row],[TDS]],'[7]Static Ext by TDS'!$A$5:$P$120,3,FALSE)+VLOOKUP(Data[[#This Row],[TDS]],'[7]Static Ext by TDS'!$A$5:$P$120,6,FALSE),0)</f>
        <v>0</v>
      </c>
      <c r="AE230" s="20">
        <f>IFERROR(VLOOKUP(Data[[#This Row],[TDS]],'[7]Static Int by TDS'!$A$6:$O$305,3,FALSE)+VLOOKUP(Data[[#This Row],[TDS]],'[7]Static Int by TDS'!$A$6:$O$305,6,FALSE),0)</f>
        <v>1</v>
      </c>
      <c r="AF230" s="20" t="str">
        <f>VLOOKUP(Data[[#This Row],[DEVELOPMENT]],[8]Developments!$A$2:$A$312,1,FALSE)</f>
        <v>REHAB PROGRAM (WISE REHAB)</v>
      </c>
    </row>
    <row r="231" spans="1:32" x14ac:dyDescent="0.25">
      <c r="A231" t="s">
        <v>301</v>
      </c>
      <c r="B231" s="20" t="str">
        <f>VLOOKUP(Data[[#This Row],[DEVELOPMENT]],'[2]NYCHA_Development_Data_Book 201'!$B$2:$AY$324,40,FALSE)</f>
        <v>BROOKLYN</v>
      </c>
      <c r="C231" s="20" t="str">
        <f>VLOOKUP(Data[[#This Row],[DEVELOPMENT]],'[3]Cheat-Sheet'!$D$2:$Q$341,2,FALSE)</f>
        <v>REID APARTMENTS</v>
      </c>
      <c r="D231" s="20">
        <f>IF(VLOOKUP(Data[[#This Row],[DEVELOPMENT]],'[4]IC Categories'!$A$2:$G$325,3,FALSE)=0,"",VLOOKUP(Data[[#This Row],[DEVELOPMENT]],'[4]IC Categories'!$A$2:$G$325,3,FALSE))</f>
        <v>2021</v>
      </c>
      <c r="E231" s="20">
        <f>VLOOKUP(Data[[#This Row],[DEVELOPMENT]],'[2]NYCHA_Development_Data_Book 201'!$B$2:$AY$324,21,FALSE)</f>
        <v>1</v>
      </c>
      <c r="F231" s="20">
        <f>VLOOKUP(Data[[#This Row],[DEVELOPMENT]],'[2]NYCHA_Development_Data_Book 201'!$B$2:$AY$324,23,FALSE)</f>
        <v>1</v>
      </c>
      <c r="G231" s="20">
        <f>VLOOKUP(Data[[#This Row],[DEVELOPMENT]],'[2]NYCHA_Development_Data_Book 201'!$B$2:$AY$324,12,FALSE)</f>
        <v>227</v>
      </c>
      <c r="J231">
        <f>IFERROR(VLOOKUP(Data[[#This Row],[DEVELOPMENT]],[5]!Table1[[DEVELOPMENTS]:[Installation Date of Exterior Compactor]],4,FALSE),0)</f>
        <v>0</v>
      </c>
      <c r="K231" s="20">
        <f>IFERROR(VLOOKUP(Data[[#This Row],[DEVELOPMENT]],[5]!Table1[[DEVELOPMENTS]:[Installation Date of Exterior Compactor]],7,FALSE),0)</f>
        <v>0</v>
      </c>
      <c r="L231" s="42" t="str">
        <f>IF(Data[[#This Row],['# Interior Compactors]]=0,"",VLOOKUP(Data[[#This Row],[DEVELOPMENT]],[5]!Table1[[DEVELOPMENTS]:[Installation Date of Exterior Compactor]],5,FALSE))</f>
        <v/>
      </c>
      <c r="M231" s="43" t="str">
        <f>IF(Data[[#This Row],['# Exterior Compactors]]=0,"",VLOOKUP(Data[[#This Row],[DEVELOPMENT]],[5]!Table1[[DEVELOPMENTS]:[Installation Date of Exterior Compactor]],8,FALSE))</f>
        <v/>
      </c>
      <c r="N231" s="20">
        <f>Data[[#This Row],['# Interior Compactors]]</f>
        <v>0</v>
      </c>
      <c r="O231" s="20">
        <f>1</f>
        <v>1</v>
      </c>
      <c r="P231" s="20">
        <f>1</f>
        <v>1</v>
      </c>
      <c r="Q231" s="20">
        <f>1</f>
        <v>1</v>
      </c>
      <c r="R231" s="20">
        <f>1</f>
        <v>1</v>
      </c>
      <c r="S231" s="20">
        <f>1</f>
        <v>1</v>
      </c>
      <c r="T231" s="20">
        <f>Data[[#This Row],[DUs]]</f>
        <v>227</v>
      </c>
      <c r="U23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1" s="101">
        <f>VLOOKUP(Data[[#This Row],[DEVELOPMENT]],'[2]NYCHA_Development_Data_Book 201'!$B$2:$E$324,3,FALSE)</f>
        <v>167</v>
      </c>
      <c r="Y231" s="20"/>
      <c r="Z231" s="20">
        <f>IFERROR(VLOOKUP(Data[[#This Row],[TDS]],'[7]Static Ext by TDS'!$A$5:$E$120,2,FALSE),0)</f>
        <v>0</v>
      </c>
      <c r="AA231" s="20">
        <f>IFERROR(VLOOKUP(Data[[#This Row],[TDS]],'[7]Static Int by TDS'!$A$6:$O$305,2,FALSE),0)</f>
        <v>1</v>
      </c>
      <c r="AB231" s="20"/>
      <c r="AC231" s="20"/>
      <c r="AD231" s="20">
        <f>IFERROR(VLOOKUP(Data[[#This Row],[TDS]],'[7]Static Ext by TDS'!$A$5:$P$120,3,FALSE)+VLOOKUP(Data[[#This Row],[TDS]],'[7]Static Ext by TDS'!$A$5:$P$120,6,FALSE),0)</f>
        <v>0</v>
      </c>
      <c r="AE231" s="20">
        <f>IFERROR(VLOOKUP(Data[[#This Row],[TDS]],'[7]Static Int by TDS'!$A$6:$O$305,3,FALSE)+VLOOKUP(Data[[#This Row],[TDS]],'[7]Static Int by TDS'!$A$6:$O$305,6,FALSE),0)</f>
        <v>1</v>
      </c>
      <c r="AF231" s="20" t="str">
        <f>VLOOKUP(Data[[#This Row],[DEVELOPMENT]],[8]Developments!$A$2:$A$312,1,FALSE)</f>
        <v>REID APARTMENTS</v>
      </c>
    </row>
    <row r="232" spans="1:32" x14ac:dyDescent="0.25">
      <c r="A232" t="s">
        <v>302</v>
      </c>
      <c r="B232" s="20" t="str">
        <f>VLOOKUP(Data[[#This Row],[DEVELOPMENT]],'[2]NYCHA_Development_Data_Book 201'!$B$2:$AY$324,40,FALSE)</f>
        <v>STATEN ISLAND</v>
      </c>
      <c r="C232" s="20" t="str">
        <f>VLOOKUP(Data[[#This Row],[DEVELOPMENT]],'[3]Cheat-Sheet'!$D$2:$Q$341,2,FALSE)</f>
        <v>RICHMOND TERRACE</v>
      </c>
      <c r="D232" s="20" t="str">
        <f>IF(VLOOKUP(Data[[#This Row],[DEVELOPMENT]],'[4]IC Categories'!$A$2:$G$325,3,FALSE)=0,"",VLOOKUP(Data[[#This Row],[DEVELOPMENT]],'[4]IC Categories'!$A$2:$G$325,3,FALSE))</f>
        <v/>
      </c>
      <c r="E232" s="20">
        <f>VLOOKUP(Data[[#This Row],[DEVELOPMENT]],'[2]NYCHA_Development_Data_Book 201'!$B$2:$AY$324,21,FALSE)</f>
        <v>6</v>
      </c>
      <c r="F232" s="20">
        <f>VLOOKUP(Data[[#This Row],[DEVELOPMENT]],'[2]NYCHA_Development_Data_Book 201'!$B$2:$AY$324,23,FALSE)</f>
        <v>7</v>
      </c>
      <c r="G232" s="20">
        <f>VLOOKUP(Data[[#This Row],[DEVELOPMENT]],'[2]NYCHA_Development_Data_Book 201'!$B$2:$AY$324,12,FALSE)</f>
        <v>488</v>
      </c>
      <c r="J232">
        <f>IFERROR(VLOOKUP(Data[[#This Row],[DEVELOPMENT]],[5]!Table1[[DEVELOPMENTS]:[Installation Date of Exterior Compactor]],4,FALSE),0)</f>
        <v>0</v>
      </c>
      <c r="K232" s="20">
        <f>IFERROR(VLOOKUP(Data[[#This Row],[DEVELOPMENT]],[5]!Table1[[DEVELOPMENTS]:[Installation Date of Exterior Compactor]],7,FALSE),0)</f>
        <v>0</v>
      </c>
      <c r="L232" s="42" t="str">
        <f>IF(Data[[#This Row],['# Interior Compactors]]=0,"",VLOOKUP(Data[[#This Row],[DEVELOPMENT]],[5]!Table1[[DEVELOPMENTS]:[Installation Date of Exterior Compactor]],5,FALSE))</f>
        <v/>
      </c>
      <c r="M232" s="43" t="str">
        <f>IF(Data[[#This Row],['# Exterior Compactors]]=0,"",VLOOKUP(Data[[#This Row],[DEVELOPMENT]],[5]!Table1[[DEVELOPMENTS]:[Installation Date of Exterior Compactor]],8,FALSE))</f>
        <v/>
      </c>
      <c r="N232" s="20">
        <f>Data[[#This Row],['# Interior Compactors]]</f>
        <v>0</v>
      </c>
      <c r="O232" s="20">
        <f>1</f>
        <v>1</v>
      </c>
      <c r="P232" s="20">
        <f>1</f>
        <v>1</v>
      </c>
      <c r="Q232" s="20">
        <f>1</f>
        <v>1</v>
      </c>
      <c r="R232" s="20">
        <f>1</f>
        <v>1</v>
      </c>
      <c r="S232" s="20">
        <f>1</f>
        <v>1</v>
      </c>
      <c r="T232" s="20">
        <f>Data[[#This Row],[DUs]]</f>
        <v>488</v>
      </c>
      <c r="U23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2" s="101">
        <f>VLOOKUP(Data[[#This Row],[DEVELOPMENT]],'[2]NYCHA_Development_Data_Book 201'!$B$2:$E$324,3,FALSE)</f>
        <v>117</v>
      </c>
      <c r="Y232" s="20"/>
      <c r="Z232" s="20">
        <f>IFERROR(VLOOKUP(Data[[#This Row],[TDS]],'[7]Static Ext by TDS'!$A$5:$E$120,2,FALSE),0)</f>
        <v>2</v>
      </c>
      <c r="AA232" s="20">
        <f>IFERROR(VLOOKUP(Data[[#This Row],[TDS]],'[7]Static Int by TDS'!$A$6:$O$305,2,FALSE),0)</f>
        <v>6</v>
      </c>
      <c r="AB232" s="20"/>
      <c r="AC232" s="20"/>
      <c r="AD232" s="20">
        <f>IFERROR(VLOOKUP(Data[[#This Row],[TDS]],'[7]Static Ext by TDS'!$A$5:$P$120,3,FALSE)+VLOOKUP(Data[[#This Row],[TDS]],'[7]Static Ext by TDS'!$A$5:$P$120,6,FALSE),0)</f>
        <v>0</v>
      </c>
      <c r="AE232" s="20">
        <f>IFERROR(VLOOKUP(Data[[#This Row],[TDS]],'[7]Static Int by TDS'!$A$6:$O$305,3,FALSE)+VLOOKUP(Data[[#This Row],[TDS]],'[7]Static Int by TDS'!$A$6:$O$305,6,FALSE),0)</f>
        <v>6</v>
      </c>
      <c r="AF232" s="20" t="str">
        <f>VLOOKUP(Data[[#This Row],[DEVELOPMENT]],[8]Developments!$A$2:$A$312,1,FALSE)</f>
        <v>RICHMOND TERRACE</v>
      </c>
    </row>
    <row r="233" spans="1:32" x14ac:dyDescent="0.25">
      <c r="A233" s="17" t="s">
        <v>55</v>
      </c>
      <c r="B233" s="17" t="str">
        <f>VLOOKUP(Data[[#This Row],[DEVELOPMENT]],'[2]NYCHA_Development_Data_Book 201'!$B$2:$AY$324,40,FALSE)</f>
        <v>MANHATTAN</v>
      </c>
      <c r="C233" t="str">
        <f>VLOOKUP(Data[[#This Row],[DEVELOPMENT]],'[3]Cheat-Sheet'!$D$2:$Q$341,2,FALSE)</f>
        <v>RIIS</v>
      </c>
      <c r="D233" t="str">
        <f>IF(VLOOKUP(Data[[#This Row],[DEVELOPMENT]],'[4]IC Categories'!$A$2:$G$325,3,FALSE)=0,"",VLOOKUP(Data[[#This Row],[DEVELOPMENT]],'[4]IC Categories'!$A$2:$G$325,3,FALSE))</f>
        <v/>
      </c>
      <c r="E233">
        <f>VLOOKUP(Data[[#This Row],[DEVELOPMENT]],'[2]NYCHA_Development_Data_Book 201'!$B$2:$AY$324,21,FALSE)</f>
        <v>13</v>
      </c>
      <c r="F233">
        <f>VLOOKUP(Data[[#This Row],[DEVELOPMENT]],'[2]NYCHA_Development_Data_Book 201'!$B$2:$AY$324,23,FALSE)</f>
        <v>18</v>
      </c>
      <c r="G233">
        <f>VLOOKUP(Data[[#This Row],[DEVELOPMENT]],'[2]NYCHA_Development_Data_Book 201'!$B$2:$AY$324,12,FALSE)</f>
        <v>1191</v>
      </c>
      <c r="H233" t="s">
        <v>472</v>
      </c>
      <c r="I233" t="s">
        <v>471</v>
      </c>
      <c r="J233">
        <f>IFERROR(VLOOKUP(Data[[#This Row],[DEVELOPMENT]],[5]!Table1[[DEVELOPMENTS]:[Installation Date of Exterior Compactor]],4,FALSE),0)</f>
        <v>0</v>
      </c>
      <c r="K233" s="20">
        <f>IFERROR(VLOOKUP(Data[[#This Row],[DEVELOPMENT]],[5]!Table1[[DEVELOPMENTS]:[Installation Date of Exterior Compactor]],7,FALSE),0)</f>
        <v>0</v>
      </c>
      <c r="L233" s="42" t="str">
        <f>IF(Data[[#This Row],['# Interior Compactors]]=0,"",VLOOKUP(Data[[#This Row],[DEVELOPMENT]],[5]!Table1[[DEVELOPMENTS]:[Installation Date of Exterior Compactor]],5,FALSE))</f>
        <v/>
      </c>
      <c r="M233" s="43" t="str">
        <f>IF(Data[[#This Row],['# Exterior Compactors]]=0,"",VLOOKUP(Data[[#This Row],[DEVELOPMENT]],[5]!Table1[[DEVELOPMENTS]:[Installation Date of Exterior Compactor]],8,FALSE))</f>
        <v/>
      </c>
      <c r="N233">
        <f>Data[[#This Row],['# Interior Compactors]]</f>
        <v>0</v>
      </c>
      <c r="O233" s="20">
        <f>1</f>
        <v>1</v>
      </c>
      <c r="P233" s="20">
        <f>1</f>
        <v>1</v>
      </c>
      <c r="Q233" s="20">
        <f>1</f>
        <v>1</v>
      </c>
      <c r="R233" s="20">
        <f>1</f>
        <v>1</v>
      </c>
      <c r="S233" s="20">
        <f>1</f>
        <v>1</v>
      </c>
      <c r="T233" s="20">
        <f>Data[[#This Row],[DUs]]</f>
        <v>1191</v>
      </c>
      <c r="U23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3" s="101">
        <f>VLOOKUP(Data[[#This Row],[DEVELOPMENT]],'[2]NYCHA_Development_Data_Book 201'!$B$2:$E$324,3,FALSE)</f>
        <v>18</v>
      </c>
      <c r="Y233" s="20" t="s">
        <v>473</v>
      </c>
      <c r="Z233" s="20">
        <f>IFERROR(VLOOKUP(Data[[#This Row],[TDS]],'[7]Static Ext by TDS'!$A$5:$E$120,2,FALSE),0)</f>
        <v>2</v>
      </c>
      <c r="AA233" s="20">
        <f>IFERROR(VLOOKUP(Data[[#This Row],[TDS]],'[7]Static Int by TDS'!$A$6:$O$305,2,FALSE),0)</f>
        <v>15</v>
      </c>
      <c r="AB233" s="20"/>
      <c r="AC233" s="20"/>
      <c r="AD233" s="20">
        <f>IFERROR(VLOOKUP(Data[[#This Row],[TDS]],'[7]Static Ext by TDS'!$A$5:$P$120,3,FALSE)+VLOOKUP(Data[[#This Row],[TDS]],'[7]Static Ext by TDS'!$A$5:$P$120,6,FALSE),0)</f>
        <v>2</v>
      </c>
      <c r="AE233" s="20">
        <f>IFERROR(VLOOKUP(Data[[#This Row],[TDS]],'[7]Static Int by TDS'!$A$6:$O$305,3,FALSE)+VLOOKUP(Data[[#This Row],[TDS]],'[7]Static Int by TDS'!$A$6:$O$305,6,FALSE),0)</f>
        <v>15</v>
      </c>
      <c r="AF233" s="20" t="str">
        <f>VLOOKUP(Data[[#This Row],[DEVELOPMENT]],[8]Developments!$A$2:$A$312,1,FALSE)</f>
        <v>RIIS</v>
      </c>
    </row>
    <row r="234" spans="1:32" x14ac:dyDescent="0.25">
      <c r="A234" s="17" t="s">
        <v>104</v>
      </c>
      <c r="B234" s="17" t="str">
        <f>VLOOKUP(Data[[#This Row],[DEVELOPMENT]],'[2]NYCHA_Development_Data_Book 201'!$B$2:$AY$324,40,FALSE)</f>
        <v>MANHATTAN</v>
      </c>
      <c r="C234" t="str">
        <f>VLOOKUP(Data[[#This Row],[DEVELOPMENT]],'[3]Cheat-Sheet'!$D$2:$Q$341,2,FALSE)</f>
        <v>RIIS</v>
      </c>
      <c r="D234" t="str">
        <f>IF(VLOOKUP(Data[[#This Row],[DEVELOPMENT]],'[4]IC Categories'!$A$2:$G$325,3,FALSE)=0,"",VLOOKUP(Data[[#This Row],[DEVELOPMENT]],'[4]IC Categories'!$A$2:$G$325,3,FALSE))</f>
        <v/>
      </c>
      <c r="E234">
        <f>VLOOKUP(Data[[#This Row],[DEVELOPMENT]],'[2]NYCHA_Development_Data_Book 201'!$B$2:$AY$324,21,FALSE)</f>
        <v>6</v>
      </c>
      <c r="F234">
        <f>VLOOKUP(Data[[#This Row],[DEVELOPMENT]],'[2]NYCHA_Development_Data_Book 201'!$B$2:$AY$324,23,FALSE)</f>
        <v>8</v>
      </c>
      <c r="G234">
        <f>VLOOKUP(Data[[#This Row],[DEVELOPMENT]],'[2]NYCHA_Development_Data_Book 201'!$B$2:$AY$324,12,FALSE)</f>
        <v>577</v>
      </c>
      <c r="H234" t="s">
        <v>472</v>
      </c>
      <c r="I234" t="s">
        <v>475</v>
      </c>
      <c r="J234">
        <f>IFERROR(VLOOKUP(Data[[#This Row],[DEVELOPMENT]],[5]!Table1[[DEVELOPMENTS]:[Installation Date of Exterior Compactor]],4,FALSE),0)</f>
        <v>0</v>
      </c>
      <c r="K234" s="20">
        <f>IFERROR(VLOOKUP(Data[[#This Row],[DEVELOPMENT]],[5]!Table1[[DEVELOPMENTS]:[Installation Date of Exterior Compactor]],7,FALSE),0)</f>
        <v>0</v>
      </c>
      <c r="L234" s="42" t="str">
        <f>IF(Data[[#This Row],['# Interior Compactors]]=0,"",VLOOKUP(Data[[#This Row],[DEVELOPMENT]],[5]!Table1[[DEVELOPMENTS]:[Installation Date of Exterior Compactor]],5,FALSE))</f>
        <v/>
      </c>
      <c r="M234" s="43" t="str">
        <f>IF(Data[[#This Row],['# Exterior Compactors]]=0,"",VLOOKUP(Data[[#This Row],[DEVELOPMENT]],[5]!Table1[[DEVELOPMENTS]:[Installation Date of Exterior Compactor]],8,FALSE))</f>
        <v/>
      </c>
      <c r="N234">
        <f>Data[[#This Row],['# Interior Compactors]]</f>
        <v>0</v>
      </c>
      <c r="O234" s="20">
        <f>1</f>
        <v>1</v>
      </c>
      <c r="P234" s="20">
        <f>1</f>
        <v>1</v>
      </c>
      <c r="Q234" s="20">
        <f>1</f>
        <v>1</v>
      </c>
      <c r="R234" s="20">
        <f>1</f>
        <v>1</v>
      </c>
      <c r="S234" s="20">
        <f>1</f>
        <v>1</v>
      </c>
      <c r="T234" s="20">
        <f>Data[[#This Row],[DUs]]</f>
        <v>577</v>
      </c>
      <c r="U23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4" s="101">
        <f>VLOOKUP(Data[[#This Row],[DEVELOPMENT]],'[2]NYCHA_Development_Data_Book 201'!$B$2:$E$324,3,FALSE)</f>
        <v>19</v>
      </c>
      <c r="Y234" s="20" t="s">
        <v>473</v>
      </c>
      <c r="Z234" s="20">
        <f>IFERROR(VLOOKUP(Data[[#This Row],[TDS]],'[7]Static Ext by TDS'!$A$5:$E$120,2,FALSE),0)</f>
        <v>1</v>
      </c>
      <c r="AA234" s="20">
        <f>IFERROR(VLOOKUP(Data[[#This Row],[TDS]],'[7]Static Int by TDS'!$A$6:$O$305,2,FALSE),0)</f>
        <v>7</v>
      </c>
      <c r="AB234" s="20"/>
      <c r="AC234" s="20"/>
      <c r="AD234" s="20">
        <f>IFERROR(VLOOKUP(Data[[#This Row],[TDS]],'[7]Static Ext by TDS'!$A$5:$P$120,3,FALSE)+VLOOKUP(Data[[#This Row],[TDS]],'[7]Static Ext by TDS'!$A$5:$P$120,6,FALSE),0)</f>
        <v>1</v>
      </c>
      <c r="AE234" s="20">
        <f>IFERROR(VLOOKUP(Data[[#This Row],[TDS]],'[7]Static Int by TDS'!$A$6:$O$305,3,FALSE)+VLOOKUP(Data[[#This Row],[TDS]],'[7]Static Int by TDS'!$A$6:$O$305,6,FALSE),0)</f>
        <v>7</v>
      </c>
      <c r="AF234" s="20" t="str">
        <f>VLOOKUP(Data[[#This Row],[DEVELOPMENT]],[8]Developments!$A$2:$A$312,1,FALSE)</f>
        <v>RIIS II</v>
      </c>
    </row>
    <row r="235" spans="1:32" x14ac:dyDescent="0.25">
      <c r="A235" t="s">
        <v>303</v>
      </c>
      <c r="B235" s="20" t="str">
        <f>VLOOKUP(Data[[#This Row],[DEVELOPMENT]],'[2]NYCHA_Development_Data_Book 201'!$B$2:$AY$324,40,FALSE)</f>
        <v>MANHATTAN</v>
      </c>
      <c r="C235" s="20" t="str">
        <f>VLOOKUP(Data[[#This Row],[DEVELOPMENT]],'[3]Cheat-Sheet'!$D$2:$Q$341,2,FALSE)</f>
        <v>ISAACS</v>
      </c>
      <c r="D235" s="20" t="str">
        <f>IF(VLOOKUP(Data[[#This Row],[DEVELOPMENT]],'[4]IC Categories'!$A$2:$G$325,3,FALSE)=0,"",VLOOKUP(Data[[#This Row],[DEVELOPMENT]],'[4]IC Categories'!$A$2:$G$325,3,FALSE))</f>
        <v/>
      </c>
      <c r="E235" s="20">
        <f>VLOOKUP(Data[[#This Row],[DEVELOPMENT]],'[2]NYCHA_Development_Data_Book 201'!$B$2:$AY$324,21,FALSE)</f>
        <v>1</v>
      </c>
      <c r="F235" s="20">
        <f>VLOOKUP(Data[[#This Row],[DEVELOPMENT]],'[2]NYCHA_Development_Data_Book 201'!$B$2:$AY$324,23,FALSE)</f>
        <v>1</v>
      </c>
      <c r="G235" s="20">
        <f>VLOOKUP(Data[[#This Row],[DEVELOPMENT]],'[2]NYCHA_Development_Data_Book 201'!$B$2:$AY$324,12,FALSE)</f>
        <v>150</v>
      </c>
      <c r="J235">
        <f>IFERROR(VLOOKUP(Data[[#This Row],[DEVELOPMENT]],[5]!Table1[[DEVELOPMENTS]:[Installation Date of Exterior Compactor]],4,FALSE),0)</f>
        <v>0</v>
      </c>
      <c r="K235" s="20">
        <f>IFERROR(VLOOKUP(Data[[#This Row],[DEVELOPMENT]],[5]!Table1[[DEVELOPMENTS]:[Installation Date of Exterior Compactor]],7,FALSE),0)</f>
        <v>0</v>
      </c>
      <c r="L235" s="42" t="str">
        <f>IF(Data[[#This Row],['# Interior Compactors]]=0,"",VLOOKUP(Data[[#This Row],[DEVELOPMENT]],[5]!Table1[[DEVELOPMENTS]:[Installation Date of Exterior Compactor]],5,FALSE))</f>
        <v/>
      </c>
      <c r="M235" s="43" t="str">
        <f>IF(Data[[#This Row],['# Exterior Compactors]]=0,"",VLOOKUP(Data[[#This Row],[DEVELOPMENT]],[5]!Table1[[DEVELOPMENTS]:[Installation Date of Exterior Compactor]],8,FALSE))</f>
        <v/>
      </c>
      <c r="N235" s="20">
        <f>Data[[#This Row],['# Interior Compactors]]</f>
        <v>0</v>
      </c>
      <c r="O235" s="20">
        <f>1</f>
        <v>1</v>
      </c>
      <c r="P235" s="20">
        <f>1</f>
        <v>1</v>
      </c>
      <c r="Q235" s="20">
        <f>1</f>
        <v>1</v>
      </c>
      <c r="R235" s="20">
        <f>1</f>
        <v>1</v>
      </c>
      <c r="S235" s="20">
        <f>1</f>
        <v>1</v>
      </c>
      <c r="T235" s="20">
        <f>Data[[#This Row],[DUs]]</f>
        <v>150</v>
      </c>
      <c r="U23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5" s="101">
        <f>VLOOKUP(Data[[#This Row],[DEVELOPMENT]],'[2]NYCHA_Development_Data_Book 201'!$B$2:$E$324,3,FALSE)</f>
        <v>218</v>
      </c>
      <c r="Y235" s="20"/>
      <c r="Z235" s="20">
        <f>IFERROR(VLOOKUP(Data[[#This Row],[TDS]],'[7]Static Ext by TDS'!$A$5:$E$120,2,FALSE),0)</f>
        <v>0</v>
      </c>
      <c r="AA235" s="20">
        <f>IFERROR(VLOOKUP(Data[[#This Row],[TDS]],'[7]Static Int by TDS'!$A$6:$O$305,2,FALSE),0)</f>
        <v>1</v>
      </c>
      <c r="AB235" s="20"/>
      <c r="AC235" s="20"/>
      <c r="AD235" s="20">
        <f>IFERROR(VLOOKUP(Data[[#This Row],[TDS]],'[7]Static Ext by TDS'!$A$5:$P$120,3,FALSE)+VLOOKUP(Data[[#This Row],[TDS]],'[7]Static Ext by TDS'!$A$5:$P$120,6,FALSE),0)</f>
        <v>0</v>
      </c>
      <c r="AE235" s="20">
        <f>IFERROR(VLOOKUP(Data[[#This Row],[TDS]],'[7]Static Int by TDS'!$A$6:$O$305,3,FALSE)+VLOOKUP(Data[[#This Row],[TDS]],'[7]Static Int by TDS'!$A$6:$O$305,6,FALSE),0)</f>
        <v>1</v>
      </c>
      <c r="AF235" s="20" t="str">
        <f>VLOOKUP(Data[[#This Row],[DEVELOPMENT]],[8]Developments!$A$2:$A$312,1,FALSE)</f>
        <v>ROBBINS PLAZA</v>
      </c>
    </row>
    <row r="236" spans="1:32" x14ac:dyDescent="0.25">
      <c r="A236" t="s">
        <v>107</v>
      </c>
      <c r="B236" t="str">
        <f>VLOOKUP(Data[[#This Row],[DEVELOPMENT]],'[2]NYCHA_Development_Data_Book 201'!$B$2:$AY$324,40,FALSE)</f>
        <v>MANHATTAN</v>
      </c>
      <c r="C236" t="str">
        <f>VLOOKUP(Data[[#This Row],[DEVELOPMENT]],'[3]Cheat-Sheet'!$D$2:$Q$341,2,FALSE)</f>
        <v>ROBINSON</v>
      </c>
      <c r="D236" t="str">
        <f>IF(VLOOKUP(Data[[#This Row],[DEVELOPMENT]],'[4]IC Categories'!$A$2:$G$325,3,FALSE)=0,"",VLOOKUP(Data[[#This Row],[DEVELOPMENT]],'[4]IC Categories'!$A$2:$G$325,3,FALSE))</f>
        <v/>
      </c>
      <c r="E236">
        <f>VLOOKUP(Data[[#This Row],[DEVELOPMENT]],'[2]NYCHA_Development_Data_Book 201'!$B$2:$AY$324,21,FALSE)</f>
        <v>1</v>
      </c>
      <c r="F236">
        <f>VLOOKUP(Data[[#This Row],[DEVELOPMENT]],'[2]NYCHA_Development_Data_Book 201'!$B$2:$AY$324,23,FALSE)</f>
        <v>2</v>
      </c>
      <c r="G236">
        <f>VLOOKUP(Data[[#This Row],[DEVELOPMENT]],'[2]NYCHA_Development_Data_Book 201'!$B$2:$AY$324,12,FALSE)</f>
        <v>188</v>
      </c>
      <c r="H236" t="s">
        <v>470</v>
      </c>
      <c r="I236" t="s">
        <v>475</v>
      </c>
      <c r="J236">
        <f>IFERROR(VLOOKUP(Data[[#This Row],[DEVELOPMENT]],[5]!Table1[[DEVELOPMENTS]:[Installation Date of Exterior Compactor]],4,FALSE),0)</f>
        <v>0</v>
      </c>
      <c r="K236" s="20">
        <f>IFERROR(VLOOKUP(Data[[#This Row],[DEVELOPMENT]],[5]!Table1[[DEVELOPMENTS]:[Installation Date of Exterior Compactor]],7,FALSE),0)</f>
        <v>0</v>
      </c>
      <c r="L236" s="42" t="str">
        <f>IF(Data[[#This Row],['# Interior Compactors]]=0,"",VLOOKUP(Data[[#This Row],[DEVELOPMENT]],[5]!Table1[[DEVELOPMENTS]:[Installation Date of Exterior Compactor]],5,FALSE))</f>
        <v/>
      </c>
      <c r="M236" s="43" t="str">
        <f>IF(Data[[#This Row],['# Exterior Compactors]]=0,"",VLOOKUP(Data[[#This Row],[DEVELOPMENT]],[5]!Table1[[DEVELOPMENTS]:[Installation Date of Exterior Compactor]],8,FALSE))</f>
        <v/>
      </c>
      <c r="N236">
        <f>Data[[#This Row],['# Interior Compactors]]</f>
        <v>0</v>
      </c>
      <c r="O236" s="20">
        <f>1</f>
        <v>1</v>
      </c>
      <c r="P236" s="20">
        <f>1</f>
        <v>1</v>
      </c>
      <c r="Q236" s="20">
        <f>1</f>
        <v>1</v>
      </c>
      <c r="R236" s="20">
        <f>1</f>
        <v>1</v>
      </c>
      <c r="S236" s="20">
        <f>1</f>
        <v>1</v>
      </c>
      <c r="T236" s="20">
        <f>Data[[#This Row],[DUs]]</f>
        <v>188</v>
      </c>
      <c r="U23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6" s="101">
        <f>VLOOKUP(Data[[#This Row],[DEVELOPMENT]],'[2]NYCHA_Development_Data_Book 201'!$B$2:$E$324,3,FALSE)</f>
        <v>241</v>
      </c>
      <c r="Y236" s="20"/>
      <c r="Z236" s="20">
        <f>IFERROR(VLOOKUP(Data[[#This Row],[TDS]],'[7]Static Ext by TDS'!$A$5:$E$120,2,FALSE),0)</f>
        <v>0</v>
      </c>
      <c r="AA236" s="20">
        <f>IFERROR(VLOOKUP(Data[[#This Row],[TDS]],'[7]Static Int by TDS'!$A$6:$O$305,2,FALSE),0)</f>
        <v>2</v>
      </c>
      <c r="AB236" s="20"/>
      <c r="AC236" s="20"/>
      <c r="AD236" s="20">
        <f>IFERROR(VLOOKUP(Data[[#This Row],[TDS]],'[7]Static Ext by TDS'!$A$5:$P$120,3,FALSE)+VLOOKUP(Data[[#This Row],[TDS]],'[7]Static Ext by TDS'!$A$5:$P$120,6,FALSE),0)</f>
        <v>0</v>
      </c>
      <c r="AE236" s="20">
        <f>IFERROR(VLOOKUP(Data[[#This Row],[TDS]],'[7]Static Int by TDS'!$A$6:$O$305,3,FALSE)+VLOOKUP(Data[[#This Row],[TDS]],'[7]Static Int by TDS'!$A$6:$O$305,6,FALSE),0)</f>
        <v>2</v>
      </c>
      <c r="AF236" s="20" t="str">
        <f>VLOOKUP(Data[[#This Row],[DEVELOPMENT]],[8]Developments!$A$2:$A$312,1,FALSE)</f>
        <v>ROBINSON</v>
      </c>
    </row>
    <row r="237" spans="1:32" x14ac:dyDescent="0.25">
      <c r="A237" s="17" t="s">
        <v>42</v>
      </c>
      <c r="B237" s="17" t="str">
        <f>VLOOKUP(Data[[#This Row],[DEVELOPMENT]],'[2]NYCHA_Development_Data_Book 201'!$B$2:$AY$324,40,FALSE)</f>
        <v>BROOKLYN</v>
      </c>
      <c r="C237" t="str">
        <f>VLOOKUP(Data[[#This Row],[DEVELOPMENT]],'[3]Cheat-Sheet'!$D$2:$Q$341,2,FALSE)</f>
        <v>ROOSEVELT</v>
      </c>
      <c r="D237" t="str">
        <f>IF(VLOOKUP(Data[[#This Row],[DEVELOPMENT]],'[4]IC Categories'!$A$2:$G$325,3,FALSE)=0,"",VLOOKUP(Data[[#This Row],[DEVELOPMENT]],'[4]IC Categories'!$A$2:$G$325,3,FALSE))</f>
        <v/>
      </c>
      <c r="E237">
        <f>VLOOKUP(Data[[#This Row],[DEVELOPMENT]],'[2]NYCHA_Development_Data_Book 201'!$B$2:$AY$324,21,FALSE)</f>
        <v>6</v>
      </c>
      <c r="F237">
        <f>VLOOKUP(Data[[#This Row],[DEVELOPMENT]],'[2]NYCHA_Development_Data_Book 201'!$B$2:$AY$324,23,FALSE)</f>
        <v>6</v>
      </c>
      <c r="G237">
        <f>VLOOKUP(Data[[#This Row],[DEVELOPMENT]],'[2]NYCHA_Development_Data_Book 201'!$B$2:$AY$324,12,FALSE)</f>
        <v>761</v>
      </c>
      <c r="H237" t="s">
        <v>472</v>
      </c>
      <c r="I237" t="s">
        <v>471</v>
      </c>
      <c r="J237">
        <f>IFERROR(VLOOKUP(Data[[#This Row],[DEVELOPMENT]],[5]!Table1[[DEVELOPMENTS]:[Installation Date of Exterior Compactor]],4,FALSE),0)</f>
        <v>0</v>
      </c>
      <c r="K237" s="20">
        <f>IFERROR(VLOOKUP(Data[[#This Row],[DEVELOPMENT]],[5]!Table1[[DEVELOPMENTS]:[Installation Date of Exterior Compactor]],7,FALSE),0)</f>
        <v>0</v>
      </c>
      <c r="L237" s="42" t="str">
        <f>IF(Data[[#This Row],['# Interior Compactors]]=0,"",VLOOKUP(Data[[#This Row],[DEVELOPMENT]],[5]!Table1[[DEVELOPMENTS]:[Installation Date of Exterior Compactor]],5,FALSE))</f>
        <v/>
      </c>
      <c r="M237" s="43" t="str">
        <f>IF(Data[[#This Row],['# Exterior Compactors]]=0,"",VLOOKUP(Data[[#This Row],[DEVELOPMENT]],[5]!Table1[[DEVELOPMENTS]:[Installation Date of Exterior Compactor]],8,FALSE))</f>
        <v/>
      </c>
      <c r="N237">
        <f>Data[[#This Row],['# Interior Compactors]]</f>
        <v>0</v>
      </c>
      <c r="O237" s="20">
        <f>1</f>
        <v>1</v>
      </c>
      <c r="P237" s="20">
        <f>1</f>
        <v>1</v>
      </c>
      <c r="Q237" s="20">
        <f>1</f>
        <v>1</v>
      </c>
      <c r="R237" s="20">
        <f>1</f>
        <v>1</v>
      </c>
      <c r="S237" s="20">
        <f>1</f>
        <v>1</v>
      </c>
      <c r="T237" s="20">
        <f>Data[[#This Row],[DUs]]</f>
        <v>761</v>
      </c>
      <c r="U23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7" s="101">
        <f>VLOOKUP(Data[[#This Row],[DEVELOPMENT]],'[2]NYCHA_Development_Data_Book 201'!$B$2:$E$324,3,FALSE)</f>
        <v>135</v>
      </c>
      <c r="Y237" s="20" t="s">
        <v>473</v>
      </c>
      <c r="Z237" s="20">
        <f>IFERROR(VLOOKUP(Data[[#This Row],[TDS]],'[7]Static Ext by TDS'!$A$5:$E$120,2,FALSE),0)</f>
        <v>0</v>
      </c>
      <c r="AA237" s="20">
        <f>IFERROR(VLOOKUP(Data[[#This Row],[TDS]],'[7]Static Int by TDS'!$A$6:$O$305,2,FALSE),0)</f>
        <v>6</v>
      </c>
      <c r="AB237" s="20"/>
      <c r="AC237" s="20"/>
      <c r="AD237" s="20">
        <f>IFERROR(VLOOKUP(Data[[#This Row],[TDS]],'[7]Static Ext by TDS'!$A$5:$P$120,3,FALSE)+VLOOKUP(Data[[#This Row],[TDS]],'[7]Static Ext by TDS'!$A$5:$P$120,6,FALSE),0)</f>
        <v>0</v>
      </c>
      <c r="AE237" s="20">
        <f>IFERROR(VLOOKUP(Data[[#This Row],[TDS]],'[7]Static Int by TDS'!$A$6:$O$305,3,FALSE)+VLOOKUP(Data[[#This Row],[TDS]],'[7]Static Int by TDS'!$A$6:$O$305,6,FALSE),0)</f>
        <v>6</v>
      </c>
      <c r="AF237" s="20" t="str">
        <f>VLOOKUP(Data[[#This Row],[DEVELOPMENT]],[8]Developments!$A$2:$A$312,1,FALSE)</f>
        <v>ROOSEVELT I</v>
      </c>
    </row>
    <row r="238" spans="1:32" x14ac:dyDescent="0.25">
      <c r="A238" s="17" t="s">
        <v>148</v>
      </c>
      <c r="B238" s="17" t="str">
        <f>VLOOKUP(Data[[#This Row],[DEVELOPMENT]],'[2]NYCHA_Development_Data_Book 201'!$B$2:$AY$324,40,FALSE)</f>
        <v>BROOKLYN</v>
      </c>
      <c r="C238" t="str">
        <f>VLOOKUP(Data[[#This Row],[DEVELOPMENT]],'[3]Cheat-Sheet'!$D$2:$Q$341,2,FALSE)</f>
        <v>ROOSEVELT</v>
      </c>
      <c r="D238" t="str">
        <f>IF(VLOOKUP(Data[[#This Row],[DEVELOPMENT]],'[4]IC Categories'!$A$2:$G$325,3,FALSE)=0,"",VLOOKUP(Data[[#This Row],[DEVELOPMENT]],'[4]IC Categories'!$A$2:$G$325,3,FALSE))</f>
        <v/>
      </c>
      <c r="E238">
        <f>VLOOKUP(Data[[#This Row],[DEVELOPMENT]],'[2]NYCHA_Development_Data_Book 201'!$B$2:$AY$324,21,FALSE)</f>
        <v>3</v>
      </c>
      <c r="F238">
        <f>VLOOKUP(Data[[#This Row],[DEVELOPMENT]],'[2]NYCHA_Development_Data_Book 201'!$B$2:$AY$324,23,FALSE)</f>
        <v>3</v>
      </c>
      <c r="G238">
        <f>VLOOKUP(Data[[#This Row],[DEVELOPMENT]],'[2]NYCHA_Development_Data_Book 201'!$B$2:$AY$324,12,FALSE)</f>
        <v>342</v>
      </c>
      <c r="H238" t="s">
        <v>472</v>
      </c>
      <c r="I238" t="s">
        <v>471</v>
      </c>
      <c r="J238">
        <f>IFERROR(VLOOKUP(Data[[#This Row],[DEVELOPMENT]],[5]!Table1[[DEVELOPMENTS]:[Installation Date of Exterior Compactor]],4,FALSE),0)</f>
        <v>0</v>
      </c>
      <c r="K238" s="20">
        <f>IFERROR(VLOOKUP(Data[[#This Row],[DEVELOPMENT]],[5]!Table1[[DEVELOPMENTS]:[Installation Date of Exterior Compactor]],7,FALSE),0)</f>
        <v>0</v>
      </c>
      <c r="L238" s="42" t="str">
        <f>IF(Data[[#This Row],['# Interior Compactors]]=0,"",VLOOKUP(Data[[#This Row],[DEVELOPMENT]],[5]!Table1[[DEVELOPMENTS]:[Installation Date of Exterior Compactor]],5,FALSE))</f>
        <v/>
      </c>
      <c r="M238" s="43" t="str">
        <f>IF(Data[[#This Row],['# Exterior Compactors]]=0,"",VLOOKUP(Data[[#This Row],[DEVELOPMENT]],[5]!Table1[[DEVELOPMENTS]:[Installation Date of Exterior Compactor]],8,FALSE))</f>
        <v/>
      </c>
      <c r="N238">
        <f>Data[[#This Row],['# Interior Compactors]]</f>
        <v>0</v>
      </c>
      <c r="O238" s="20">
        <f>1</f>
        <v>1</v>
      </c>
      <c r="P238" s="20">
        <f>1</f>
        <v>1</v>
      </c>
      <c r="Q238" s="20">
        <f>1</f>
        <v>1</v>
      </c>
      <c r="R238" s="20">
        <f>1</f>
        <v>1</v>
      </c>
      <c r="S238" s="20">
        <f>1</f>
        <v>1</v>
      </c>
      <c r="T238" s="20">
        <f>Data[[#This Row],[DUs]]</f>
        <v>342</v>
      </c>
      <c r="U23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8" s="101">
        <f>VLOOKUP(Data[[#This Row],[DEVELOPMENT]],'[2]NYCHA_Development_Data_Book 201'!$B$2:$E$324,3,FALSE)</f>
        <v>177</v>
      </c>
      <c r="Y238" s="20" t="s">
        <v>473</v>
      </c>
      <c r="Z238" s="20">
        <f>IFERROR(VLOOKUP(Data[[#This Row],[TDS]],'[7]Static Ext by TDS'!$A$5:$E$120,2,FALSE),0)</f>
        <v>0</v>
      </c>
      <c r="AA238" s="20">
        <f>IFERROR(VLOOKUP(Data[[#This Row],[TDS]],'[7]Static Int by TDS'!$A$6:$O$305,2,FALSE),0)</f>
        <v>3</v>
      </c>
      <c r="AB238" s="20"/>
      <c r="AC238" s="20"/>
      <c r="AD238" s="20">
        <f>IFERROR(VLOOKUP(Data[[#This Row],[TDS]],'[7]Static Ext by TDS'!$A$5:$P$120,3,FALSE)+VLOOKUP(Data[[#This Row],[TDS]],'[7]Static Ext by TDS'!$A$5:$P$120,6,FALSE),0)</f>
        <v>0</v>
      </c>
      <c r="AE238" s="20">
        <f>IFERROR(VLOOKUP(Data[[#This Row],[TDS]],'[7]Static Int by TDS'!$A$6:$O$305,3,FALSE)+VLOOKUP(Data[[#This Row],[TDS]],'[7]Static Int by TDS'!$A$6:$O$305,6,FALSE),0)</f>
        <v>3</v>
      </c>
      <c r="AF238" s="20" t="str">
        <f>VLOOKUP(Data[[#This Row],[DEVELOPMENT]],[8]Developments!$A$2:$A$312,1,FALSE)</f>
        <v>ROOSEVELT II</v>
      </c>
    </row>
    <row r="239" spans="1:32" x14ac:dyDescent="0.25">
      <c r="A239" s="17" t="s">
        <v>43</v>
      </c>
      <c r="B239" s="17" t="str">
        <f>VLOOKUP(Data[[#This Row],[DEVELOPMENT]],'[2]NYCHA_Development_Data_Book 201'!$B$2:$AY$324,40,FALSE)</f>
        <v>MANHATTAN</v>
      </c>
      <c r="C239" t="str">
        <f>VLOOKUP(Data[[#This Row],[DEVELOPMENT]],'[3]Cheat-Sheet'!$D$2:$Q$341,2,FALSE)</f>
        <v>RUTGERS</v>
      </c>
      <c r="D239" t="str">
        <f>IF(VLOOKUP(Data[[#This Row],[DEVELOPMENT]],'[4]IC Categories'!$A$2:$G$325,3,FALSE)=0,"",VLOOKUP(Data[[#This Row],[DEVELOPMENT]],'[4]IC Categories'!$A$2:$G$325,3,FALSE))</f>
        <v/>
      </c>
      <c r="E239">
        <f>VLOOKUP(Data[[#This Row],[DEVELOPMENT]],'[2]NYCHA_Development_Data_Book 201'!$B$2:$AY$324,21,FALSE)</f>
        <v>5</v>
      </c>
      <c r="F239">
        <f>VLOOKUP(Data[[#This Row],[DEVELOPMENT]],'[2]NYCHA_Development_Data_Book 201'!$B$2:$AY$324,23,FALSE)</f>
        <v>5</v>
      </c>
      <c r="G239">
        <f>VLOOKUP(Data[[#This Row],[DEVELOPMENT]],'[2]NYCHA_Development_Data_Book 201'!$B$2:$AY$324,12,FALSE)</f>
        <v>721</v>
      </c>
      <c r="H239" t="s">
        <v>472</v>
      </c>
      <c r="I239" t="s">
        <v>471</v>
      </c>
      <c r="J239">
        <f>IFERROR(VLOOKUP(Data[[#This Row],[DEVELOPMENT]],[5]!Table1[[DEVELOPMENTS]:[Installation Date of Exterior Compactor]],4,FALSE),0)</f>
        <v>0</v>
      </c>
      <c r="K239" s="20">
        <f>IFERROR(VLOOKUP(Data[[#This Row],[DEVELOPMENT]],[5]!Table1[[DEVELOPMENTS]:[Installation Date of Exterior Compactor]],7,FALSE),0)</f>
        <v>0</v>
      </c>
      <c r="L239" s="42" t="str">
        <f>IF(Data[[#This Row],['# Interior Compactors]]=0,"",VLOOKUP(Data[[#This Row],[DEVELOPMENT]],[5]!Table1[[DEVELOPMENTS]:[Installation Date of Exterior Compactor]],5,FALSE))</f>
        <v/>
      </c>
      <c r="M239" s="43" t="str">
        <f>IF(Data[[#This Row],['# Exterior Compactors]]=0,"",VLOOKUP(Data[[#This Row],[DEVELOPMENT]],[5]!Table1[[DEVELOPMENTS]:[Installation Date of Exterior Compactor]],8,FALSE))</f>
        <v/>
      </c>
      <c r="N239">
        <f>Data[[#This Row],['# Interior Compactors]]</f>
        <v>0</v>
      </c>
      <c r="O239" s="20">
        <f>1</f>
        <v>1</v>
      </c>
      <c r="P239" s="20">
        <f>1</f>
        <v>1</v>
      </c>
      <c r="Q239" s="20">
        <f>1</f>
        <v>1</v>
      </c>
      <c r="R239" s="20">
        <f>1</f>
        <v>1</v>
      </c>
      <c r="S239" s="20">
        <f>1</f>
        <v>1</v>
      </c>
      <c r="T239" s="20">
        <f>Data[[#This Row],[DUs]]</f>
        <v>721</v>
      </c>
      <c r="U23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3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3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39" s="101">
        <f>VLOOKUP(Data[[#This Row],[DEVELOPMENT]],'[2]NYCHA_Development_Data_Book 201'!$B$2:$E$324,3,FALSE)</f>
        <v>99</v>
      </c>
      <c r="Y239" s="20" t="s">
        <v>473</v>
      </c>
      <c r="Z239" s="20">
        <f>IFERROR(VLOOKUP(Data[[#This Row],[TDS]],'[7]Static Ext by TDS'!$A$5:$E$120,2,FALSE),0)</f>
        <v>1</v>
      </c>
      <c r="AA239" s="20">
        <f>IFERROR(VLOOKUP(Data[[#This Row],[TDS]],'[7]Static Int by TDS'!$A$6:$O$305,2,FALSE),0)</f>
        <v>5</v>
      </c>
      <c r="AB239" s="20"/>
      <c r="AC239" s="20"/>
      <c r="AD239" s="20">
        <f>IFERROR(VLOOKUP(Data[[#This Row],[TDS]],'[7]Static Ext by TDS'!$A$5:$P$120,3,FALSE)+VLOOKUP(Data[[#This Row],[TDS]],'[7]Static Ext by TDS'!$A$5:$P$120,6,FALSE),0)</f>
        <v>1</v>
      </c>
      <c r="AE239" s="20">
        <f>IFERROR(VLOOKUP(Data[[#This Row],[TDS]],'[7]Static Int by TDS'!$A$6:$O$305,3,FALSE)+VLOOKUP(Data[[#This Row],[TDS]],'[7]Static Int by TDS'!$A$6:$O$305,6,FALSE),0)</f>
        <v>5</v>
      </c>
      <c r="AF239" s="20" t="str">
        <f>VLOOKUP(Data[[#This Row],[DEVELOPMENT]],[8]Developments!$A$2:$A$312,1,FALSE)</f>
        <v>RUTGERS</v>
      </c>
    </row>
    <row r="240" spans="1:32" x14ac:dyDescent="0.25">
      <c r="A240" t="s">
        <v>304</v>
      </c>
      <c r="B240" s="20" t="str">
        <f>VLOOKUP(Data[[#This Row],[DEVELOPMENT]],'[2]NYCHA_Development_Data_Book 201'!$B$2:$AY$324,40,FALSE)</f>
        <v>BROOKLYN</v>
      </c>
      <c r="C240" s="20" t="str">
        <f>VLOOKUP(Data[[#This Row],[DEVELOPMENT]],'[3]Cheat-Sheet'!$D$2:$Q$341,2,FALSE)</f>
        <v>REID APARTMENTS</v>
      </c>
      <c r="D240" s="20">
        <f>IF(VLOOKUP(Data[[#This Row],[DEVELOPMENT]],'[4]IC Categories'!$A$2:$G$325,3,FALSE)=0,"",VLOOKUP(Data[[#This Row],[DEVELOPMENT]],'[4]IC Categories'!$A$2:$G$325,3,FALSE))</f>
        <v>2021</v>
      </c>
      <c r="E240" s="20">
        <f>VLOOKUP(Data[[#This Row],[DEVELOPMENT]],'[2]NYCHA_Development_Data_Book 201'!$B$2:$AY$324,21,FALSE)</f>
        <v>1</v>
      </c>
      <c r="F240" s="20">
        <f>VLOOKUP(Data[[#This Row],[DEVELOPMENT]],'[2]NYCHA_Development_Data_Book 201'!$B$2:$AY$324,23,FALSE)</f>
        <v>1</v>
      </c>
      <c r="G240" s="20">
        <f>VLOOKUP(Data[[#This Row],[DEVELOPMENT]],'[2]NYCHA_Development_Data_Book 201'!$B$2:$AY$324,12,FALSE)</f>
        <v>60</v>
      </c>
      <c r="J240">
        <f>IFERROR(VLOOKUP(Data[[#This Row],[DEVELOPMENT]],[5]!Table1[[DEVELOPMENTS]:[Installation Date of Exterior Compactor]],4,FALSE),0)</f>
        <v>0</v>
      </c>
      <c r="K240" s="20">
        <f>IFERROR(VLOOKUP(Data[[#This Row],[DEVELOPMENT]],[5]!Table1[[DEVELOPMENTS]:[Installation Date of Exterior Compactor]],7,FALSE),0)</f>
        <v>0</v>
      </c>
      <c r="L240" s="42" t="str">
        <f>IF(Data[[#This Row],['# Interior Compactors]]=0,"",VLOOKUP(Data[[#This Row],[DEVELOPMENT]],[5]!Table1[[DEVELOPMENTS]:[Installation Date of Exterior Compactor]],5,FALSE))</f>
        <v/>
      </c>
      <c r="M240" s="43" t="str">
        <f>IF(Data[[#This Row],['# Exterior Compactors]]=0,"",VLOOKUP(Data[[#This Row],[DEVELOPMENT]],[5]!Table1[[DEVELOPMENTS]:[Installation Date of Exterior Compactor]],8,FALSE))</f>
        <v/>
      </c>
      <c r="N240" s="20">
        <f>Data[[#This Row],['# Interior Compactors]]</f>
        <v>0</v>
      </c>
      <c r="O240" s="20">
        <f>1</f>
        <v>1</v>
      </c>
      <c r="P240" s="20">
        <f>1</f>
        <v>1</v>
      </c>
      <c r="Q240" s="20">
        <f>1</f>
        <v>1</v>
      </c>
      <c r="R240" s="20">
        <f>1</f>
        <v>1</v>
      </c>
      <c r="S240" s="20">
        <f>1</f>
        <v>1</v>
      </c>
      <c r="T240" s="20">
        <f>Data[[#This Row],[DUs]]</f>
        <v>60</v>
      </c>
      <c r="U24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0" s="101">
        <f>VLOOKUP(Data[[#This Row],[DEVELOPMENT]],'[2]NYCHA_Development_Data_Book 201'!$B$2:$E$324,3,FALSE)</f>
        <v>282</v>
      </c>
      <c r="Y240" s="20"/>
      <c r="Z240" s="20">
        <f>IFERROR(VLOOKUP(Data[[#This Row],[TDS]],'[7]Static Ext by TDS'!$A$5:$E$120,2,FALSE),0)</f>
        <v>0</v>
      </c>
      <c r="AA240" s="20">
        <f>IFERROR(VLOOKUP(Data[[#This Row],[TDS]],'[7]Static Int by TDS'!$A$6:$O$305,2,FALSE),0)</f>
        <v>1</v>
      </c>
      <c r="AB240" s="20"/>
      <c r="AC240" s="20"/>
      <c r="AD240" s="20">
        <f>IFERROR(VLOOKUP(Data[[#This Row],[TDS]],'[7]Static Ext by TDS'!$A$5:$P$120,3,FALSE)+VLOOKUP(Data[[#This Row],[TDS]],'[7]Static Ext by TDS'!$A$5:$P$120,6,FALSE),0)</f>
        <v>0</v>
      </c>
      <c r="AE240" s="20">
        <f>IFERROR(VLOOKUP(Data[[#This Row],[TDS]],'[7]Static Int by TDS'!$A$6:$O$305,3,FALSE)+VLOOKUP(Data[[#This Row],[TDS]],'[7]Static Int by TDS'!$A$6:$O$305,6,FALSE),0)</f>
        <v>1</v>
      </c>
      <c r="AF240" s="20" t="str">
        <f>VLOOKUP(Data[[#This Row],[DEVELOPMENT]],[8]Developments!$A$2:$A$312,1,FALSE)</f>
        <v>RUTLAND TOWERS</v>
      </c>
    </row>
    <row r="241" spans="1:32" x14ac:dyDescent="0.25">
      <c r="A241" t="s">
        <v>305</v>
      </c>
      <c r="B241" s="20" t="str">
        <f>VLOOKUP(Data[[#This Row],[DEVELOPMENT]],'[2]NYCHA_Development_Data_Book 201'!$B$2:$AY$324,40,FALSE)</f>
        <v>BRONX</v>
      </c>
      <c r="C241" s="20" t="str">
        <f>VLOOKUP(Data[[#This Row],[DEVELOPMENT]],'[3]Cheat-Sheet'!$D$2:$Q$341,2,FALSE)</f>
        <v>SACK WERN</v>
      </c>
      <c r="D241" s="20">
        <f>IF(VLOOKUP(Data[[#This Row],[DEVELOPMENT]],'[4]IC Categories'!$A$2:$G$325,3,FALSE)=0,"",VLOOKUP(Data[[#This Row],[DEVELOPMENT]],'[4]IC Categories'!$A$2:$G$325,3,FALSE))</f>
        <v>2024</v>
      </c>
      <c r="E241" s="20">
        <f>VLOOKUP(Data[[#This Row],[DEVELOPMENT]],'[2]NYCHA_Development_Data_Book 201'!$B$2:$AY$324,21,FALSE)</f>
        <v>7</v>
      </c>
      <c r="F241" s="20">
        <f>VLOOKUP(Data[[#This Row],[DEVELOPMENT]],'[2]NYCHA_Development_Data_Book 201'!$B$2:$AY$324,23,FALSE)</f>
        <v>8</v>
      </c>
      <c r="G241" s="20">
        <f>VLOOKUP(Data[[#This Row],[DEVELOPMENT]],'[2]NYCHA_Development_Data_Book 201'!$B$2:$AY$324,12,FALSE)</f>
        <v>411</v>
      </c>
      <c r="J241">
        <f>IFERROR(VLOOKUP(Data[[#This Row],[DEVELOPMENT]],[5]!Table1[[DEVELOPMENTS]:[Installation Date of Exterior Compactor]],4,FALSE),0)</f>
        <v>0</v>
      </c>
      <c r="K241" s="20">
        <f>IFERROR(VLOOKUP(Data[[#This Row],[DEVELOPMENT]],[5]!Table1[[DEVELOPMENTS]:[Installation Date of Exterior Compactor]],7,FALSE),0)</f>
        <v>0</v>
      </c>
      <c r="L241" s="42" t="str">
        <f>IF(Data[[#This Row],['# Interior Compactors]]=0,"",VLOOKUP(Data[[#This Row],[DEVELOPMENT]],[5]!Table1[[DEVELOPMENTS]:[Installation Date of Exterior Compactor]],5,FALSE))</f>
        <v/>
      </c>
      <c r="M241" s="43" t="str">
        <f>IF(Data[[#This Row],['# Exterior Compactors]]=0,"",VLOOKUP(Data[[#This Row],[DEVELOPMENT]],[5]!Table1[[DEVELOPMENTS]:[Installation Date of Exterior Compactor]],8,FALSE))</f>
        <v/>
      </c>
      <c r="N241" s="20">
        <f>Data[[#This Row],['# Interior Compactors]]</f>
        <v>0</v>
      </c>
      <c r="O241" s="20">
        <f>1</f>
        <v>1</v>
      </c>
      <c r="P241" s="20">
        <f>1</f>
        <v>1</v>
      </c>
      <c r="Q241" s="20">
        <f>1</f>
        <v>1</v>
      </c>
      <c r="R241" s="20">
        <f>1</f>
        <v>1</v>
      </c>
      <c r="S241" s="20">
        <f>1</f>
        <v>1</v>
      </c>
      <c r="T241" s="20">
        <f>Data[[#This Row],[DUs]]</f>
        <v>411</v>
      </c>
      <c r="U24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1" s="101">
        <f>VLOOKUP(Data[[#This Row],[DEVELOPMENT]],'[2]NYCHA_Development_Data_Book 201'!$B$2:$E$324,3,FALSE)</f>
        <v>280</v>
      </c>
      <c r="Y241" s="20"/>
      <c r="Z241" s="20">
        <f>IFERROR(VLOOKUP(Data[[#This Row],[TDS]],'[7]Static Ext by TDS'!$A$5:$E$120,2,FALSE),0)</f>
        <v>0</v>
      </c>
      <c r="AA241" s="20">
        <f>IFERROR(VLOOKUP(Data[[#This Row],[TDS]],'[7]Static Int by TDS'!$A$6:$O$305,2,FALSE),0)</f>
        <v>7</v>
      </c>
      <c r="AB241" s="20"/>
      <c r="AC241" s="20"/>
      <c r="AD241" s="20">
        <f>IFERROR(VLOOKUP(Data[[#This Row],[TDS]],'[7]Static Ext by TDS'!$A$5:$P$120,3,FALSE)+VLOOKUP(Data[[#This Row],[TDS]],'[7]Static Ext by TDS'!$A$5:$P$120,6,FALSE),0)</f>
        <v>0</v>
      </c>
      <c r="AE241" s="20">
        <f>IFERROR(VLOOKUP(Data[[#This Row],[TDS]],'[7]Static Int by TDS'!$A$6:$O$305,3,FALSE)+VLOOKUP(Data[[#This Row],[TDS]],'[7]Static Int by TDS'!$A$6:$O$305,6,FALSE),0)</f>
        <v>7</v>
      </c>
      <c r="AF241" s="20" t="str">
        <f>VLOOKUP(Data[[#This Row],[DEVELOPMENT]],[8]Developments!$A$2:$A$312,1,FALSE)</f>
        <v>SACK WERN</v>
      </c>
    </row>
    <row r="242" spans="1:32" x14ac:dyDescent="0.25">
      <c r="A242" t="s">
        <v>123</v>
      </c>
      <c r="B242" t="str">
        <f>VLOOKUP(Data[[#This Row],[DEVELOPMENT]],'[2]NYCHA_Development_Data_Book 201'!$B$2:$AY$324,40,FALSE)</f>
        <v>BRONX</v>
      </c>
      <c r="C242" t="str">
        <f>VLOOKUP(Data[[#This Row],[DEVELOPMENT]],'[3]Cheat-Sheet'!$D$2:$Q$341,2,FALSE)</f>
        <v>SAINT MARY'S PARK</v>
      </c>
      <c r="D242" t="str">
        <f>IF(VLOOKUP(Data[[#This Row],[DEVELOPMENT]],'[4]IC Categories'!$A$2:$G$325,3,FALSE)=0,"",VLOOKUP(Data[[#This Row],[DEVELOPMENT]],'[4]IC Categories'!$A$2:$G$325,3,FALSE))</f>
        <v/>
      </c>
      <c r="E242">
        <f>VLOOKUP(Data[[#This Row],[DEVELOPMENT]],'[2]NYCHA_Development_Data_Book 201'!$B$2:$AY$324,21,FALSE)</f>
        <v>6</v>
      </c>
      <c r="F242">
        <f>VLOOKUP(Data[[#This Row],[DEVELOPMENT]],'[2]NYCHA_Development_Data_Book 201'!$B$2:$AY$324,23,FALSE)</f>
        <v>6</v>
      </c>
      <c r="G242">
        <f>VLOOKUP(Data[[#This Row],[DEVELOPMENT]],'[2]NYCHA_Development_Data_Book 201'!$B$2:$AY$324,12,FALSE)</f>
        <v>1005</v>
      </c>
      <c r="H242" t="s">
        <v>474</v>
      </c>
      <c r="I242" t="s">
        <v>471</v>
      </c>
      <c r="J242">
        <f>IFERROR(VLOOKUP(Data[[#This Row],[DEVELOPMENT]],[5]!Table1[[DEVELOPMENTS]:[Installation Date of Exterior Compactor]],4,FALSE),0)</f>
        <v>0</v>
      </c>
      <c r="K242" s="20">
        <f>IFERROR(VLOOKUP(Data[[#This Row],[DEVELOPMENT]],[5]!Table1[[DEVELOPMENTS]:[Installation Date of Exterior Compactor]],7,FALSE),0)</f>
        <v>0</v>
      </c>
      <c r="L242" s="42" t="str">
        <f>IF(Data[[#This Row],['# Interior Compactors]]=0,"",VLOOKUP(Data[[#This Row],[DEVELOPMENT]],[5]!Table1[[DEVELOPMENTS]:[Installation Date of Exterior Compactor]],5,FALSE))</f>
        <v/>
      </c>
      <c r="M242" s="43" t="str">
        <f>IF(Data[[#This Row],['# Exterior Compactors]]=0,"",VLOOKUP(Data[[#This Row],[DEVELOPMENT]],[5]!Table1[[DEVELOPMENTS]:[Installation Date of Exterior Compactor]],8,FALSE))</f>
        <v/>
      </c>
      <c r="N242">
        <f>Data[[#This Row],['# Interior Compactors]]</f>
        <v>0</v>
      </c>
      <c r="O242" s="20">
        <f>1</f>
        <v>1</v>
      </c>
      <c r="P242" s="20">
        <f>1</f>
        <v>1</v>
      </c>
      <c r="Q242" s="20">
        <f>1</f>
        <v>1</v>
      </c>
      <c r="R242" s="20">
        <f>1</f>
        <v>1</v>
      </c>
      <c r="S242" s="20">
        <f>1</f>
        <v>1</v>
      </c>
      <c r="T242" s="20">
        <f>Data[[#This Row],[DUs]]</f>
        <v>1005</v>
      </c>
      <c r="U24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2" s="101">
        <f>VLOOKUP(Data[[#This Row],[DEVELOPMENT]],'[2]NYCHA_Development_Data_Book 201'!$B$2:$E$324,3,FALSE)</f>
        <v>93</v>
      </c>
      <c r="Y242" s="20"/>
      <c r="Z242" s="20">
        <f>IFERROR(VLOOKUP(Data[[#This Row],[TDS]],'[7]Static Ext by TDS'!$A$5:$E$120,2,FALSE),0)</f>
        <v>2</v>
      </c>
      <c r="AA242" s="20">
        <f>IFERROR(VLOOKUP(Data[[#This Row],[TDS]],'[7]Static Int by TDS'!$A$6:$O$305,2,FALSE),0)</f>
        <v>6</v>
      </c>
      <c r="AB242" s="20"/>
      <c r="AC242" s="20"/>
      <c r="AD242" s="20">
        <f>IFERROR(VLOOKUP(Data[[#This Row],[TDS]],'[7]Static Ext by TDS'!$A$5:$P$120,3,FALSE)+VLOOKUP(Data[[#This Row],[TDS]],'[7]Static Ext by TDS'!$A$5:$P$120,6,FALSE),0)</f>
        <v>2</v>
      </c>
      <c r="AE242" s="20">
        <f>IFERROR(VLOOKUP(Data[[#This Row],[TDS]],'[7]Static Int by TDS'!$A$6:$O$305,3,FALSE)+VLOOKUP(Data[[#This Row],[TDS]],'[7]Static Int by TDS'!$A$6:$O$305,6,FALSE),0)</f>
        <v>6</v>
      </c>
      <c r="AF242" s="20" t="str">
        <f>VLOOKUP(Data[[#This Row],[DEVELOPMENT]],[8]Developments!$A$2:$A$312,1,FALSE)</f>
        <v>SAINT MARY'S PARK</v>
      </c>
    </row>
    <row r="243" spans="1:32" x14ac:dyDescent="0.25">
      <c r="A243" t="s">
        <v>136</v>
      </c>
      <c r="B243" t="str">
        <f>VLOOKUP(Data[[#This Row],[DEVELOPMENT]],'[2]NYCHA_Development_Data_Book 201'!$B$2:$AY$324,40,FALSE)</f>
        <v>MANHATTAN</v>
      </c>
      <c r="C243" t="str">
        <f>VLOOKUP(Data[[#This Row],[DEVELOPMENT]],'[3]Cheat-Sheet'!$D$2:$Q$341,2,FALSE)</f>
        <v>SAINT NICHOLAS</v>
      </c>
      <c r="D243" t="str">
        <f>IF(VLOOKUP(Data[[#This Row],[DEVELOPMENT]],'[4]IC Categories'!$A$2:$G$325,3,FALSE)=0,"",VLOOKUP(Data[[#This Row],[DEVELOPMENT]],'[4]IC Categories'!$A$2:$G$325,3,FALSE))</f>
        <v/>
      </c>
      <c r="E243">
        <f>VLOOKUP(Data[[#This Row],[DEVELOPMENT]],'[2]NYCHA_Development_Data_Book 201'!$B$2:$AY$324,21,FALSE)</f>
        <v>13</v>
      </c>
      <c r="F243">
        <f>VLOOKUP(Data[[#This Row],[DEVELOPMENT]],'[2]NYCHA_Development_Data_Book 201'!$B$2:$AY$324,23,FALSE)</f>
        <v>14</v>
      </c>
      <c r="G243">
        <f>VLOOKUP(Data[[#This Row],[DEVELOPMENT]],'[2]NYCHA_Development_Data_Book 201'!$B$2:$AY$324,12,FALSE)</f>
        <v>1525</v>
      </c>
      <c r="H243" t="s">
        <v>470</v>
      </c>
      <c r="I243" t="s">
        <v>471</v>
      </c>
      <c r="J243">
        <f>IFERROR(VLOOKUP(Data[[#This Row],[DEVELOPMENT]],[5]!Table1[[DEVELOPMENTS]:[Installation Date of Exterior Compactor]],4,FALSE),0)</f>
        <v>0</v>
      </c>
      <c r="K243" s="20">
        <f>IFERROR(VLOOKUP(Data[[#This Row],[DEVELOPMENT]],[5]!Table1[[DEVELOPMENTS]:[Installation Date of Exterior Compactor]],7,FALSE),0)</f>
        <v>0</v>
      </c>
      <c r="L243" s="42" t="str">
        <f>IF(Data[[#This Row],['# Interior Compactors]]=0,"",VLOOKUP(Data[[#This Row],[DEVELOPMENT]],[5]!Table1[[DEVELOPMENTS]:[Installation Date of Exterior Compactor]],5,FALSE))</f>
        <v/>
      </c>
      <c r="M243" s="43" t="str">
        <f>IF(Data[[#This Row],['# Exterior Compactors]]=0,"",VLOOKUP(Data[[#This Row],[DEVELOPMENT]],[5]!Table1[[DEVELOPMENTS]:[Installation Date of Exterior Compactor]],8,FALSE))</f>
        <v/>
      </c>
      <c r="N243">
        <f>Data[[#This Row],['# Interior Compactors]]</f>
        <v>0</v>
      </c>
      <c r="O243" s="20">
        <f>1</f>
        <v>1</v>
      </c>
      <c r="P243" s="20">
        <f>1</f>
        <v>1</v>
      </c>
      <c r="Q243" s="20">
        <f>1</f>
        <v>1</v>
      </c>
      <c r="R243" s="20">
        <f>1</f>
        <v>1</v>
      </c>
      <c r="S243" s="20">
        <f>1</f>
        <v>1</v>
      </c>
      <c r="T243" s="20">
        <f>Data[[#This Row],[DUs]]</f>
        <v>1525</v>
      </c>
      <c r="U24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3" s="101">
        <f>VLOOKUP(Data[[#This Row],[DEVELOPMENT]],'[2]NYCHA_Development_Data_Book 201'!$B$2:$E$324,3,FALSE)</f>
        <v>38</v>
      </c>
      <c r="Y243" s="20"/>
      <c r="Z243" s="20">
        <f>IFERROR(VLOOKUP(Data[[#This Row],[TDS]],'[7]Static Ext by TDS'!$A$5:$E$120,2,FALSE),0)</f>
        <v>3</v>
      </c>
      <c r="AA243" s="20">
        <f>IFERROR(VLOOKUP(Data[[#This Row],[TDS]],'[7]Static Int by TDS'!$A$6:$O$305,2,FALSE),0)</f>
        <v>14</v>
      </c>
      <c r="AB243" s="20"/>
      <c r="AC243" s="20"/>
      <c r="AD243" s="20">
        <f>IFERROR(VLOOKUP(Data[[#This Row],[TDS]],'[7]Static Ext by TDS'!$A$5:$P$120,3,FALSE)+VLOOKUP(Data[[#This Row],[TDS]],'[7]Static Ext by TDS'!$A$5:$P$120,6,FALSE),0)</f>
        <v>3</v>
      </c>
      <c r="AE243" s="20">
        <f>IFERROR(VLOOKUP(Data[[#This Row],[TDS]],'[7]Static Int by TDS'!$A$6:$O$305,3,FALSE)+VLOOKUP(Data[[#This Row],[TDS]],'[7]Static Int by TDS'!$A$6:$O$305,6,FALSE),0)</f>
        <v>14</v>
      </c>
      <c r="AF243" s="20" t="str">
        <f>VLOOKUP(Data[[#This Row],[DEVELOPMENT]],[8]Developments!$A$2:$A$312,1,FALSE)</f>
        <v>SAINT NICHOLAS</v>
      </c>
    </row>
    <row r="244" spans="1:32" x14ac:dyDescent="0.25">
      <c r="A244" t="s">
        <v>95</v>
      </c>
      <c r="B244" t="str">
        <f>VLOOKUP(Data[[#This Row],[DEVELOPMENT]],'[2]NYCHA_Development_Data_Book 201'!$B$2:$AY$324,40,FALSE)</f>
        <v>MANHATTAN</v>
      </c>
      <c r="C244" t="str">
        <f>VLOOKUP(Data[[#This Row],[DEVELOPMENT]],'[3]Cheat-Sheet'!$D$2:$Q$341,2,FALSE)</f>
        <v>SAMUEL</v>
      </c>
      <c r="D244">
        <f>IF(VLOOKUP(Data[[#This Row],[DEVELOPMENT]],'[4]IC Categories'!$A$2:$G$325,3,FALSE)=0,"",VLOOKUP(Data[[#This Row],[DEVELOPMENT]],'[4]IC Categories'!$A$2:$G$325,3,FALSE))</f>
        <v>2026</v>
      </c>
      <c r="E244">
        <f>VLOOKUP(Data[[#This Row],[DEVELOPMENT]],'[2]NYCHA_Development_Data_Book 201'!$B$2:$AY$324,21,FALSE)</f>
        <v>40</v>
      </c>
      <c r="F244">
        <f>VLOOKUP(Data[[#This Row],[DEVELOPMENT]],'[2]NYCHA_Development_Data_Book 201'!$B$2:$AY$324,23,FALSE)</f>
        <v>43</v>
      </c>
      <c r="G244">
        <f>VLOOKUP(Data[[#This Row],[DEVELOPMENT]],'[2]NYCHA_Development_Data_Book 201'!$B$2:$AY$324,12,FALSE)</f>
        <v>664</v>
      </c>
      <c r="H244" t="s">
        <v>470</v>
      </c>
      <c r="I244" t="s">
        <v>475</v>
      </c>
      <c r="J244">
        <f>IFERROR(VLOOKUP(Data[[#This Row],[DEVELOPMENT]],[5]!Table1[[DEVELOPMENTS]:[Installation Date of Exterior Compactor]],4,FALSE),0)</f>
        <v>0</v>
      </c>
      <c r="K244" s="20">
        <f>IFERROR(VLOOKUP(Data[[#This Row],[DEVELOPMENT]],[5]!Table1[[DEVELOPMENTS]:[Installation Date of Exterior Compactor]],7,FALSE),0)</f>
        <v>0</v>
      </c>
      <c r="L244" s="42" t="str">
        <f>IF(Data[[#This Row],['# Interior Compactors]]=0,"",VLOOKUP(Data[[#This Row],[DEVELOPMENT]],[5]!Table1[[DEVELOPMENTS]:[Installation Date of Exterior Compactor]],5,FALSE))</f>
        <v/>
      </c>
      <c r="M244" s="43" t="str">
        <f>IF(Data[[#This Row],['# Exterior Compactors]]=0,"",VLOOKUP(Data[[#This Row],[DEVELOPMENT]],[5]!Table1[[DEVELOPMENTS]:[Installation Date of Exterior Compactor]],8,FALSE))</f>
        <v/>
      </c>
      <c r="N244">
        <f>Data[[#This Row],['# Interior Compactors]]</f>
        <v>0</v>
      </c>
      <c r="O244" s="20">
        <f>1</f>
        <v>1</v>
      </c>
      <c r="P244" s="20">
        <f>1</f>
        <v>1</v>
      </c>
      <c r="Q244" s="20">
        <f>1</f>
        <v>1</v>
      </c>
      <c r="R244" s="20">
        <f>1</f>
        <v>1</v>
      </c>
      <c r="S244" s="20">
        <f>1</f>
        <v>1</v>
      </c>
      <c r="T244" s="20">
        <f>Data[[#This Row],[DUs]]</f>
        <v>664</v>
      </c>
      <c r="U24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4" s="101">
        <f>VLOOKUP(Data[[#This Row],[DEVELOPMENT]],'[2]NYCHA_Development_Data_Book 201'!$B$2:$E$324,3,FALSE)</f>
        <v>377</v>
      </c>
      <c r="Y244" s="20"/>
      <c r="Z244" s="20">
        <f>IFERROR(VLOOKUP(Data[[#This Row],[TDS]],'[7]Static Ext by TDS'!$A$5:$E$120,2,FALSE),0)</f>
        <v>0</v>
      </c>
      <c r="AA244" s="20">
        <f>IFERROR(VLOOKUP(Data[[#This Row],[TDS]],'[7]Static Int by TDS'!$A$6:$O$305,2,FALSE),0)</f>
        <v>40</v>
      </c>
      <c r="AB244" s="20"/>
      <c r="AC244" s="20"/>
      <c r="AD244" s="20">
        <f>IFERROR(VLOOKUP(Data[[#This Row],[TDS]],'[7]Static Ext by TDS'!$A$5:$P$120,3,FALSE)+VLOOKUP(Data[[#This Row],[TDS]],'[7]Static Ext by TDS'!$A$5:$P$120,6,FALSE),0)</f>
        <v>0</v>
      </c>
      <c r="AE244" s="20">
        <f>IFERROR(VLOOKUP(Data[[#This Row],[TDS]],'[7]Static Int by TDS'!$A$6:$O$305,3,FALSE)+VLOOKUP(Data[[#This Row],[TDS]],'[7]Static Int by TDS'!$A$6:$O$305,6,FALSE),0)</f>
        <v>40</v>
      </c>
      <c r="AF244" s="20" t="str">
        <f>VLOOKUP(Data[[#This Row],[DEVELOPMENT]],[8]Developments!$A$2:$A$312,1,FALSE)</f>
        <v>SAMUEL (CITY)</v>
      </c>
    </row>
    <row r="245" spans="1:32" x14ac:dyDescent="0.25">
      <c r="A245" t="s">
        <v>306</v>
      </c>
      <c r="B245" s="20" t="str">
        <f>VLOOKUP(Data[[#This Row],[DEVELOPMENT]],'[2]NYCHA_Development_Data_Book 201'!$B$2:$AY$324,40,FALSE)</f>
        <v>MANHATTAN</v>
      </c>
      <c r="C245" s="20" t="str">
        <f>VLOOKUP(Data[[#This Row],[DEVELOPMENT]],'[3]Cheat-Sheet'!$D$2:$Q$341,2,FALSE)</f>
        <v>KRAUS MANAGEMENT (PRIVATE - M/B 1)</v>
      </c>
      <c r="D245" s="20">
        <f>IF(VLOOKUP(Data[[#This Row],[DEVELOPMENT]],'[4]IC Categories'!$A$2:$G$325,3,FALSE)=0,"",VLOOKUP(Data[[#This Row],[DEVELOPMENT]],'[4]IC Categories'!$A$2:$G$325,3,FALSE))</f>
        <v>2019</v>
      </c>
      <c r="E245" s="20">
        <f>VLOOKUP(Data[[#This Row],[DEVELOPMENT]],'[2]NYCHA_Development_Data_Book 201'!$B$2:$AY$324,21,FALSE)</f>
        <v>5</v>
      </c>
      <c r="F245" s="20">
        <f>VLOOKUP(Data[[#This Row],[DEVELOPMENT]],'[2]NYCHA_Development_Data_Book 201'!$B$2:$AY$324,23,FALSE)</f>
        <v>5</v>
      </c>
      <c r="G245" s="20">
        <f>VLOOKUP(Data[[#This Row],[DEVELOPMENT]],'[2]NYCHA_Development_Data_Book 201'!$B$2:$AY$324,12,FALSE)</f>
        <v>24</v>
      </c>
      <c r="J245">
        <f>IFERROR(VLOOKUP(Data[[#This Row],[DEVELOPMENT]],[5]!Table1[[DEVELOPMENTS]:[Installation Date of Exterior Compactor]],4,FALSE),0)</f>
        <v>0</v>
      </c>
      <c r="K245" s="20">
        <f>IFERROR(VLOOKUP(Data[[#This Row],[DEVELOPMENT]],[5]!Table1[[DEVELOPMENTS]:[Installation Date of Exterior Compactor]],7,FALSE),0)</f>
        <v>0</v>
      </c>
      <c r="L245" s="42" t="str">
        <f>IF(Data[[#This Row],['# Interior Compactors]]=0,"",VLOOKUP(Data[[#This Row],[DEVELOPMENT]],[5]!Table1[[DEVELOPMENTS]:[Installation Date of Exterior Compactor]],5,FALSE))</f>
        <v/>
      </c>
      <c r="M245" s="43" t="str">
        <f>IF(Data[[#This Row],['# Exterior Compactors]]=0,"",VLOOKUP(Data[[#This Row],[DEVELOPMENT]],[5]!Table1[[DEVELOPMENTS]:[Installation Date of Exterior Compactor]],8,FALSE))</f>
        <v/>
      </c>
      <c r="N245" s="20">
        <f>Data[[#This Row],['# Interior Compactors]]</f>
        <v>0</v>
      </c>
      <c r="O245" s="20">
        <f>1</f>
        <v>1</v>
      </c>
      <c r="P245" s="20">
        <f>1</f>
        <v>1</v>
      </c>
      <c r="Q245" s="20">
        <f>1</f>
        <v>1</v>
      </c>
      <c r="R245" s="20">
        <f>1</f>
        <v>1</v>
      </c>
      <c r="S245" s="20">
        <f>1</f>
        <v>1</v>
      </c>
      <c r="T245" s="20">
        <f>Data[[#This Row],[DUs]]</f>
        <v>24</v>
      </c>
      <c r="U24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5" s="101">
        <f>VLOOKUP(Data[[#This Row],[DEVELOPMENT]],'[2]NYCHA_Development_Data_Book 201'!$B$2:$E$324,3,FALSE)</f>
        <v>389</v>
      </c>
      <c r="Y245" s="20"/>
      <c r="Z245" s="20">
        <f>IFERROR(VLOOKUP(Data[[#This Row],[TDS]],'[7]Static Ext by TDS'!$A$5:$E$120,2,FALSE),0)</f>
        <v>0</v>
      </c>
      <c r="AA245" s="20">
        <f>IFERROR(VLOOKUP(Data[[#This Row],[TDS]],'[7]Static Int by TDS'!$A$6:$O$305,2,FALSE),0)</f>
        <v>1</v>
      </c>
      <c r="AB245" s="20"/>
      <c r="AC245" s="20"/>
      <c r="AD245" s="20">
        <f>IFERROR(VLOOKUP(Data[[#This Row],[TDS]],'[7]Static Ext by TDS'!$A$5:$P$120,3,FALSE)+VLOOKUP(Data[[#This Row],[TDS]],'[7]Static Ext by TDS'!$A$5:$P$120,6,FALSE),0)</f>
        <v>0</v>
      </c>
      <c r="AE245" s="20">
        <f>IFERROR(VLOOKUP(Data[[#This Row],[TDS]],'[7]Static Int by TDS'!$A$6:$O$305,3,FALSE)+VLOOKUP(Data[[#This Row],[TDS]],'[7]Static Int by TDS'!$A$6:$O$305,6,FALSE),0)</f>
        <v>1</v>
      </c>
      <c r="AF245" s="20" t="str">
        <f>VLOOKUP(Data[[#This Row],[DEVELOPMENT]],[8]Developments!$A$2:$A$312,1,FALSE)</f>
        <v>SAMUEL (MHOP) I</v>
      </c>
    </row>
    <row r="246" spans="1:32" x14ac:dyDescent="0.25">
      <c r="A246" t="s">
        <v>307</v>
      </c>
      <c r="B246" s="20" t="str">
        <f>VLOOKUP(Data[[#This Row],[DEVELOPMENT]],'[2]NYCHA_Development_Data_Book 201'!$B$2:$AY$324,40,FALSE)</f>
        <v>MANHATTAN</v>
      </c>
      <c r="C246" s="20" t="str">
        <f>VLOOKUP(Data[[#This Row],[DEVELOPMENT]],'[3]Cheat-Sheet'!$D$2:$Q$341,2,FALSE)</f>
        <v>KRAUS MANAGEMENT (PRIVATE - M/B 1)</v>
      </c>
      <c r="D246" s="20">
        <f>IF(VLOOKUP(Data[[#This Row],[DEVELOPMENT]],'[4]IC Categories'!$A$2:$G$325,3,FALSE)=0,"",VLOOKUP(Data[[#This Row],[DEVELOPMENT]],'[4]IC Categories'!$A$2:$G$325,3,FALSE))</f>
        <v>2019</v>
      </c>
      <c r="E246" s="20">
        <f>VLOOKUP(Data[[#This Row],[DEVELOPMENT]],'[2]NYCHA_Development_Data_Book 201'!$B$2:$AY$324,21,FALSE)</f>
        <v>1</v>
      </c>
      <c r="F246" s="20">
        <f>VLOOKUP(Data[[#This Row],[DEVELOPMENT]],'[2]NYCHA_Development_Data_Book 201'!$B$2:$AY$324,23,FALSE)</f>
        <v>1</v>
      </c>
      <c r="G246" s="20">
        <f>VLOOKUP(Data[[#This Row],[DEVELOPMENT]],'[2]NYCHA_Development_Data_Book 201'!$B$2:$AY$324,12,FALSE)</f>
        <v>4</v>
      </c>
      <c r="J246">
        <f>IFERROR(VLOOKUP(Data[[#This Row],[DEVELOPMENT]],[5]!Table1[[DEVELOPMENTS]:[Installation Date of Exterior Compactor]],4,FALSE),0)</f>
        <v>0</v>
      </c>
      <c r="K246" s="20">
        <f>IFERROR(VLOOKUP(Data[[#This Row],[DEVELOPMENT]],[5]!Table1[[DEVELOPMENTS]:[Installation Date of Exterior Compactor]],7,FALSE),0)</f>
        <v>0</v>
      </c>
      <c r="L246" s="42" t="str">
        <f>IF(Data[[#This Row],['# Interior Compactors]]=0,"",VLOOKUP(Data[[#This Row],[DEVELOPMENT]],[5]!Table1[[DEVELOPMENTS]:[Installation Date of Exterior Compactor]],5,FALSE))</f>
        <v/>
      </c>
      <c r="M246" s="43" t="str">
        <f>IF(Data[[#This Row],['# Exterior Compactors]]=0,"",VLOOKUP(Data[[#This Row],[DEVELOPMENT]],[5]!Table1[[DEVELOPMENTS]:[Installation Date of Exterior Compactor]],8,FALSE))</f>
        <v/>
      </c>
      <c r="N246" s="20">
        <f>Data[[#This Row],['# Interior Compactors]]</f>
        <v>0</v>
      </c>
      <c r="O246" s="20">
        <f>1</f>
        <v>1</v>
      </c>
      <c r="P246" s="20">
        <f>1</f>
        <v>1</v>
      </c>
      <c r="Q246" s="20">
        <f>1</f>
        <v>1</v>
      </c>
      <c r="R246" s="20">
        <f>1</f>
        <v>1</v>
      </c>
      <c r="S246" s="20">
        <f>1</f>
        <v>1</v>
      </c>
      <c r="T246" s="20">
        <f>Data[[#This Row],[DUs]]</f>
        <v>4</v>
      </c>
      <c r="U24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6" s="101">
        <f>VLOOKUP(Data[[#This Row],[DEVELOPMENT]],'[2]NYCHA_Development_Data_Book 201'!$B$2:$E$324,3,FALSE)</f>
        <v>398</v>
      </c>
      <c r="Y246" s="20"/>
      <c r="Z246" s="20">
        <f>IFERROR(VLOOKUP(Data[[#This Row],[TDS]],'[7]Static Ext by TDS'!$A$5:$E$120,2,FALSE),0)</f>
        <v>0</v>
      </c>
      <c r="AA246" s="20">
        <f>IFERROR(VLOOKUP(Data[[#This Row],[TDS]],'[7]Static Int by TDS'!$A$6:$O$305,2,FALSE),0)</f>
        <v>0</v>
      </c>
      <c r="AB246" s="20"/>
      <c r="AC246" s="20"/>
      <c r="AD246" s="20">
        <f>IFERROR(VLOOKUP(Data[[#This Row],[TDS]],'[7]Static Ext by TDS'!$A$5:$P$120,3,FALSE)+VLOOKUP(Data[[#This Row],[TDS]],'[7]Static Ext by TDS'!$A$5:$P$120,6,FALSE),0)</f>
        <v>0</v>
      </c>
      <c r="AE246" s="20">
        <f>IFERROR(VLOOKUP(Data[[#This Row],[TDS]],'[7]Static Int by TDS'!$A$6:$O$305,3,FALSE)+VLOOKUP(Data[[#This Row],[TDS]],'[7]Static Int by TDS'!$A$6:$O$305,6,FALSE),0)</f>
        <v>0</v>
      </c>
      <c r="AF246" s="20" t="str">
        <f>VLOOKUP(Data[[#This Row],[DEVELOPMENT]],[8]Developments!$A$2:$A$312,1,FALSE)</f>
        <v>SAMUEL (MHOP) II</v>
      </c>
    </row>
    <row r="247" spans="1:32" x14ac:dyDescent="0.25">
      <c r="A247" t="s">
        <v>308</v>
      </c>
      <c r="B247" s="20" t="str">
        <f>VLOOKUP(Data[[#This Row],[DEVELOPMENT]],'[2]NYCHA_Development_Data_Book 201'!$B$2:$AY$324,40,FALSE)</f>
        <v>MANHATTAN</v>
      </c>
      <c r="C247" s="20" t="str">
        <f>VLOOKUP(Data[[#This Row],[DEVELOPMENT]],'[3]Cheat-Sheet'!$D$2:$Q$341,2,FALSE)</f>
        <v>KRAUS MANAGEMENT (PRIVATE - M/B 1)</v>
      </c>
      <c r="D247" s="20">
        <f>IF(VLOOKUP(Data[[#This Row],[DEVELOPMENT]],'[4]IC Categories'!$A$2:$G$325,3,FALSE)=0,"",VLOOKUP(Data[[#This Row],[DEVELOPMENT]],'[4]IC Categories'!$A$2:$G$325,3,FALSE))</f>
        <v>2019</v>
      </c>
      <c r="E247" s="20">
        <f>VLOOKUP(Data[[#This Row],[DEVELOPMENT]],'[2]NYCHA_Development_Data_Book 201'!$B$2:$AY$324,21,FALSE)</f>
        <v>1</v>
      </c>
      <c r="F247" s="20">
        <f>VLOOKUP(Data[[#This Row],[DEVELOPMENT]],'[2]NYCHA_Development_Data_Book 201'!$B$2:$AY$324,23,FALSE)</f>
        <v>1</v>
      </c>
      <c r="G247" s="20">
        <f>VLOOKUP(Data[[#This Row],[DEVELOPMENT]],'[2]NYCHA_Development_Data_Book 201'!$B$2:$AY$324,12,FALSE)</f>
        <v>1</v>
      </c>
      <c r="J247">
        <f>IFERROR(VLOOKUP(Data[[#This Row],[DEVELOPMENT]],[5]!Table1[[DEVELOPMENTS]:[Installation Date of Exterior Compactor]],4,FALSE),0)</f>
        <v>0</v>
      </c>
      <c r="K247" s="20">
        <f>IFERROR(VLOOKUP(Data[[#This Row],[DEVELOPMENT]],[5]!Table1[[DEVELOPMENTS]:[Installation Date of Exterior Compactor]],7,FALSE),0)</f>
        <v>0</v>
      </c>
      <c r="L247" s="42" t="str">
        <f>IF(Data[[#This Row],['# Interior Compactors]]=0,"",VLOOKUP(Data[[#This Row],[DEVELOPMENT]],[5]!Table1[[DEVELOPMENTS]:[Installation Date of Exterior Compactor]],5,FALSE))</f>
        <v/>
      </c>
      <c r="M247" s="43" t="str">
        <f>IF(Data[[#This Row],['# Exterior Compactors]]=0,"",VLOOKUP(Data[[#This Row],[DEVELOPMENT]],[5]!Table1[[DEVELOPMENTS]:[Installation Date of Exterior Compactor]],8,FALSE))</f>
        <v/>
      </c>
      <c r="N247" s="20">
        <f>Data[[#This Row],['# Interior Compactors]]</f>
        <v>0</v>
      </c>
      <c r="O247" s="20">
        <f>1</f>
        <v>1</v>
      </c>
      <c r="P247" s="20">
        <f>1</f>
        <v>1</v>
      </c>
      <c r="Q247" s="20">
        <f>1</f>
        <v>1</v>
      </c>
      <c r="R247" s="20">
        <f>1</f>
        <v>1</v>
      </c>
      <c r="S247" s="20">
        <f>1</f>
        <v>1</v>
      </c>
      <c r="T247" s="20">
        <f>Data[[#This Row],[DUs]]</f>
        <v>1</v>
      </c>
      <c r="U24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7" s="101">
        <f>VLOOKUP(Data[[#This Row],[DEVELOPMENT]],'[2]NYCHA_Development_Data_Book 201'!$B$2:$E$324,3,FALSE)</f>
        <v>399</v>
      </c>
      <c r="Y247" s="20"/>
      <c r="Z247" s="20">
        <f>IFERROR(VLOOKUP(Data[[#This Row],[TDS]],'[7]Static Ext by TDS'!$A$5:$E$120,2,FALSE),0)</f>
        <v>0</v>
      </c>
      <c r="AA247" s="20">
        <f>IFERROR(VLOOKUP(Data[[#This Row],[TDS]],'[7]Static Int by TDS'!$A$6:$O$305,2,FALSE),0)</f>
        <v>1</v>
      </c>
      <c r="AB247" s="20"/>
      <c r="AC247" s="20"/>
      <c r="AD247" s="20">
        <f>IFERROR(VLOOKUP(Data[[#This Row],[TDS]],'[7]Static Ext by TDS'!$A$5:$P$120,3,FALSE)+VLOOKUP(Data[[#This Row],[TDS]],'[7]Static Ext by TDS'!$A$5:$P$120,6,FALSE),0)</f>
        <v>0</v>
      </c>
      <c r="AE247" s="20">
        <f>IFERROR(VLOOKUP(Data[[#This Row],[TDS]],'[7]Static Int by TDS'!$A$6:$O$305,3,FALSE)+VLOOKUP(Data[[#This Row],[TDS]],'[7]Static Int by TDS'!$A$6:$O$305,6,FALSE),0)</f>
        <v>1</v>
      </c>
      <c r="AF247" s="20" t="str">
        <f>VLOOKUP(Data[[#This Row],[DEVELOPMENT]],[8]Developments!$A$2:$A$312,1,FALSE)</f>
        <v>SAMUEL (MHOP) III</v>
      </c>
    </row>
    <row r="248" spans="1:32" x14ac:dyDescent="0.25">
      <c r="A248" t="s">
        <v>309</v>
      </c>
      <c r="B248" s="20" t="str">
        <f>VLOOKUP(Data[[#This Row],[DEVELOPMENT]],'[2]NYCHA_Development_Data_Book 201'!$B$2:$AY$324,40,FALSE)</f>
        <v>BROOKLYN</v>
      </c>
      <c r="C248" s="20" t="str">
        <f>VLOOKUP(Data[[#This Row],[DEVELOPMENT]],'[3]Cheat-Sheet'!$D$2:$Q$341,2,FALSE)</f>
        <v>OCEAN HILL APARTMENTS</v>
      </c>
      <c r="D248" s="20" t="str">
        <f>IF(VLOOKUP(Data[[#This Row],[DEVELOPMENT]],'[4]IC Categories'!$A$2:$G$325,3,FALSE)=0,"",VLOOKUP(Data[[#This Row],[DEVELOPMENT]],'[4]IC Categories'!$A$2:$G$325,3,FALSE))</f>
        <v/>
      </c>
      <c r="E248" s="20">
        <f>VLOOKUP(Data[[#This Row],[DEVELOPMENT]],'[2]NYCHA_Development_Data_Book 201'!$B$2:$AY$324,21,FALSE)</f>
        <v>1</v>
      </c>
      <c r="F248" s="20">
        <f>VLOOKUP(Data[[#This Row],[DEVELOPMENT]],'[2]NYCHA_Development_Data_Book 201'!$B$2:$AY$324,23,FALSE)</f>
        <v>1</v>
      </c>
      <c r="G248" s="20">
        <f>VLOOKUP(Data[[#This Row],[DEVELOPMENT]],'[2]NYCHA_Development_Data_Book 201'!$B$2:$AY$324,12,FALSE)</f>
        <v>125</v>
      </c>
      <c r="J248">
        <f>IFERROR(VLOOKUP(Data[[#This Row],[DEVELOPMENT]],[5]!Table1[[DEVELOPMENTS]:[Installation Date of Exterior Compactor]],4,FALSE),0)</f>
        <v>0</v>
      </c>
      <c r="K248" s="20">
        <f>IFERROR(VLOOKUP(Data[[#This Row],[DEVELOPMENT]],[5]!Table1[[DEVELOPMENTS]:[Installation Date of Exterior Compactor]],7,FALSE),0)</f>
        <v>0</v>
      </c>
      <c r="L248" s="42" t="str">
        <f>IF(Data[[#This Row],['# Interior Compactors]]=0,"",VLOOKUP(Data[[#This Row],[DEVELOPMENT]],[5]!Table1[[DEVELOPMENTS]:[Installation Date of Exterior Compactor]],5,FALSE))</f>
        <v/>
      </c>
      <c r="M248" s="43" t="str">
        <f>IF(Data[[#This Row],['# Exterior Compactors]]=0,"",VLOOKUP(Data[[#This Row],[DEVELOPMENT]],[5]!Table1[[DEVELOPMENTS]:[Installation Date of Exterior Compactor]],8,FALSE))</f>
        <v/>
      </c>
      <c r="N248" s="20">
        <f>Data[[#This Row],['# Interior Compactors]]</f>
        <v>0</v>
      </c>
      <c r="O248" s="20">
        <f>1</f>
        <v>1</v>
      </c>
      <c r="P248" s="20">
        <f>1</f>
        <v>1</v>
      </c>
      <c r="Q248" s="20">
        <f>1</f>
        <v>1</v>
      </c>
      <c r="R248" s="20">
        <f>1</f>
        <v>1</v>
      </c>
      <c r="S248" s="20">
        <f>1</f>
        <v>1</v>
      </c>
      <c r="T248" s="20">
        <f>Data[[#This Row],[DUs]]</f>
        <v>125</v>
      </c>
      <c r="U24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8" s="101">
        <f>VLOOKUP(Data[[#This Row],[DEVELOPMENT]],'[2]NYCHA_Development_Data_Book 201'!$B$2:$E$324,3,FALSE)</f>
        <v>158</v>
      </c>
      <c r="Y248" s="20" t="s">
        <v>473</v>
      </c>
      <c r="Z248" s="20">
        <f>IFERROR(VLOOKUP(Data[[#This Row],[TDS]],'[7]Static Ext by TDS'!$A$5:$E$120,2,FALSE),0)</f>
        <v>0</v>
      </c>
      <c r="AA248" s="20">
        <f>IFERROR(VLOOKUP(Data[[#This Row],[TDS]],'[7]Static Int by TDS'!$A$6:$O$305,2,FALSE),0)</f>
        <v>1</v>
      </c>
      <c r="AB248" s="20"/>
      <c r="AC248" s="20"/>
      <c r="AD248" s="20">
        <f>IFERROR(VLOOKUP(Data[[#This Row],[TDS]],'[7]Static Ext by TDS'!$A$5:$P$120,3,FALSE)+VLOOKUP(Data[[#This Row],[TDS]],'[7]Static Ext by TDS'!$A$5:$P$120,6,FALSE),0)</f>
        <v>0</v>
      </c>
      <c r="AE248" s="20">
        <f>IFERROR(VLOOKUP(Data[[#This Row],[TDS]],'[7]Static Int by TDS'!$A$6:$O$305,3,FALSE)+VLOOKUP(Data[[#This Row],[TDS]],'[7]Static Int by TDS'!$A$6:$O$305,6,FALSE),0)</f>
        <v>1</v>
      </c>
      <c r="AF248" s="20" t="str">
        <f>VLOOKUP(Data[[#This Row],[DEVELOPMENT]],[8]Developments!$A$2:$A$312,1,FALSE)</f>
        <v>SARATOGA VILLAGE</v>
      </c>
    </row>
    <row r="249" spans="1:32" x14ac:dyDescent="0.25">
      <c r="A249" t="s">
        <v>310</v>
      </c>
      <c r="B249" s="20" t="str">
        <f>VLOOKUP(Data[[#This Row],[DEVELOPMENT]],'[2]NYCHA_Development_Data_Book 201'!$B$2:$AY$324,40,FALSE)</f>
        <v>BRONX</v>
      </c>
      <c r="C249" s="20" t="str">
        <f>VLOOKUP(Data[[#This Row],[DEVELOPMENT]],'[3]Cheat-Sheet'!$D$2:$Q$341,2,FALSE)</f>
        <v>SEDGWICK</v>
      </c>
      <c r="D249" s="20" t="str">
        <f>IF(VLOOKUP(Data[[#This Row],[DEVELOPMENT]],'[4]IC Categories'!$A$2:$G$325,3,FALSE)=0,"",VLOOKUP(Data[[#This Row],[DEVELOPMENT]],'[4]IC Categories'!$A$2:$G$325,3,FALSE))</f>
        <v/>
      </c>
      <c r="E249" s="20">
        <f>VLOOKUP(Data[[#This Row],[DEVELOPMENT]],'[2]NYCHA_Development_Data_Book 201'!$B$2:$AY$324,21,FALSE)</f>
        <v>7</v>
      </c>
      <c r="F249" s="20">
        <f>VLOOKUP(Data[[#This Row],[DEVELOPMENT]],'[2]NYCHA_Development_Data_Book 201'!$B$2:$AY$324,23,FALSE)</f>
        <v>7</v>
      </c>
      <c r="G249" s="20">
        <f>VLOOKUP(Data[[#This Row],[DEVELOPMENT]],'[2]NYCHA_Development_Data_Book 201'!$B$2:$AY$324,12,FALSE)</f>
        <v>783</v>
      </c>
      <c r="J249">
        <f>IFERROR(VLOOKUP(Data[[#This Row],[DEVELOPMENT]],[5]!Table1[[DEVELOPMENTS]:[Installation Date of Exterior Compactor]],4,FALSE),0)</f>
        <v>0</v>
      </c>
      <c r="K249" s="20">
        <f>IFERROR(VLOOKUP(Data[[#This Row],[DEVELOPMENT]],[5]!Table1[[DEVELOPMENTS]:[Installation Date of Exterior Compactor]],7,FALSE),0)</f>
        <v>0</v>
      </c>
      <c r="L249" s="42" t="str">
        <f>IF(Data[[#This Row],['# Interior Compactors]]=0,"",VLOOKUP(Data[[#This Row],[DEVELOPMENT]],[5]!Table1[[DEVELOPMENTS]:[Installation Date of Exterior Compactor]],5,FALSE))</f>
        <v/>
      </c>
      <c r="M249" s="43" t="str">
        <f>IF(Data[[#This Row],['# Exterior Compactors]]=0,"",VLOOKUP(Data[[#This Row],[DEVELOPMENT]],[5]!Table1[[DEVELOPMENTS]:[Installation Date of Exterior Compactor]],8,FALSE))</f>
        <v/>
      </c>
      <c r="N249" s="20">
        <f>Data[[#This Row],['# Interior Compactors]]</f>
        <v>0</v>
      </c>
      <c r="O249" s="20">
        <f>1</f>
        <v>1</v>
      </c>
      <c r="P249" s="20">
        <f>1</f>
        <v>1</v>
      </c>
      <c r="Q249" s="20">
        <f>1</f>
        <v>1</v>
      </c>
      <c r="R249" s="20">
        <f>1</f>
        <v>1</v>
      </c>
      <c r="S249" s="20">
        <f>1</f>
        <v>1</v>
      </c>
      <c r="T249" s="20">
        <f>Data[[#This Row],[DUs]]</f>
        <v>783</v>
      </c>
      <c r="U24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4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4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49" s="101">
        <f>VLOOKUP(Data[[#This Row],[DEVELOPMENT]],'[2]NYCHA_Development_Data_Book 201'!$B$2:$E$324,3,FALSE)</f>
        <v>45</v>
      </c>
      <c r="Y249" s="20"/>
      <c r="Z249" s="20">
        <f>IFERROR(VLOOKUP(Data[[#This Row],[TDS]],'[7]Static Ext by TDS'!$A$5:$E$120,2,FALSE),0)</f>
        <v>2</v>
      </c>
      <c r="AA249" s="20">
        <f>IFERROR(VLOOKUP(Data[[#This Row],[TDS]],'[7]Static Int by TDS'!$A$6:$O$305,2,FALSE),0)</f>
        <v>7</v>
      </c>
      <c r="AB249" s="20"/>
      <c r="AC249" s="20"/>
      <c r="AD249" s="20">
        <f>IFERROR(VLOOKUP(Data[[#This Row],[TDS]],'[7]Static Ext by TDS'!$A$5:$P$120,3,FALSE)+VLOOKUP(Data[[#This Row],[TDS]],'[7]Static Ext by TDS'!$A$5:$P$120,6,FALSE),0)</f>
        <v>2</v>
      </c>
      <c r="AE249" s="20">
        <f>IFERROR(VLOOKUP(Data[[#This Row],[TDS]],'[7]Static Int by TDS'!$A$6:$O$305,3,FALSE)+VLOOKUP(Data[[#This Row],[TDS]],'[7]Static Int by TDS'!$A$6:$O$305,6,FALSE),0)</f>
        <v>7</v>
      </c>
      <c r="AF249" s="20" t="str">
        <f>VLOOKUP(Data[[#This Row],[DEVELOPMENT]],[8]Developments!$A$2:$A$312,1,FALSE)</f>
        <v>SEDGWICK</v>
      </c>
    </row>
    <row r="250" spans="1:32" x14ac:dyDescent="0.25">
      <c r="A250" s="17" t="s">
        <v>65</v>
      </c>
      <c r="B250" s="17" t="str">
        <f>VLOOKUP(Data[[#This Row],[DEVELOPMENT]],'[2]NYCHA_Development_Data_Book 201'!$B$2:$AY$324,40,FALSE)</f>
        <v>MANHATTAN</v>
      </c>
      <c r="C250" t="str">
        <f>VLOOKUP(Data[[#This Row],[DEVELOPMENT]],'[3]Cheat-Sheet'!$D$2:$Q$341,2,FALSE)</f>
        <v>GOMPERS</v>
      </c>
      <c r="D250" t="str">
        <f>IF(VLOOKUP(Data[[#This Row],[DEVELOPMENT]],'[4]IC Categories'!$A$2:$G$325,3,FALSE)=0,"",VLOOKUP(Data[[#This Row],[DEVELOPMENT]],'[4]IC Categories'!$A$2:$G$325,3,FALSE))</f>
        <v/>
      </c>
      <c r="E250">
        <f>VLOOKUP(Data[[#This Row],[DEVELOPMENT]],'[2]NYCHA_Development_Data_Book 201'!$B$2:$AY$324,21,FALSE)</f>
        <v>2</v>
      </c>
      <c r="F250">
        <f>VLOOKUP(Data[[#This Row],[DEVELOPMENT]],'[2]NYCHA_Development_Data_Book 201'!$B$2:$AY$324,23,FALSE)</f>
        <v>5</v>
      </c>
      <c r="G250">
        <f>VLOOKUP(Data[[#This Row],[DEVELOPMENT]],'[2]NYCHA_Development_Data_Book 201'!$B$2:$AY$324,12,FALSE)</f>
        <v>360</v>
      </c>
      <c r="H250" t="s">
        <v>472</v>
      </c>
      <c r="I250" t="s">
        <v>471</v>
      </c>
      <c r="J250">
        <f>IFERROR(VLOOKUP(Data[[#This Row],[DEVELOPMENT]],[5]!Table1[[DEVELOPMENTS]:[Installation Date of Exterior Compactor]],4,FALSE),0)</f>
        <v>0</v>
      </c>
      <c r="K250" s="20">
        <f>IFERROR(VLOOKUP(Data[[#This Row],[DEVELOPMENT]],[5]!Table1[[DEVELOPMENTS]:[Installation Date of Exterior Compactor]],7,FALSE),0)</f>
        <v>0</v>
      </c>
      <c r="L250" s="42" t="str">
        <f>IF(Data[[#This Row],['# Interior Compactors]]=0,"",VLOOKUP(Data[[#This Row],[DEVELOPMENT]],[5]!Table1[[DEVELOPMENTS]:[Installation Date of Exterior Compactor]],5,FALSE))</f>
        <v/>
      </c>
      <c r="M250" s="43" t="str">
        <f>IF(Data[[#This Row],['# Exterior Compactors]]=0,"",VLOOKUP(Data[[#This Row],[DEVELOPMENT]],[5]!Table1[[DEVELOPMENTS]:[Installation Date of Exterior Compactor]],8,FALSE))</f>
        <v/>
      </c>
      <c r="N250">
        <f>Data[[#This Row],['# Interior Compactors]]</f>
        <v>0</v>
      </c>
      <c r="O250" s="20">
        <f>1</f>
        <v>1</v>
      </c>
      <c r="P250" s="20">
        <f>1</f>
        <v>1</v>
      </c>
      <c r="Q250" s="20">
        <f>1</f>
        <v>1</v>
      </c>
      <c r="R250" s="20">
        <f>1</f>
        <v>1</v>
      </c>
      <c r="S250" s="20">
        <f>1</f>
        <v>1</v>
      </c>
      <c r="T250" s="20">
        <f>Data[[#This Row],[DUs]]</f>
        <v>360</v>
      </c>
      <c r="U25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0" s="101">
        <f>VLOOKUP(Data[[#This Row],[DEVELOPMENT]],'[2]NYCHA_Development_Data_Book 201'!$B$2:$E$324,3,FALSE)</f>
        <v>192</v>
      </c>
      <c r="Y250" s="20" t="s">
        <v>473</v>
      </c>
      <c r="Z250" s="20">
        <f>IFERROR(VLOOKUP(Data[[#This Row],[TDS]],'[7]Static Ext by TDS'!$A$5:$E$120,2,FALSE),0)</f>
        <v>0</v>
      </c>
      <c r="AA250" s="20">
        <f>IFERROR(VLOOKUP(Data[[#This Row],[TDS]],'[7]Static Int by TDS'!$A$6:$O$305,2,FALSE),0)</f>
        <v>2</v>
      </c>
      <c r="AB250" s="20"/>
      <c r="AC250" s="20"/>
      <c r="AD250" s="20">
        <f>IFERROR(VLOOKUP(Data[[#This Row],[TDS]],'[7]Static Ext by TDS'!$A$5:$P$120,3,FALSE)+VLOOKUP(Data[[#This Row],[TDS]],'[7]Static Ext by TDS'!$A$5:$P$120,6,FALSE),0)</f>
        <v>0</v>
      </c>
      <c r="AE250" s="20">
        <f>IFERROR(VLOOKUP(Data[[#This Row],[TDS]],'[7]Static Int by TDS'!$A$6:$O$305,3,FALSE)+VLOOKUP(Data[[#This Row],[TDS]],'[7]Static Int by TDS'!$A$6:$O$305,6,FALSE),0)</f>
        <v>2</v>
      </c>
      <c r="AF250" s="20" t="str">
        <f>VLOOKUP(Data[[#This Row],[DEVELOPMENT]],[8]Developments!$A$2:$A$312,1,FALSE)</f>
        <v>SEWARD PARK EXTENSION</v>
      </c>
    </row>
    <row r="251" spans="1:32" x14ac:dyDescent="0.25">
      <c r="A251" t="s">
        <v>311</v>
      </c>
      <c r="B251" s="20" t="str">
        <f>VLOOKUP(Data[[#This Row],[DEVELOPMENT]],'[2]NYCHA_Development_Data_Book 201'!$B$2:$AY$324,40,FALSE)</f>
        <v>BROOKLYN</v>
      </c>
      <c r="C251" s="20" t="str">
        <f>VLOOKUP(Data[[#This Row],[DEVELOPMENT]],'[3]Cheat-Sheet'!$D$2:$Q$341,2,FALSE)</f>
        <v>SHEEPSHEAD BAY</v>
      </c>
      <c r="D251" s="20">
        <f>IF(VLOOKUP(Data[[#This Row],[DEVELOPMENT]],'[4]IC Categories'!$A$2:$G$325,3,FALSE)=0,"",VLOOKUP(Data[[#This Row],[DEVELOPMENT]],'[4]IC Categories'!$A$2:$G$325,3,FALSE))</f>
        <v>2028</v>
      </c>
      <c r="E251" s="20">
        <f>VLOOKUP(Data[[#This Row],[DEVELOPMENT]],'[2]NYCHA_Development_Data_Book 201'!$B$2:$AY$324,21,FALSE)</f>
        <v>18</v>
      </c>
      <c r="F251" s="20">
        <f>VLOOKUP(Data[[#This Row],[DEVELOPMENT]],'[2]NYCHA_Development_Data_Book 201'!$B$2:$AY$324,23,FALSE)</f>
        <v>36</v>
      </c>
      <c r="G251" s="20">
        <f>VLOOKUP(Data[[#This Row],[DEVELOPMENT]],'[2]NYCHA_Development_Data_Book 201'!$B$2:$AY$324,12,FALSE)</f>
        <v>1054</v>
      </c>
      <c r="J251">
        <f>IFERROR(VLOOKUP(Data[[#This Row],[DEVELOPMENT]],[5]!Table1[[DEVELOPMENTS]:[Installation Date of Exterior Compactor]],4,FALSE),0)</f>
        <v>0</v>
      </c>
      <c r="K251" s="20">
        <f>IFERROR(VLOOKUP(Data[[#This Row],[DEVELOPMENT]],[5]!Table1[[DEVELOPMENTS]:[Installation Date of Exterior Compactor]],7,FALSE),0)</f>
        <v>0</v>
      </c>
      <c r="L251" s="42" t="str">
        <f>IF(Data[[#This Row],['# Interior Compactors]]=0,"",VLOOKUP(Data[[#This Row],[DEVELOPMENT]],[5]!Table1[[DEVELOPMENTS]:[Installation Date of Exterior Compactor]],5,FALSE))</f>
        <v/>
      </c>
      <c r="M251" s="43" t="str">
        <f>IF(Data[[#This Row],['# Exterior Compactors]]=0,"",VLOOKUP(Data[[#This Row],[DEVELOPMENT]],[5]!Table1[[DEVELOPMENTS]:[Installation Date of Exterior Compactor]],8,FALSE))</f>
        <v/>
      </c>
      <c r="N251" s="20">
        <f>Data[[#This Row],['# Interior Compactors]]</f>
        <v>0</v>
      </c>
      <c r="O251" s="20">
        <f>1</f>
        <v>1</v>
      </c>
      <c r="P251" s="20">
        <f>1</f>
        <v>1</v>
      </c>
      <c r="Q251" s="20">
        <f>1</f>
        <v>1</v>
      </c>
      <c r="R251" s="20">
        <f>1</f>
        <v>1</v>
      </c>
      <c r="S251" s="20">
        <f>1</f>
        <v>1</v>
      </c>
      <c r="T251" s="20">
        <f>Data[[#This Row],[DUs]]</f>
        <v>1054</v>
      </c>
      <c r="U25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1" s="101">
        <f>VLOOKUP(Data[[#This Row],[DEVELOPMENT]],'[2]NYCHA_Development_Data_Book 201'!$B$2:$E$324,3,FALSE)</f>
        <v>36</v>
      </c>
      <c r="Y251" s="20"/>
      <c r="Z251" s="20">
        <f>IFERROR(VLOOKUP(Data[[#This Row],[TDS]],'[7]Static Ext by TDS'!$A$5:$E$120,2,FALSE),0)</f>
        <v>6</v>
      </c>
      <c r="AA251" s="20">
        <f>IFERROR(VLOOKUP(Data[[#This Row],[TDS]],'[7]Static Int by TDS'!$A$6:$O$305,2,FALSE),0)</f>
        <v>35</v>
      </c>
      <c r="AB251" s="20"/>
      <c r="AC251" s="20"/>
      <c r="AD251" s="20">
        <f>IFERROR(VLOOKUP(Data[[#This Row],[TDS]],'[7]Static Ext by TDS'!$A$5:$P$120,3,FALSE)+VLOOKUP(Data[[#This Row],[TDS]],'[7]Static Ext by TDS'!$A$5:$P$120,6,FALSE),0)</f>
        <v>6</v>
      </c>
      <c r="AE251" s="20">
        <f>IFERROR(VLOOKUP(Data[[#This Row],[TDS]],'[7]Static Int by TDS'!$A$6:$O$305,3,FALSE)+VLOOKUP(Data[[#This Row],[TDS]],'[7]Static Int by TDS'!$A$6:$O$305,6,FALSE),0)</f>
        <v>35</v>
      </c>
      <c r="AF251" s="20" t="str">
        <f>VLOOKUP(Data[[#This Row],[DEVELOPMENT]],[8]Developments!$A$2:$A$312,1,FALSE)</f>
        <v>SHEEPSHEAD BAY</v>
      </c>
    </row>
    <row r="252" spans="1:32" x14ac:dyDescent="0.25">
      <c r="A252" t="s">
        <v>312</v>
      </c>
      <c r="B252" s="20" t="str">
        <f>VLOOKUP(Data[[#This Row],[DEVELOPMENT]],'[2]NYCHA_Development_Data_Book 201'!$B$2:$AY$324,40,FALSE)</f>
        <v>QUEENS</v>
      </c>
      <c r="C252" s="20" t="str">
        <f>VLOOKUP(Data[[#This Row],[DEVELOPMENT]],'[3]Cheat-Sheet'!$D$2:$Q$341,2,FALSE)</f>
        <v>BAISLEY PARK</v>
      </c>
      <c r="D252" s="20" t="str">
        <f>IF(VLOOKUP(Data[[#This Row],[DEVELOPMENT]],'[4]IC Categories'!$A$2:$G$325,3,FALSE)=0,"",VLOOKUP(Data[[#This Row],[DEVELOPMENT]],'[4]IC Categories'!$A$2:$G$325,3,FALSE))</f>
        <v/>
      </c>
      <c r="E252" s="20">
        <f>VLOOKUP(Data[[#This Row],[DEVELOPMENT]],'[2]NYCHA_Development_Data_Book 201'!$B$2:$AY$324,21,FALSE)</f>
        <v>1</v>
      </c>
      <c r="F252" s="20">
        <f>VLOOKUP(Data[[#This Row],[DEVELOPMENT]],'[2]NYCHA_Development_Data_Book 201'!$B$2:$AY$324,23,FALSE)</f>
        <v>1</v>
      </c>
      <c r="G252" s="20">
        <f>VLOOKUP(Data[[#This Row],[DEVELOPMENT]],'[2]NYCHA_Development_Data_Book 201'!$B$2:$AY$324,12,FALSE)</f>
        <v>153</v>
      </c>
      <c r="J252">
        <f>IFERROR(VLOOKUP(Data[[#This Row],[DEVELOPMENT]],[5]!Table1[[DEVELOPMENTS]:[Installation Date of Exterior Compactor]],4,FALSE),0)</f>
        <v>0</v>
      </c>
      <c r="K252" s="20">
        <f>IFERROR(VLOOKUP(Data[[#This Row],[DEVELOPMENT]],[5]!Table1[[DEVELOPMENTS]:[Installation Date of Exterior Compactor]],7,FALSE),0)</f>
        <v>0</v>
      </c>
      <c r="L252" s="42" t="str">
        <f>IF(Data[[#This Row],['# Interior Compactors]]=0,"",VLOOKUP(Data[[#This Row],[DEVELOPMENT]],[5]!Table1[[DEVELOPMENTS]:[Installation Date of Exterior Compactor]],5,FALSE))</f>
        <v/>
      </c>
      <c r="M252" s="43" t="str">
        <f>IF(Data[[#This Row],['# Exterior Compactors]]=0,"",VLOOKUP(Data[[#This Row],[DEVELOPMENT]],[5]!Table1[[DEVELOPMENTS]:[Installation Date of Exterior Compactor]],8,FALSE))</f>
        <v/>
      </c>
      <c r="N252" s="20">
        <f>Data[[#This Row],['# Interior Compactors]]</f>
        <v>0</v>
      </c>
      <c r="O252" s="20">
        <f>1</f>
        <v>1</v>
      </c>
      <c r="P252" s="20">
        <f>1</f>
        <v>1</v>
      </c>
      <c r="Q252" s="20">
        <f>1</f>
        <v>1</v>
      </c>
      <c r="R252" s="20">
        <f>1</f>
        <v>1</v>
      </c>
      <c r="S252" s="20">
        <f>1</f>
        <v>1</v>
      </c>
      <c r="T252" s="20">
        <f>Data[[#This Row],[DUs]]</f>
        <v>153</v>
      </c>
      <c r="U25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2" s="101">
        <f>VLOOKUP(Data[[#This Row],[DEVELOPMENT]],'[2]NYCHA_Development_Data_Book 201'!$B$2:$E$324,3,FALSE)</f>
        <v>279</v>
      </c>
      <c r="Y252" s="20"/>
      <c r="Z252" s="20">
        <f>IFERROR(VLOOKUP(Data[[#This Row],[TDS]],'[7]Static Ext by TDS'!$A$5:$E$120,2,FALSE),0)</f>
        <v>0</v>
      </c>
      <c r="AA252" s="20">
        <f>IFERROR(VLOOKUP(Data[[#This Row],[TDS]],'[7]Static Int by TDS'!$A$6:$O$305,2,FALSE),0)</f>
        <v>1</v>
      </c>
      <c r="AB252" s="20"/>
      <c r="AC252" s="20"/>
      <c r="AD252" s="20">
        <f>IFERROR(VLOOKUP(Data[[#This Row],[TDS]],'[7]Static Ext by TDS'!$A$5:$P$120,3,FALSE)+VLOOKUP(Data[[#This Row],[TDS]],'[7]Static Ext by TDS'!$A$5:$P$120,6,FALSE),0)</f>
        <v>0</v>
      </c>
      <c r="AE252" s="20">
        <f>IFERROR(VLOOKUP(Data[[#This Row],[TDS]],'[7]Static Int by TDS'!$A$6:$O$305,3,FALSE)+VLOOKUP(Data[[#This Row],[TDS]],'[7]Static Int by TDS'!$A$6:$O$305,6,FALSE),0)</f>
        <v>1</v>
      </c>
      <c r="AF252" s="20" t="str">
        <f>VLOOKUP(Data[[#This Row],[DEVELOPMENT]],[8]Developments!$A$2:$A$312,1,FALSE)</f>
        <v>SHELTON HOUSE</v>
      </c>
    </row>
    <row r="253" spans="1:32" x14ac:dyDescent="0.25">
      <c r="A253" s="17" t="s">
        <v>44</v>
      </c>
      <c r="B253" s="17" t="str">
        <f>VLOOKUP(Data[[#This Row],[DEVELOPMENT]],'[2]NYCHA_Development_Data_Book 201'!$B$2:$AY$324,40,FALSE)</f>
        <v>MANHATTAN</v>
      </c>
      <c r="C253" t="str">
        <f>VLOOKUP(Data[[#This Row],[DEVELOPMENT]],'[3]Cheat-Sheet'!$D$2:$Q$341,2,FALSE)</f>
        <v>SMITH</v>
      </c>
      <c r="D253" t="str">
        <f>IF(VLOOKUP(Data[[#This Row],[DEVELOPMENT]],'[4]IC Categories'!$A$2:$G$325,3,FALSE)=0,"",VLOOKUP(Data[[#This Row],[DEVELOPMENT]],'[4]IC Categories'!$A$2:$G$325,3,FALSE))</f>
        <v/>
      </c>
      <c r="E253">
        <f>VLOOKUP(Data[[#This Row],[DEVELOPMENT]],'[2]NYCHA_Development_Data_Book 201'!$B$2:$AY$324,21,FALSE)</f>
        <v>12</v>
      </c>
      <c r="F253">
        <f>VLOOKUP(Data[[#This Row],[DEVELOPMENT]],'[2]NYCHA_Development_Data_Book 201'!$B$2:$AY$324,23,FALSE)</f>
        <v>12</v>
      </c>
      <c r="G253">
        <f>VLOOKUP(Data[[#This Row],[DEVELOPMENT]],'[2]NYCHA_Development_Data_Book 201'!$B$2:$AY$324,12,FALSE)</f>
        <v>1934</v>
      </c>
      <c r="H253" t="s">
        <v>472</v>
      </c>
      <c r="I253" t="s">
        <v>471</v>
      </c>
      <c r="J253">
        <f>IFERROR(VLOOKUP(Data[[#This Row],[DEVELOPMENT]],[5]!Table1[[DEVELOPMENTS]:[Installation Date of Exterior Compactor]],4,FALSE),0)</f>
        <v>0</v>
      </c>
      <c r="K253" s="20">
        <f>IFERROR(VLOOKUP(Data[[#This Row],[DEVELOPMENT]],[5]!Table1[[DEVELOPMENTS]:[Installation Date of Exterior Compactor]],7,FALSE),0)</f>
        <v>0</v>
      </c>
      <c r="L253" s="42" t="str">
        <f>IF(Data[[#This Row],['# Interior Compactors]]=0,"",VLOOKUP(Data[[#This Row],[DEVELOPMENT]],[5]!Table1[[DEVELOPMENTS]:[Installation Date of Exterior Compactor]],5,FALSE))</f>
        <v/>
      </c>
      <c r="M253" s="43" t="str">
        <f>IF(Data[[#This Row],['# Exterior Compactors]]=0,"",VLOOKUP(Data[[#This Row],[DEVELOPMENT]],[5]!Table1[[DEVELOPMENTS]:[Installation Date of Exterior Compactor]],8,FALSE))</f>
        <v/>
      </c>
      <c r="N253">
        <f>Data[[#This Row],['# Interior Compactors]]</f>
        <v>0</v>
      </c>
      <c r="O253" s="20">
        <f>1</f>
        <v>1</v>
      </c>
      <c r="P253" s="20">
        <f>1</f>
        <v>1</v>
      </c>
      <c r="Q253" s="20">
        <f>1</f>
        <v>1</v>
      </c>
      <c r="R253" s="20">
        <f>1</f>
        <v>1</v>
      </c>
      <c r="S253" s="20">
        <f>1</f>
        <v>1</v>
      </c>
      <c r="T253" s="20">
        <f>Data[[#This Row],[DUs]]</f>
        <v>1934</v>
      </c>
      <c r="U25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3" s="101">
        <f>VLOOKUP(Data[[#This Row],[DEVELOPMENT]],'[2]NYCHA_Development_Data_Book 201'!$B$2:$E$324,3,FALSE)</f>
        <v>27</v>
      </c>
      <c r="Y253" s="20" t="s">
        <v>473</v>
      </c>
      <c r="Z253" s="20">
        <f>IFERROR(VLOOKUP(Data[[#This Row],[TDS]],'[7]Static Ext by TDS'!$A$5:$E$120,2,FALSE),0)</f>
        <v>4</v>
      </c>
      <c r="AA253" s="20">
        <f>IFERROR(VLOOKUP(Data[[#This Row],[TDS]],'[7]Static Int by TDS'!$A$6:$O$305,2,FALSE),0)</f>
        <v>13</v>
      </c>
      <c r="AB253" s="20"/>
      <c r="AC253" s="20"/>
      <c r="AD253" s="20">
        <f>IFERROR(VLOOKUP(Data[[#This Row],[TDS]],'[7]Static Ext by TDS'!$A$5:$P$120,3,FALSE)+VLOOKUP(Data[[#This Row],[TDS]],'[7]Static Ext by TDS'!$A$5:$P$120,6,FALSE),0)</f>
        <v>4</v>
      </c>
      <c r="AE253" s="20">
        <f>IFERROR(VLOOKUP(Data[[#This Row],[TDS]],'[7]Static Int by TDS'!$A$6:$O$305,3,FALSE)+VLOOKUP(Data[[#This Row],[TDS]],'[7]Static Int by TDS'!$A$6:$O$305,6,FALSE),0)</f>
        <v>12</v>
      </c>
      <c r="AF253" s="20" t="str">
        <f>VLOOKUP(Data[[#This Row],[DEVELOPMENT]],[8]Developments!$A$2:$A$312,1,FALSE)</f>
        <v>SMITH</v>
      </c>
    </row>
    <row r="254" spans="1:32" x14ac:dyDescent="0.25">
      <c r="A254" t="s">
        <v>313</v>
      </c>
      <c r="B254" s="20" t="str">
        <f>VLOOKUP(Data[[#This Row],[DEVELOPMENT]],'[2]NYCHA_Development_Data_Book 201'!$B$2:$AY$324,40,FALSE)</f>
        <v>BRONX</v>
      </c>
      <c r="C254" s="20" t="str">
        <f>VLOOKUP(Data[[#This Row],[DEVELOPMENT]],'[3]Cheat-Sheet'!$D$2:$Q$341,2,FALSE)</f>
        <v>SOTOMAYOR HOUSES</v>
      </c>
      <c r="D254" s="20" t="e">
        <f>IF(VLOOKUP(Data[[#This Row],[DEVELOPMENT]],'[4]IC Categories'!$A$2:$G$325,3,FALSE)=0,"",VLOOKUP(Data[[#This Row],[DEVELOPMENT]],'[4]IC Categories'!$A$2:$G$325,3,FALSE))</f>
        <v>#N/A</v>
      </c>
      <c r="E254" s="20">
        <f>VLOOKUP(Data[[#This Row],[DEVELOPMENT]],'[2]NYCHA_Development_Data_Book 201'!$B$2:$AY$324,21,FALSE)</f>
        <v>28</v>
      </c>
      <c r="F254" s="20">
        <f>VLOOKUP(Data[[#This Row],[DEVELOPMENT]],'[2]NYCHA_Development_Data_Book 201'!$B$2:$AY$324,23,FALSE)</f>
        <v>31</v>
      </c>
      <c r="G254" s="20">
        <f>VLOOKUP(Data[[#This Row],[DEVELOPMENT]],'[2]NYCHA_Development_Data_Book 201'!$B$2:$AY$324,12,FALSE)</f>
        <v>1495</v>
      </c>
      <c r="J254">
        <f>IFERROR(VLOOKUP(Data[[#This Row],[DEVELOPMENT]],[5]!Table1[[DEVELOPMENTS]:[Installation Date of Exterior Compactor]],4,FALSE),0)</f>
        <v>0</v>
      </c>
      <c r="K254" s="20">
        <f>IFERROR(VLOOKUP(Data[[#This Row],[DEVELOPMENT]],[5]!Table1[[DEVELOPMENTS]:[Installation Date of Exterior Compactor]],7,FALSE),0)</f>
        <v>0</v>
      </c>
      <c r="L254" s="42" t="str">
        <f>IF(Data[[#This Row],['# Interior Compactors]]=0,"",VLOOKUP(Data[[#This Row],[DEVELOPMENT]],[5]!Table1[[DEVELOPMENTS]:[Installation Date of Exterior Compactor]],5,FALSE))</f>
        <v/>
      </c>
      <c r="M254" s="43" t="str">
        <f>IF(Data[[#This Row],['# Exterior Compactors]]=0,"",VLOOKUP(Data[[#This Row],[DEVELOPMENT]],[5]!Table1[[DEVELOPMENTS]:[Installation Date of Exterior Compactor]],8,FALSE))</f>
        <v/>
      </c>
      <c r="N254" s="20">
        <f>Data[[#This Row],['# Interior Compactors]]</f>
        <v>0</v>
      </c>
      <c r="O254" s="20">
        <f>1</f>
        <v>1</v>
      </c>
      <c r="P254" s="20">
        <f>1</f>
        <v>1</v>
      </c>
      <c r="Q254" s="20">
        <f>1</f>
        <v>1</v>
      </c>
      <c r="R254" s="20">
        <f>1</f>
        <v>1</v>
      </c>
      <c r="S254" s="20">
        <f>1</f>
        <v>1</v>
      </c>
      <c r="T254" s="20">
        <f>Data[[#This Row],[DUs]]</f>
        <v>1495</v>
      </c>
      <c r="U25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4" s="101">
        <f>VLOOKUP(Data[[#This Row],[DEVELOPMENT]],'[2]NYCHA_Development_Data_Book 201'!$B$2:$E$324,3,FALSE)</f>
        <v>67</v>
      </c>
      <c r="Y254" s="20"/>
      <c r="Z254" s="20">
        <f>IFERROR(VLOOKUP(Data[[#This Row],[TDS]],'[7]Static Ext by TDS'!$A$5:$E$120,2,FALSE),0)</f>
        <v>3</v>
      </c>
      <c r="AA254" s="20">
        <f>IFERROR(VLOOKUP(Data[[#This Row],[TDS]],'[7]Static Int by TDS'!$A$6:$O$305,2,FALSE),0)</f>
        <v>28</v>
      </c>
      <c r="AB254" s="20"/>
      <c r="AC254" s="20"/>
      <c r="AD254" s="20">
        <f>IFERROR(VLOOKUP(Data[[#This Row],[TDS]],'[7]Static Ext by TDS'!$A$5:$P$120,3,FALSE)+VLOOKUP(Data[[#This Row],[TDS]],'[7]Static Ext by TDS'!$A$5:$P$120,6,FALSE),0)</f>
        <v>3</v>
      </c>
      <c r="AE254" s="20">
        <f>IFERROR(VLOOKUP(Data[[#This Row],[TDS]],'[7]Static Int by TDS'!$A$6:$O$305,3,FALSE)+VLOOKUP(Data[[#This Row],[TDS]],'[7]Static Int by TDS'!$A$6:$O$305,6,FALSE),0)</f>
        <v>0</v>
      </c>
      <c r="AF254" s="20" t="str">
        <f>VLOOKUP(Data[[#This Row],[DEVELOPMENT]],[8]Developments!$A$2:$A$312,1,FALSE)</f>
        <v>SOTOMAYOR HOUSES</v>
      </c>
    </row>
    <row r="255" spans="1:32" x14ac:dyDescent="0.25">
      <c r="A255" t="s">
        <v>314</v>
      </c>
      <c r="B255" s="20" t="str">
        <f>VLOOKUP(Data[[#This Row],[DEVELOPMENT]],'[2]NYCHA_Development_Data_Book 201'!$B$2:$AY$324,40,FALSE)</f>
        <v>BRONX</v>
      </c>
      <c r="C255" s="20" t="str">
        <f>VLOOKUP(Data[[#This Row],[DEVELOPMENT]],'[3]Cheat-Sheet'!$D$2:$Q$341,2,FALSE)</f>
        <v>SOUNDVIEW</v>
      </c>
      <c r="D255" s="20">
        <f>IF(VLOOKUP(Data[[#This Row],[DEVELOPMENT]],'[4]IC Categories'!$A$2:$G$325,3,FALSE)=0,"",VLOOKUP(Data[[#This Row],[DEVELOPMENT]],'[4]IC Categories'!$A$2:$G$325,3,FALSE))</f>
        <v>2023</v>
      </c>
      <c r="E255" s="20">
        <f>VLOOKUP(Data[[#This Row],[DEVELOPMENT]],'[2]NYCHA_Development_Data_Book 201'!$B$2:$AY$324,21,FALSE)</f>
        <v>13</v>
      </c>
      <c r="F255" s="20">
        <f>VLOOKUP(Data[[#This Row],[DEVELOPMENT]],'[2]NYCHA_Development_Data_Book 201'!$B$2:$AY$324,23,FALSE)</f>
        <v>28</v>
      </c>
      <c r="G255" s="20">
        <f>VLOOKUP(Data[[#This Row],[DEVELOPMENT]],'[2]NYCHA_Development_Data_Book 201'!$B$2:$AY$324,12,FALSE)</f>
        <v>1258</v>
      </c>
      <c r="J255">
        <f>IFERROR(VLOOKUP(Data[[#This Row],[DEVELOPMENT]],[5]!Table1[[DEVELOPMENTS]:[Installation Date of Exterior Compactor]],4,FALSE),0)</f>
        <v>0</v>
      </c>
      <c r="K255" s="20">
        <f>IFERROR(VLOOKUP(Data[[#This Row],[DEVELOPMENT]],[5]!Table1[[DEVELOPMENTS]:[Installation Date of Exterior Compactor]],7,FALSE),0)</f>
        <v>0</v>
      </c>
      <c r="L255" s="42" t="str">
        <f>IF(Data[[#This Row],['# Interior Compactors]]=0,"",VLOOKUP(Data[[#This Row],[DEVELOPMENT]],[5]!Table1[[DEVELOPMENTS]:[Installation Date of Exterior Compactor]],5,FALSE))</f>
        <v/>
      </c>
      <c r="M255" s="43" t="str">
        <f>IF(Data[[#This Row],['# Exterior Compactors]]=0,"",VLOOKUP(Data[[#This Row],[DEVELOPMENT]],[5]!Table1[[DEVELOPMENTS]:[Installation Date of Exterior Compactor]],8,FALSE))</f>
        <v/>
      </c>
      <c r="N255" s="20">
        <f>Data[[#This Row],['# Interior Compactors]]</f>
        <v>0</v>
      </c>
      <c r="O255" s="20">
        <f>1</f>
        <v>1</v>
      </c>
      <c r="P255" s="20">
        <f>1</f>
        <v>1</v>
      </c>
      <c r="Q255" s="20">
        <f>1</f>
        <v>1</v>
      </c>
      <c r="R255" s="20">
        <f>1</f>
        <v>1</v>
      </c>
      <c r="S255" s="20">
        <f>1</f>
        <v>1</v>
      </c>
      <c r="T255" s="20">
        <f>Data[[#This Row],[DUs]]</f>
        <v>1258</v>
      </c>
      <c r="U25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5" s="101">
        <f>VLOOKUP(Data[[#This Row],[DEVELOPMENT]],'[2]NYCHA_Development_Data_Book 201'!$B$2:$E$324,3,FALSE)</f>
        <v>71</v>
      </c>
      <c r="Y255" s="20"/>
      <c r="Z255" s="20">
        <f>IFERROR(VLOOKUP(Data[[#This Row],[TDS]],'[7]Static Ext by TDS'!$A$5:$E$120,2,FALSE),0)</f>
        <v>4</v>
      </c>
      <c r="AA255" s="20">
        <f>IFERROR(VLOOKUP(Data[[#This Row],[TDS]],'[7]Static Int by TDS'!$A$6:$O$305,2,FALSE),0)</f>
        <v>22</v>
      </c>
      <c r="AB255" s="20"/>
      <c r="AC255" s="20"/>
      <c r="AD255" s="20">
        <f>IFERROR(VLOOKUP(Data[[#This Row],[TDS]],'[7]Static Ext by TDS'!$A$5:$P$120,3,FALSE)+VLOOKUP(Data[[#This Row],[TDS]],'[7]Static Ext by TDS'!$A$5:$P$120,6,FALSE),0)</f>
        <v>4</v>
      </c>
      <c r="AE255" s="20">
        <f>IFERROR(VLOOKUP(Data[[#This Row],[TDS]],'[7]Static Int by TDS'!$A$6:$O$305,3,FALSE)+VLOOKUP(Data[[#This Row],[TDS]],'[7]Static Int by TDS'!$A$6:$O$305,6,FALSE),0)</f>
        <v>22</v>
      </c>
      <c r="AF255" s="20" t="str">
        <f>VLOOKUP(Data[[#This Row],[DEVELOPMENT]],[8]Developments!$A$2:$A$312,1,FALSE)</f>
        <v>SOUNDVIEW</v>
      </c>
    </row>
    <row r="256" spans="1:32" x14ac:dyDescent="0.25">
      <c r="A256" t="s">
        <v>315</v>
      </c>
      <c r="B256" s="20" t="str">
        <f>VLOOKUP(Data[[#This Row],[DEVELOPMENT]],'[2]NYCHA_Development_Data_Book 201'!$B$2:$AY$324,40,FALSE)</f>
        <v>STATEN ISLAND</v>
      </c>
      <c r="C256" s="20" t="str">
        <f>VLOOKUP(Data[[#This Row],[DEVELOPMENT]],'[3]Cheat-Sheet'!$D$2:$Q$341,2,FALSE)</f>
        <v>SOUTH BEACH</v>
      </c>
      <c r="D256" s="20" t="str">
        <f>IF(VLOOKUP(Data[[#This Row],[DEVELOPMENT]],'[4]IC Categories'!$A$2:$G$325,3,FALSE)=0,"",VLOOKUP(Data[[#This Row],[DEVELOPMENT]],'[4]IC Categories'!$A$2:$G$325,3,FALSE))</f>
        <v/>
      </c>
      <c r="E256" s="20">
        <f>VLOOKUP(Data[[#This Row],[DEVELOPMENT]],'[2]NYCHA_Development_Data_Book 201'!$B$2:$AY$324,21,FALSE)</f>
        <v>8</v>
      </c>
      <c r="F256" s="20">
        <f>VLOOKUP(Data[[#This Row],[DEVELOPMENT]],'[2]NYCHA_Development_Data_Book 201'!$B$2:$AY$324,23,FALSE)</f>
        <v>15</v>
      </c>
      <c r="G256" s="20">
        <f>VLOOKUP(Data[[#This Row],[DEVELOPMENT]],'[2]NYCHA_Development_Data_Book 201'!$B$2:$AY$324,12,FALSE)</f>
        <v>421</v>
      </c>
      <c r="J256">
        <f>IFERROR(VLOOKUP(Data[[#This Row],[DEVELOPMENT]],[5]!Table1[[DEVELOPMENTS]:[Installation Date of Exterior Compactor]],4,FALSE),0)</f>
        <v>0</v>
      </c>
      <c r="K256" s="20">
        <f>IFERROR(VLOOKUP(Data[[#This Row],[DEVELOPMENT]],[5]!Table1[[DEVELOPMENTS]:[Installation Date of Exterior Compactor]],7,FALSE),0)</f>
        <v>0</v>
      </c>
      <c r="L256" s="42" t="str">
        <f>IF(Data[[#This Row],['# Interior Compactors]]=0,"",VLOOKUP(Data[[#This Row],[DEVELOPMENT]],[5]!Table1[[DEVELOPMENTS]:[Installation Date of Exterior Compactor]],5,FALSE))</f>
        <v/>
      </c>
      <c r="M256" s="43" t="str">
        <f>IF(Data[[#This Row],['# Exterior Compactors]]=0,"",VLOOKUP(Data[[#This Row],[DEVELOPMENT]],[5]!Table1[[DEVELOPMENTS]:[Installation Date of Exterior Compactor]],8,FALSE))</f>
        <v/>
      </c>
      <c r="N256" s="20">
        <f>Data[[#This Row],['# Interior Compactors]]</f>
        <v>0</v>
      </c>
      <c r="O256" s="20">
        <f>1</f>
        <v>1</v>
      </c>
      <c r="P256" s="20">
        <f>1</f>
        <v>1</v>
      </c>
      <c r="Q256" s="20">
        <f>1</f>
        <v>1</v>
      </c>
      <c r="R256" s="20">
        <f>1</f>
        <v>1</v>
      </c>
      <c r="S256" s="20">
        <f>1</f>
        <v>1</v>
      </c>
      <c r="T256" s="20">
        <f>Data[[#This Row],[DUs]]</f>
        <v>421</v>
      </c>
      <c r="U25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6" s="101">
        <f>VLOOKUP(Data[[#This Row],[DEVELOPMENT]],'[2]NYCHA_Development_Data_Book 201'!$B$2:$E$324,3,FALSE)</f>
        <v>35</v>
      </c>
      <c r="Y256" s="20"/>
      <c r="Z256" s="20">
        <f>IFERROR(VLOOKUP(Data[[#This Row],[TDS]],'[7]Static Ext by TDS'!$A$5:$E$120,2,FALSE),0)</f>
        <v>1</v>
      </c>
      <c r="AA256" s="20">
        <f>IFERROR(VLOOKUP(Data[[#This Row],[TDS]],'[7]Static Int by TDS'!$A$6:$O$305,2,FALSE),0)</f>
        <v>15</v>
      </c>
      <c r="AB256" s="20"/>
      <c r="AC256" s="20"/>
      <c r="AD256" s="20">
        <f>IFERROR(VLOOKUP(Data[[#This Row],[TDS]],'[7]Static Ext by TDS'!$A$5:$P$120,3,FALSE)+VLOOKUP(Data[[#This Row],[TDS]],'[7]Static Ext by TDS'!$A$5:$P$120,6,FALSE),0)</f>
        <v>1</v>
      </c>
      <c r="AE256" s="20">
        <f>IFERROR(VLOOKUP(Data[[#This Row],[TDS]],'[7]Static Int by TDS'!$A$6:$O$305,3,FALSE)+VLOOKUP(Data[[#This Row],[TDS]],'[7]Static Int by TDS'!$A$6:$O$305,6,FALSE),0)</f>
        <v>15</v>
      </c>
      <c r="AF256" s="20" t="str">
        <f>VLOOKUP(Data[[#This Row],[DEVELOPMENT]],[8]Developments!$A$2:$A$312,1,FALSE)</f>
        <v>SOUTH BEACH</v>
      </c>
    </row>
    <row r="257" spans="1:32" x14ac:dyDescent="0.25">
      <c r="A257" t="s">
        <v>96</v>
      </c>
      <c r="B257" t="str">
        <f>VLOOKUP(Data[[#This Row],[DEVELOPMENT]],'[2]NYCHA_Development_Data_Book 201'!$B$2:$AY$324,40,FALSE)</f>
        <v>BRONX</v>
      </c>
      <c r="C257" t="str">
        <f>VLOOKUP(Data[[#This Row],[DEVELOPMENT]],'[3]Cheat-Sheet'!$D$2:$Q$341,2,FALSE)</f>
        <v>UNION AVENUE CONSOLIDATED</v>
      </c>
      <c r="D257">
        <f>IF(VLOOKUP(Data[[#This Row],[DEVELOPMENT]],'[4]IC Categories'!$A$2:$G$325,3,FALSE)=0,"",VLOOKUP(Data[[#This Row],[DEVELOPMENT]],'[4]IC Categories'!$A$2:$G$325,3,FALSE))</f>
        <v>2026</v>
      </c>
      <c r="E257">
        <f>VLOOKUP(Data[[#This Row],[DEVELOPMENT]],'[2]NYCHA_Development_Data_Book 201'!$B$2:$AY$324,21,FALSE)</f>
        <v>4</v>
      </c>
      <c r="F257">
        <f>VLOOKUP(Data[[#This Row],[DEVELOPMENT]],'[2]NYCHA_Development_Data_Book 201'!$B$2:$AY$324,23,FALSE)</f>
        <v>19</v>
      </c>
      <c r="G257">
        <f>VLOOKUP(Data[[#This Row],[DEVELOPMENT]],'[2]NYCHA_Development_Data_Book 201'!$B$2:$AY$324,12,FALSE)</f>
        <v>112</v>
      </c>
      <c r="H257" t="s">
        <v>474</v>
      </c>
      <c r="I257" s="65" t="s">
        <v>475</v>
      </c>
      <c r="J257">
        <f>IFERROR(VLOOKUP(Data[[#This Row],[DEVELOPMENT]],[5]!Table1[[DEVELOPMENTS]:[Installation Date of Exterior Compactor]],4,FALSE),0)</f>
        <v>0</v>
      </c>
      <c r="K257" s="20">
        <f>IFERROR(VLOOKUP(Data[[#This Row],[DEVELOPMENT]],[5]!Table1[[DEVELOPMENTS]:[Installation Date of Exterior Compactor]],7,FALSE),0)</f>
        <v>0</v>
      </c>
      <c r="L257" s="42" t="str">
        <f>IF(Data[[#This Row],['# Interior Compactors]]=0,"",VLOOKUP(Data[[#This Row],[DEVELOPMENT]],[5]!Table1[[DEVELOPMENTS]:[Installation Date of Exterior Compactor]],5,FALSE))</f>
        <v/>
      </c>
      <c r="M257" s="43" t="str">
        <f>IF(Data[[#This Row],['# Exterior Compactors]]=0,"",VLOOKUP(Data[[#This Row],[DEVELOPMENT]],[5]!Table1[[DEVELOPMENTS]:[Installation Date of Exterior Compactor]],8,FALSE))</f>
        <v/>
      </c>
      <c r="N257">
        <f>Data[[#This Row],['# Interior Compactors]]</f>
        <v>0</v>
      </c>
      <c r="O257" s="20">
        <f>1</f>
        <v>1</v>
      </c>
      <c r="P257" s="20">
        <f>1</f>
        <v>1</v>
      </c>
      <c r="Q257" s="20">
        <f>1</f>
        <v>1</v>
      </c>
      <c r="R257" s="20">
        <f>1</f>
        <v>1</v>
      </c>
      <c r="S257" s="20">
        <f>1</f>
        <v>1</v>
      </c>
      <c r="T257" s="20">
        <f>Data[[#This Row],[DUs]]</f>
        <v>112</v>
      </c>
      <c r="U25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7" s="101">
        <f>VLOOKUP(Data[[#This Row],[DEVELOPMENT]],'[2]NYCHA_Development_Data_Book 201'!$B$2:$E$324,3,FALSE)</f>
        <v>305</v>
      </c>
      <c r="Y257" s="20"/>
      <c r="Z257" s="20">
        <f>IFERROR(VLOOKUP(Data[[#This Row],[TDS]],'[7]Static Ext by TDS'!$A$5:$E$120,2,FALSE),0)</f>
        <v>0</v>
      </c>
      <c r="AA257" s="20">
        <f>IFERROR(VLOOKUP(Data[[#This Row],[TDS]],'[7]Static Int by TDS'!$A$6:$O$305,2,FALSE),0)</f>
        <v>0</v>
      </c>
      <c r="AB257" s="20"/>
      <c r="AC257" s="20"/>
      <c r="AD257" s="20">
        <f>IFERROR(VLOOKUP(Data[[#This Row],[TDS]],'[7]Static Ext by TDS'!$A$5:$P$120,3,FALSE)+VLOOKUP(Data[[#This Row],[TDS]],'[7]Static Ext by TDS'!$A$5:$P$120,6,FALSE),0)</f>
        <v>0</v>
      </c>
      <c r="AE257" s="20">
        <f>IFERROR(VLOOKUP(Data[[#This Row],[TDS]],'[7]Static Int by TDS'!$A$6:$O$305,3,FALSE)+VLOOKUP(Data[[#This Row],[TDS]],'[7]Static Int by TDS'!$A$6:$O$305,6,FALSE),0)</f>
        <v>0</v>
      </c>
      <c r="AF257" s="20" t="str">
        <f>VLOOKUP(Data[[#This Row],[DEVELOPMENT]],[8]Developments!$A$2:$A$312,1,FALSE)</f>
        <v>SOUTH BRONX AREA (SITE 402)</v>
      </c>
    </row>
    <row r="258" spans="1:32" x14ac:dyDescent="0.25">
      <c r="A258" t="s">
        <v>316</v>
      </c>
      <c r="B258" s="20" t="str">
        <f>VLOOKUP(Data[[#This Row],[DEVELOPMENT]],'[2]NYCHA_Development_Data_Book 201'!$B$2:$AY$324,40,FALSE)</f>
        <v>QUEENS</v>
      </c>
      <c r="C258" s="20" t="str">
        <f>VLOOKUP(Data[[#This Row],[DEVELOPMENT]],'[3]Cheat-Sheet'!$D$2:$Q$341,2,FALSE)</f>
        <v>SOUTH JAMAICA I</v>
      </c>
      <c r="D258" s="20">
        <f>IF(VLOOKUP(Data[[#This Row],[DEVELOPMENT]],'[4]IC Categories'!$A$2:$G$325,3,FALSE)=0,"",VLOOKUP(Data[[#This Row],[DEVELOPMENT]],'[4]IC Categories'!$A$2:$G$325,3,FALSE))</f>
        <v>2021</v>
      </c>
      <c r="E258" s="20">
        <f>VLOOKUP(Data[[#This Row],[DEVELOPMENT]],'[2]NYCHA_Development_Data_Book 201'!$B$2:$AY$324,21,FALSE)</f>
        <v>11</v>
      </c>
      <c r="F258" s="20">
        <f>VLOOKUP(Data[[#This Row],[DEVELOPMENT]],'[2]NYCHA_Development_Data_Book 201'!$B$2:$AY$324,23,FALSE)</f>
        <v>33</v>
      </c>
      <c r="G258" s="20">
        <f>VLOOKUP(Data[[#This Row],[DEVELOPMENT]],'[2]NYCHA_Development_Data_Book 201'!$B$2:$AY$324,12,FALSE)</f>
        <v>448</v>
      </c>
      <c r="J258">
        <f>IFERROR(VLOOKUP(Data[[#This Row],[DEVELOPMENT]],[5]!Table1[[DEVELOPMENTS]:[Installation Date of Exterior Compactor]],4,FALSE),0)</f>
        <v>0</v>
      </c>
      <c r="K258" s="20">
        <f>IFERROR(VLOOKUP(Data[[#This Row],[DEVELOPMENT]],[5]!Table1[[DEVELOPMENTS]:[Installation Date of Exterior Compactor]],7,FALSE),0)</f>
        <v>0</v>
      </c>
      <c r="L258" s="42" t="str">
        <f>IF(Data[[#This Row],['# Interior Compactors]]=0,"",VLOOKUP(Data[[#This Row],[DEVELOPMENT]],[5]!Table1[[DEVELOPMENTS]:[Installation Date of Exterior Compactor]],5,FALSE))</f>
        <v/>
      </c>
      <c r="M258" s="43" t="str">
        <f>IF(Data[[#This Row],['# Exterior Compactors]]=0,"",VLOOKUP(Data[[#This Row],[DEVELOPMENT]],[5]!Table1[[DEVELOPMENTS]:[Installation Date of Exterior Compactor]],8,FALSE))</f>
        <v/>
      </c>
      <c r="N258" s="20">
        <f>Data[[#This Row],['# Interior Compactors]]</f>
        <v>0</v>
      </c>
      <c r="O258" s="20">
        <f>1</f>
        <v>1</v>
      </c>
      <c r="P258" s="20">
        <f>1</f>
        <v>1</v>
      </c>
      <c r="Q258" s="20">
        <f>1</f>
        <v>1</v>
      </c>
      <c r="R258" s="20">
        <f>1</f>
        <v>1</v>
      </c>
      <c r="S258" s="20">
        <f>1</f>
        <v>1</v>
      </c>
      <c r="T258" s="20">
        <f>Data[[#This Row],[DUs]]</f>
        <v>448</v>
      </c>
      <c r="U25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8" s="101">
        <f>VLOOKUP(Data[[#This Row],[DEVELOPMENT]],'[2]NYCHA_Development_Data_Book 201'!$B$2:$E$324,3,FALSE)</f>
        <v>8</v>
      </c>
      <c r="Y258" s="20"/>
      <c r="Z258" s="20">
        <f>IFERROR(VLOOKUP(Data[[#This Row],[TDS]],'[7]Static Ext by TDS'!$A$5:$E$120,2,FALSE),0)</f>
        <v>0</v>
      </c>
      <c r="AA258" s="20">
        <f>IFERROR(VLOOKUP(Data[[#This Row],[TDS]],'[7]Static Int by TDS'!$A$6:$O$305,2,FALSE),0)</f>
        <v>33</v>
      </c>
      <c r="AB258" s="20"/>
      <c r="AC258" s="20"/>
      <c r="AD258" s="20">
        <f>IFERROR(VLOOKUP(Data[[#This Row],[TDS]],'[7]Static Ext by TDS'!$A$5:$P$120,3,FALSE)+VLOOKUP(Data[[#This Row],[TDS]],'[7]Static Ext by TDS'!$A$5:$P$120,6,FALSE),0)</f>
        <v>0</v>
      </c>
      <c r="AE258" s="20">
        <f>IFERROR(VLOOKUP(Data[[#This Row],[TDS]],'[7]Static Int by TDS'!$A$6:$O$305,3,FALSE)+VLOOKUP(Data[[#This Row],[TDS]],'[7]Static Int by TDS'!$A$6:$O$305,6,FALSE),0)</f>
        <v>33</v>
      </c>
      <c r="AF258" s="20" t="str">
        <f>VLOOKUP(Data[[#This Row],[DEVELOPMENT]],[8]Developments!$A$2:$A$312,1,FALSE)</f>
        <v>SOUTH JAMAICA I</v>
      </c>
    </row>
    <row r="259" spans="1:32" x14ac:dyDescent="0.25">
      <c r="A259" t="s">
        <v>317</v>
      </c>
      <c r="B259" s="20" t="str">
        <f>VLOOKUP(Data[[#This Row],[DEVELOPMENT]],'[2]NYCHA_Development_Data_Book 201'!$B$2:$AY$324,40,FALSE)</f>
        <v>QUEENS</v>
      </c>
      <c r="C259" s="20" t="str">
        <f>VLOOKUP(Data[[#This Row],[DEVELOPMENT]],'[3]Cheat-Sheet'!$D$2:$Q$341,2,FALSE)</f>
        <v>SOUTH JAMAICA I</v>
      </c>
      <c r="D259" s="20">
        <f>IF(VLOOKUP(Data[[#This Row],[DEVELOPMENT]],'[4]IC Categories'!$A$2:$G$325,3,FALSE)=0,"",VLOOKUP(Data[[#This Row],[DEVELOPMENT]],'[4]IC Categories'!$A$2:$G$325,3,FALSE))</f>
        <v>2021</v>
      </c>
      <c r="E259" s="20">
        <f>VLOOKUP(Data[[#This Row],[DEVELOPMENT]],'[2]NYCHA_Development_Data_Book 201'!$B$2:$AY$324,21,FALSE)</f>
        <v>16</v>
      </c>
      <c r="F259" s="20">
        <f>VLOOKUP(Data[[#This Row],[DEVELOPMENT]],'[2]NYCHA_Development_Data_Book 201'!$B$2:$AY$324,23,FALSE)</f>
        <v>27</v>
      </c>
      <c r="G259" s="20">
        <f>VLOOKUP(Data[[#This Row],[DEVELOPMENT]],'[2]NYCHA_Development_Data_Book 201'!$B$2:$AY$324,12,FALSE)</f>
        <v>598</v>
      </c>
      <c r="J259">
        <f>IFERROR(VLOOKUP(Data[[#This Row],[DEVELOPMENT]],[5]!Table1[[DEVELOPMENTS]:[Installation Date of Exterior Compactor]],4,FALSE),0)</f>
        <v>0</v>
      </c>
      <c r="K259" s="20">
        <f>IFERROR(VLOOKUP(Data[[#This Row],[DEVELOPMENT]],[5]!Table1[[DEVELOPMENTS]:[Installation Date of Exterior Compactor]],7,FALSE),0)</f>
        <v>0</v>
      </c>
      <c r="L259" s="42" t="str">
        <f>IF(Data[[#This Row],['# Interior Compactors]]=0,"",VLOOKUP(Data[[#This Row],[DEVELOPMENT]],[5]!Table1[[DEVELOPMENTS]:[Installation Date of Exterior Compactor]],5,FALSE))</f>
        <v/>
      </c>
      <c r="M259" s="43" t="str">
        <f>IF(Data[[#This Row],['# Exterior Compactors]]=0,"",VLOOKUP(Data[[#This Row],[DEVELOPMENT]],[5]!Table1[[DEVELOPMENTS]:[Installation Date of Exterior Compactor]],8,FALSE))</f>
        <v/>
      </c>
      <c r="N259" s="20">
        <f>Data[[#This Row],['# Interior Compactors]]</f>
        <v>0</v>
      </c>
      <c r="O259" s="20">
        <f>1</f>
        <v>1</v>
      </c>
      <c r="P259" s="20">
        <f>1</f>
        <v>1</v>
      </c>
      <c r="Q259" s="20">
        <f>1</f>
        <v>1</v>
      </c>
      <c r="R259" s="20">
        <f>1</f>
        <v>1</v>
      </c>
      <c r="S259" s="20">
        <f>1</f>
        <v>1</v>
      </c>
      <c r="T259" s="20">
        <f>Data[[#This Row],[DUs]]</f>
        <v>598</v>
      </c>
      <c r="U25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5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5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59" s="101">
        <f>VLOOKUP(Data[[#This Row],[DEVELOPMENT]],'[2]NYCHA_Development_Data_Book 201'!$B$2:$E$324,3,FALSE)</f>
        <v>66</v>
      </c>
      <c r="Y259" s="20"/>
      <c r="Z259" s="20">
        <f>IFERROR(VLOOKUP(Data[[#This Row],[TDS]],'[7]Static Ext by TDS'!$A$5:$E$120,2,FALSE),0)</f>
        <v>4</v>
      </c>
      <c r="AA259" s="20">
        <f>IFERROR(VLOOKUP(Data[[#This Row],[TDS]],'[7]Static Int by TDS'!$A$6:$O$305,2,FALSE),0)</f>
        <v>27</v>
      </c>
      <c r="AB259" s="20"/>
      <c r="AC259" s="20"/>
      <c r="AD259" s="20">
        <f>IFERROR(VLOOKUP(Data[[#This Row],[TDS]],'[7]Static Ext by TDS'!$A$5:$P$120,3,FALSE)+VLOOKUP(Data[[#This Row],[TDS]],'[7]Static Ext by TDS'!$A$5:$P$120,6,FALSE),0)</f>
        <v>4</v>
      </c>
      <c r="AE259" s="20">
        <f>IFERROR(VLOOKUP(Data[[#This Row],[TDS]],'[7]Static Int by TDS'!$A$6:$O$305,3,FALSE)+VLOOKUP(Data[[#This Row],[TDS]],'[7]Static Int by TDS'!$A$6:$O$305,6,FALSE),0)</f>
        <v>27</v>
      </c>
      <c r="AF259" s="20" t="str">
        <f>VLOOKUP(Data[[#This Row],[DEVELOPMENT]],[8]Developments!$A$2:$A$312,1,FALSE)</f>
        <v>SOUTH JAMAICA II</v>
      </c>
    </row>
    <row r="260" spans="1:32" x14ac:dyDescent="0.25">
      <c r="A260" t="s">
        <v>318</v>
      </c>
      <c r="B260" s="20" t="str">
        <f>VLOOKUP(Data[[#This Row],[DEVELOPMENT]],'[2]NYCHA_Development_Data_Book 201'!$B$2:$AY$324,40,FALSE)</f>
        <v>MANHATTAN</v>
      </c>
      <c r="C260" s="20" t="str">
        <f>VLOOKUP(Data[[#This Row],[DEVELOPMENT]],'[3]Cheat-Sheet'!$D$2:$Q$341,2,FALSE)</f>
        <v>KRAUS MANAGEMENT (PRIVATE - M/B 1)</v>
      </c>
      <c r="D260" s="20" t="str">
        <f>IF(VLOOKUP(Data[[#This Row],[DEVELOPMENT]],'[4]IC Categories'!$A$2:$G$325,3,FALSE)=0,"",VLOOKUP(Data[[#This Row],[DEVELOPMENT]],'[4]IC Categories'!$A$2:$G$325,3,FALSE))</f>
        <v/>
      </c>
      <c r="E260" s="20">
        <f>VLOOKUP(Data[[#This Row],[DEVELOPMENT]],'[2]NYCHA_Development_Data_Book 201'!$B$2:$AY$324,21,FALSE)</f>
        <v>1</v>
      </c>
      <c r="F260" s="20">
        <f>VLOOKUP(Data[[#This Row],[DEVELOPMENT]],'[2]NYCHA_Development_Data_Book 201'!$B$2:$AY$324,23,FALSE)</f>
        <v>1</v>
      </c>
      <c r="G260" s="20">
        <f>VLOOKUP(Data[[#This Row],[DEVELOPMENT]],'[2]NYCHA_Development_Data_Book 201'!$B$2:$AY$324,12,FALSE)</f>
        <v>13</v>
      </c>
      <c r="J260">
        <f>IFERROR(VLOOKUP(Data[[#This Row],[DEVELOPMENT]],[5]!Table1[[DEVELOPMENTS]:[Installation Date of Exterior Compactor]],4,FALSE),0)</f>
        <v>0</v>
      </c>
      <c r="K260" s="20">
        <f>IFERROR(VLOOKUP(Data[[#This Row],[DEVELOPMENT]],[5]!Table1[[DEVELOPMENTS]:[Installation Date of Exterior Compactor]],7,FALSE),0)</f>
        <v>0</v>
      </c>
      <c r="L260" s="42" t="str">
        <f>IF(Data[[#This Row],['# Interior Compactors]]=0,"",VLOOKUP(Data[[#This Row],[DEVELOPMENT]],[5]!Table1[[DEVELOPMENTS]:[Installation Date of Exterior Compactor]],5,FALSE))</f>
        <v/>
      </c>
      <c r="M260" s="43" t="str">
        <f>IF(Data[[#This Row],['# Exterior Compactors]]=0,"",VLOOKUP(Data[[#This Row],[DEVELOPMENT]],[5]!Table1[[DEVELOPMENTS]:[Installation Date of Exterior Compactor]],8,FALSE))</f>
        <v/>
      </c>
      <c r="N260" s="20">
        <f>Data[[#This Row],['# Interior Compactors]]</f>
        <v>0</v>
      </c>
      <c r="O260" s="20">
        <f>1</f>
        <v>1</v>
      </c>
      <c r="P260" s="20">
        <f>1</f>
        <v>1</v>
      </c>
      <c r="Q260" s="20">
        <f>1</f>
        <v>1</v>
      </c>
      <c r="R260" s="20">
        <f>1</f>
        <v>1</v>
      </c>
      <c r="S260" s="20">
        <f>1</f>
        <v>1</v>
      </c>
      <c r="T260" s="20">
        <f>Data[[#This Row],[DUs]]</f>
        <v>13</v>
      </c>
      <c r="U26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0" s="101">
        <f>VLOOKUP(Data[[#This Row],[DEVELOPMENT]],'[2]NYCHA_Development_Data_Book 201'!$B$2:$E$324,3,FALSE)</f>
        <v>559</v>
      </c>
      <c r="Y260" s="20" t="s">
        <v>473</v>
      </c>
      <c r="Z260" s="20">
        <f>IFERROR(VLOOKUP(Data[[#This Row],[TDS]],'[7]Static Ext by TDS'!$A$5:$E$120,2,FALSE),0)</f>
        <v>0</v>
      </c>
      <c r="AA260" s="20">
        <f>IFERROR(VLOOKUP(Data[[#This Row],[TDS]],'[7]Static Int by TDS'!$A$6:$O$305,2,FALSE),0)</f>
        <v>1</v>
      </c>
      <c r="AB260" s="20"/>
      <c r="AC260" s="20"/>
      <c r="AD260" s="20">
        <f>IFERROR(VLOOKUP(Data[[#This Row],[TDS]],'[7]Static Ext by TDS'!$A$5:$P$120,3,FALSE)+VLOOKUP(Data[[#This Row],[TDS]],'[7]Static Ext by TDS'!$A$5:$P$120,6,FALSE),0)</f>
        <v>0</v>
      </c>
      <c r="AE260" s="20">
        <f>IFERROR(VLOOKUP(Data[[#This Row],[TDS]],'[7]Static Int by TDS'!$A$6:$O$305,3,FALSE)+VLOOKUP(Data[[#This Row],[TDS]],'[7]Static Int by TDS'!$A$6:$O$305,6,FALSE),0)</f>
        <v>1</v>
      </c>
      <c r="AF260" s="20" t="str">
        <f>VLOOKUP(Data[[#This Row],[DEVELOPMENT]],[8]Developments!$A$2:$A$312,1,FALSE)</f>
        <v>STANTON STREET</v>
      </c>
    </row>
    <row r="261" spans="1:32" x14ac:dyDescent="0.25">
      <c r="A261" t="s">
        <v>319</v>
      </c>
      <c r="B261" s="20" t="str">
        <f>VLOOKUP(Data[[#This Row],[DEVELOPMENT]],'[2]NYCHA_Development_Data_Book 201'!$B$2:$AY$324,40,FALSE)</f>
        <v>STATEN ISLAND</v>
      </c>
      <c r="C261" s="20" t="str">
        <f>VLOOKUP(Data[[#This Row],[DEVELOPMENT]],'[3]Cheat-Sheet'!$D$2:$Q$341,2,FALSE)</f>
        <v>STAPLETON</v>
      </c>
      <c r="D261" s="20" t="str">
        <f>IF(VLOOKUP(Data[[#This Row],[DEVELOPMENT]],'[4]IC Categories'!$A$2:$G$325,3,FALSE)=0,"",VLOOKUP(Data[[#This Row],[DEVELOPMENT]],'[4]IC Categories'!$A$2:$G$325,3,FALSE))</f>
        <v/>
      </c>
      <c r="E261" s="20">
        <f>VLOOKUP(Data[[#This Row],[DEVELOPMENT]],'[2]NYCHA_Development_Data_Book 201'!$B$2:$AY$324,21,FALSE)</f>
        <v>6</v>
      </c>
      <c r="F261" s="20">
        <f>VLOOKUP(Data[[#This Row],[DEVELOPMENT]],'[2]NYCHA_Development_Data_Book 201'!$B$2:$AY$324,23,FALSE)</f>
        <v>12</v>
      </c>
      <c r="G261" s="20">
        <f>VLOOKUP(Data[[#This Row],[DEVELOPMENT]],'[2]NYCHA_Development_Data_Book 201'!$B$2:$AY$324,12,FALSE)</f>
        <v>693</v>
      </c>
      <c r="J261">
        <f>IFERROR(VLOOKUP(Data[[#This Row],[DEVELOPMENT]],[5]!Table1[[DEVELOPMENTS]:[Installation Date of Exterior Compactor]],4,FALSE),0)</f>
        <v>0</v>
      </c>
      <c r="K261" s="20">
        <f>IFERROR(VLOOKUP(Data[[#This Row],[DEVELOPMENT]],[5]!Table1[[DEVELOPMENTS]:[Installation Date of Exterior Compactor]],7,FALSE),0)</f>
        <v>0</v>
      </c>
      <c r="L261" s="42" t="str">
        <f>IF(Data[[#This Row],['# Interior Compactors]]=0,"",VLOOKUP(Data[[#This Row],[DEVELOPMENT]],[5]!Table1[[DEVELOPMENTS]:[Installation Date of Exterior Compactor]],5,FALSE))</f>
        <v/>
      </c>
      <c r="M261" s="43" t="str">
        <f>IF(Data[[#This Row],['# Exterior Compactors]]=0,"",VLOOKUP(Data[[#This Row],[DEVELOPMENT]],[5]!Table1[[DEVELOPMENTS]:[Installation Date of Exterior Compactor]],8,FALSE))</f>
        <v/>
      </c>
      <c r="N261" s="20">
        <f>Data[[#This Row],['# Interior Compactors]]</f>
        <v>0</v>
      </c>
      <c r="O261" s="20">
        <f>1</f>
        <v>1</v>
      </c>
      <c r="P261" s="20">
        <f>1</f>
        <v>1</v>
      </c>
      <c r="Q261" s="20">
        <f>1</f>
        <v>1</v>
      </c>
      <c r="R261" s="20">
        <f>1</f>
        <v>1</v>
      </c>
      <c r="S261" s="20">
        <f>1</f>
        <v>1</v>
      </c>
      <c r="T261" s="20">
        <f>Data[[#This Row],[DUs]]</f>
        <v>693</v>
      </c>
      <c r="U26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1" s="101">
        <f>VLOOKUP(Data[[#This Row],[DEVELOPMENT]],'[2]NYCHA_Development_Data_Book 201'!$B$2:$E$324,3,FALSE)</f>
        <v>114</v>
      </c>
      <c r="Y261" s="20"/>
      <c r="Z261" s="20">
        <f>IFERROR(VLOOKUP(Data[[#This Row],[TDS]],'[7]Static Ext by TDS'!$A$5:$E$120,2,FALSE),0)</f>
        <v>2</v>
      </c>
      <c r="AA261" s="20">
        <f>IFERROR(VLOOKUP(Data[[#This Row],[TDS]],'[7]Static Int by TDS'!$A$6:$O$305,2,FALSE),0)</f>
        <v>12</v>
      </c>
      <c r="AB261" s="20"/>
      <c r="AC261" s="20"/>
      <c r="AD261" s="20">
        <f>IFERROR(VLOOKUP(Data[[#This Row],[TDS]],'[7]Static Ext by TDS'!$A$5:$P$120,3,FALSE)+VLOOKUP(Data[[#This Row],[TDS]],'[7]Static Ext by TDS'!$A$5:$P$120,6,FALSE),0)</f>
        <v>2</v>
      </c>
      <c r="AE261" s="20">
        <f>IFERROR(VLOOKUP(Data[[#This Row],[TDS]],'[7]Static Int by TDS'!$A$6:$O$305,3,FALSE)+VLOOKUP(Data[[#This Row],[TDS]],'[7]Static Int by TDS'!$A$6:$O$305,6,FALSE),0)</f>
        <v>12</v>
      </c>
      <c r="AF261" s="20" t="str">
        <f>VLOOKUP(Data[[#This Row],[DEVELOPMENT]],[8]Developments!$A$2:$A$312,1,FALSE)</f>
        <v>STAPLETON</v>
      </c>
    </row>
    <row r="262" spans="1:32" x14ac:dyDescent="0.25">
      <c r="A262" t="s">
        <v>97</v>
      </c>
      <c r="B262" t="str">
        <f>VLOOKUP(Data[[#This Row],[DEVELOPMENT]],'[2]NYCHA_Development_Data_Book 201'!$B$2:$AY$324,40,FALSE)</f>
        <v>BRONX</v>
      </c>
      <c r="C262" t="str">
        <f>VLOOKUP(Data[[#This Row],[DEVELOPMENT]],'[3]Cheat-Sheet'!$D$2:$Q$341,2,FALSE)</f>
        <v>UNION AVENUE CONSOLIDATED</v>
      </c>
      <c r="D262">
        <f>IF(VLOOKUP(Data[[#This Row],[DEVELOPMENT]],'[4]IC Categories'!$A$2:$G$325,3,FALSE)=0,"",VLOOKUP(Data[[#This Row],[DEVELOPMENT]],'[4]IC Categories'!$A$2:$G$325,3,FALSE))</f>
        <v>2026</v>
      </c>
      <c r="E262">
        <f>VLOOKUP(Data[[#This Row],[DEVELOPMENT]],'[2]NYCHA_Development_Data_Book 201'!$B$2:$AY$324,21,FALSE)</f>
        <v>2</v>
      </c>
      <c r="F262">
        <f>VLOOKUP(Data[[#This Row],[DEVELOPMENT]],'[2]NYCHA_Development_Data_Book 201'!$B$2:$AY$324,23,FALSE)</f>
        <v>14</v>
      </c>
      <c r="G262">
        <f>VLOOKUP(Data[[#This Row],[DEVELOPMENT]],'[2]NYCHA_Development_Data_Book 201'!$B$2:$AY$324,12,FALSE)</f>
        <v>119</v>
      </c>
      <c r="H262" t="s">
        <v>474</v>
      </c>
      <c r="I262" t="s">
        <v>478</v>
      </c>
      <c r="J262">
        <f>IFERROR(VLOOKUP(Data[[#This Row],[DEVELOPMENT]],[5]!Table1[[DEVELOPMENTS]:[Installation Date of Exterior Compactor]],4,FALSE),0)</f>
        <v>0</v>
      </c>
      <c r="K262" s="20">
        <f>IFERROR(VLOOKUP(Data[[#This Row],[DEVELOPMENT]],[5]!Table1[[DEVELOPMENTS]:[Installation Date of Exterior Compactor]],7,FALSE),0)</f>
        <v>0</v>
      </c>
      <c r="L262" s="42" t="str">
        <f>IF(Data[[#This Row],['# Interior Compactors]]=0,"",VLOOKUP(Data[[#This Row],[DEVELOPMENT]],[5]!Table1[[DEVELOPMENTS]:[Installation Date of Exterior Compactor]],5,FALSE))</f>
        <v/>
      </c>
      <c r="M262" s="43" t="str">
        <f>IF(Data[[#This Row],['# Exterior Compactors]]=0,"",VLOOKUP(Data[[#This Row],[DEVELOPMENT]],[5]!Table1[[DEVELOPMENTS]:[Installation Date of Exterior Compactor]],8,FALSE))</f>
        <v/>
      </c>
      <c r="N262">
        <f>Data[[#This Row],['# Interior Compactors]]</f>
        <v>0</v>
      </c>
      <c r="O262" s="20">
        <f>1</f>
        <v>1</v>
      </c>
      <c r="P262" s="20">
        <f>1</f>
        <v>1</v>
      </c>
      <c r="Q262" s="20">
        <f>1</f>
        <v>1</v>
      </c>
      <c r="R262" s="20">
        <f>1</f>
        <v>1</v>
      </c>
      <c r="S262" s="20">
        <f>1</f>
        <v>1</v>
      </c>
      <c r="T262" s="20">
        <f>Data[[#This Row],[DUs]]</f>
        <v>119</v>
      </c>
      <c r="U26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2" s="101">
        <f>VLOOKUP(Data[[#This Row],[DEVELOPMENT]],'[2]NYCHA_Development_Data_Book 201'!$B$2:$E$324,3,FALSE)</f>
        <v>353</v>
      </c>
      <c r="Y262" s="20"/>
      <c r="Z262" s="20">
        <f>IFERROR(VLOOKUP(Data[[#This Row],[TDS]],'[7]Static Ext by TDS'!$A$5:$E$120,2,FALSE),0)</f>
        <v>0</v>
      </c>
      <c r="AA262" s="20">
        <f>IFERROR(VLOOKUP(Data[[#This Row],[TDS]],'[7]Static Int by TDS'!$A$6:$O$305,2,FALSE),0)</f>
        <v>0</v>
      </c>
      <c r="AB262" s="20"/>
      <c r="AC262" s="20"/>
      <c r="AD262" s="20">
        <f>IFERROR(VLOOKUP(Data[[#This Row],[TDS]],'[7]Static Ext by TDS'!$A$5:$P$120,3,FALSE)+VLOOKUP(Data[[#This Row],[TDS]],'[7]Static Ext by TDS'!$A$5:$P$120,6,FALSE),0)</f>
        <v>0</v>
      </c>
      <c r="AE262" s="20">
        <f>IFERROR(VLOOKUP(Data[[#This Row],[TDS]],'[7]Static Int by TDS'!$A$6:$O$305,3,FALSE)+VLOOKUP(Data[[#This Row],[TDS]],'[7]Static Int by TDS'!$A$6:$O$305,6,FALSE),0)</f>
        <v>0</v>
      </c>
      <c r="AF262" s="20" t="str">
        <f>VLOOKUP(Data[[#This Row],[DEVELOPMENT]],[8]Developments!$A$2:$A$312,1,FALSE)</f>
        <v>STEBBINS AVENUE-HEWITT PLACE</v>
      </c>
    </row>
    <row r="263" spans="1:32" x14ac:dyDescent="0.25">
      <c r="A263" t="s">
        <v>320</v>
      </c>
      <c r="B263" s="20" t="str">
        <f>VLOOKUP(Data[[#This Row],[DEVELOPMENT]],'[2]NYCHA_Development_Data_Book 201'!$B$2:$AY$324,40,FALSE)</f>
        <v>BROOKLYN</v>
      </c>
      <c r="C263" s="20" t="str">
        <f>VLOOKUP(Data[[#This Row],[DEVELOPMENT]],'[3]Cheat-Sheet'!$D$2:$Q$341,2,FALSE)</f>
        <v>PARK ROCK CONSOLIDATED</v>
      </c>
      <c r="D263" s="20">
        <f>IF(VLOOKUP(Data[[#This Row],[DEVELOPMENT]],'[4]IC Categories'!$A$2:$G$325,3,FALSE)=0,"",VLOOKUP(Data[[#This Row],[DEVELOPMENT]],'[4]IC Categories'!$A$2:$G$325,3,FALSE))</f>
        <v>2025</v>
      </c>
      <c r="E263" s="20">
        <f>VLOOKUP(Data[[#This Row],[DEVELOPMENT]],'[2]NYCHA_Development_Data_Book 201'!$B$2:$AY$324,21,FALSE)</f>
        <v>5</v>
      </c>
      <c r="F263" s="20">
        <f>VLOOKUP(Data[[#This Row],[DEVELOPMENT]],'[2]NYCHA_Development_Data_Book 201'!$B$2:$AY$324,23,FALSE)</f>
        <v>5</v>
      </c>
      <c r="G263" s="20">
        <f>VLOOKUP(Data[[#This Row],[DEVELOPMENT]],'[2]NYCHA_Development_Data_Book 201'!$B$2:$AY$324,12,FALSE)</f>
        <v>83</v>
      </c>
      <c r="J263">
        <f>IFERROR(VLOOKUP(Data[[#This Row],[DEVELOPMENT]],[5]!Table1[[DEVELOPMENTS]:[Installation Date of Exterior Compactor]],4,FALSE),0)</f>
        <v>0</v>
      </c>
      <c r="K263" s="20">
        <f>IFERROR(VLOOKUP(Data[[#This Row],[DEVELOPMENT]],[5]!Table1[[DEVELOPMENTS]:[Installation Date of Exterior Compactor]],7,FALSE),0)</f>
        <v>0</v>
      </c>
      <c r="L263" s="42" t="str">
        <f>IF(Data[[#This Row],['# Interior Compactors]]=0,"",VLOOKUP(Data[[#This Row],[DEVELOPMENT]],[5]!Table1[[DEVELOPMENTS]:[Installation Date of Exterior Compactor]],5,FALSE))</f>
        <v/>
      </c>
      <c r="M263" s="43" t="str">
        <f>IF(Data[[#This Row],['# Exterior Compactors]]=0,"",VLOOKUP(Data[[#This Row],[DEVELOPMENT]],[5]!Table1[[DEVELOPMENTS]:[Installation Date of Exterior Compactor]],8,FALSE))</f>
        <v/>
      </c>
      <c r="N263" s="20">
        <f>Data[[#This Row],['# Interior Compactors]]</f>
        <v>0</v>
      </c>
      <c r="O263" s="20">
        <f>1</f>
        <v>1</v>
      </c>
      <c r="P263" s="20">
        <f>1</f>
        <v>1</v>
      </c>
      <c r="Q263" s="20">
        <f>1</f>
        <v>1</v>
      </c>
      <c r="R263" s="20">
        <f>1</f>
        <v>1</v>
      </c>
      <c r="S263" s="20">
        <f>1</f>
        <v>1</v>
      </c>
      <c r="T263" s="20">
        <f>Data[[#This Row],[DUs]]</f>
        <v>83</v>
      </c>
      <c r="U26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3" s="101">
        <f>VLOOKUP(Data[[#This Row],[DEVELOPMENT]],'[2]NYCHA_Development_Data_Book 201'!$B$2:$E$324,3,FALSE)</f>
        <v>366</v>
      </c>
      <c r="Y263" s="20" t="s">
        <v>473</v>
      </c>
      <c r="Z263" s="20">
        <f>IFERROR(VLOOKUP(Data[[#This Row],[TDS]],'[7]Static Ext by TDS'!$A$5:$E$120,2,FALSE),0)</f>
        <v>0</v>
      </c>
      <c r="AA263" s="20">
        <f>IFERROR(VLOOKUP(Data[[#This Row],[TDS]],'[7]Static Int by TDS'!$A$6:$O$305,2,FALSE),0)</f>
        <v>5</v>
      </c>
      <c r="AB263" s="20"/>
      <c r="AC263" s="20"/>
      <c r="AD263" s="20">
        <f>IFERROR(VLOOKUP(Data[[#This Row],[TDS]],'[7]Static Ext by TDS'!$A$5:$P$120,3,FALSE)+VLOOKUP(Data[[#This Row],[TDS]],'[7]Static Ext by TDS'!$A$5:$P$120,6,FALSE),0)</f>
        <v>0</v>
      </c>
      <c r="AE263" s="20">
        <f>IFERROR(VLOOKUP(Data[[#This Row],[TDS]],'[7]Static Int by TDS'!$A$6:$O$305,3,FALSE)+VLOOKUP(Data[[#This Row],[TDS]],'[7]Static Int by TDS'!$A$6:$O$305,6,FALSE),0)</f>
        <v>5</v>
      </c>
      <c r="AF263" s="20" t="str">
        <f>VLOOKUP(Data[[#This Row],[DEVELOPMENT]],[8]Developments!$A$2:$A$312,1,FALSE)</f>
        <v>STERLING PLACE REHABS (SAINT JOHNS-STERLING)</v>
      </c>
    </row>
    <row r="264" spans="1:32" x14ac:dyDescent="0.25">
      <c r="A264" t="s">
        <v>321</v>
      </c>
      <c r="B264" s="20" t="str">
        <f>VLOOKUP(Data[[#This Row],[DEVELOPMENT]],'[2]NYCHA_Development_Data_Book 201'!$B$2:$AY$324,40,FALSE)</f>
        <v>BROOKLYN</v>
      </c>
      <c r="C264" s="20" t="str">
        <f>VLOOKUP(Data[[#This Row],[DEVELOPMENT]],'[3]Cheat-Sheet'!$D$2:$Q$341,2,FALSE)</f>
        <v>PARK ROCK CONSOLIDATED</v>
      </c>
      <c r="D264" s="20">
        <f>IF(VLOOKUP(Data[[#This Row],[DEVELOPMENT]],'[4]IC Categories'!$A$2:$G$325,3,FALSE)=0,"",VLOOKUP(Data[[#This Row],[DEVELOPMENT]],'[4]IC Categories'!$A$2:$G$325,3,FALSE))</f>
        <v>2025</v>
      </c>
      <c r="E264" s="20">
        <f>VLOOKUP(Data[[#This Row],[DEVELOPMENT]],'[2]NYCHA_Development_Data_Book 201'!$B$2:$AY$324,21,FALSE)</f>
        <v>7</v>
      </c>
      <c r="F264" s="20">
        <f>VLOOKUP(Data[[#This Row],[DEVELOPMENT]],'[2]NYCHA_Development_Data_Book 201'!$B$2:$AY$324,23,FALSE)</f>
        <v>7</v>
      </c>
      <c r="G264" s="20">
        <f>VLOOKUP(Data[[#This Row],[DEVELOPMENT]],'[2]NYCHA_Development_Data_Book 201'!$B$2:$AY$324,12,FALSE)</f>
        <v>125</v>
      </c>
      <c r="J264">
        <f>IFERROR(VLOOKUP(Data[[#This Row],[DEVELOPMENT]],[5]!Table1[[DEVELOPMENTS]:[Installation Date of Exterior Compactor]],4,FALSE),0)</f>
        <v>0</v>
      </c>
      <c r="K264" s="20">
        <f>IFERROR(VLOOKUP(Data[[#This Row],[DEVELOPMENT]],[5]!Table1[[DEVELOPMENTS]:[Installation Date of Exterior Compactor]],7,FALSE),0)</f>
        <v>0</v>
      </c>
      <c r="L264" s="42" t="str">
        <f>IF(Data[[#This Row],['# Interior Compactors]]=0,"",VLOOKUP(Data[[#This Row],[DEVELOPMENT]],[5]!Table1[[DEVELOPMENTS]:[Installation Date of Exterior Compactor]],5,FALSE))</f>
        <v/>
      </c>
      <c r="M264" s="43" t="str">
        <f>IF(Data[[#This Row],['# Exterior Compactors]]=0,"",VLOOKUP(Data[[#This Row],[DEVELOPMENT]],[5]!Table1[[DEVELOPMENTS]:[Installation Date of Exterior Compactor]],8,FALSE))</f>
        <v/>
      </c>
      <c r="N264" s="20">
        <f>Data[[#This Row],['# Interior Compactors]]</f>
        <v>0</v>
      </c>
      <c r="O264" s="20">
        <f>1</f>
        <v>1</v>
      </c>
      <c r="P264" s="20">
        <f>1</f>
        <v>1</v>
      </c>
      <c r="Q264" s="20">
        <f>1</f>
        <v>1</v>
      </c>
      <c r="R264" s="20">
        <f>1</f>
        <v>1</v>
      </c>
      <c r="S264" s="20">
        <f>1</f>
        <v>1</v>
      </c>
      <c r="T264" s="20">
        <f>Data[[#This Row],[DUs]]</f>
        <v>125</v>
      </c>
      <c r="U26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4" s="101">
        <f>VLOOKUP(Data[[#This Row],[DEVELOPMENT]],'[2]NYCHA_Development_Data_Book 201'!$B$2:$E$324,3,FALSE)</f>
        <v>368</v>
      </c>
      <c r="Y264" s="20" t="s">
        <v>473</v>
      </c>
      <c r="Z264" s="20">
        <f>IFERROR(VLOOKUP(Data[[#This Row],[TDS]],'[7]Static Ext by TDS'!$A$5:$E$120,2,FALSE),0)</f>
        <v>0</v>
      </c>
      <c r="AA264" s="20">
        <f>IFERROR(VLOOKUP(Data[[#This Row],[TDS]],'[7]Static Int by TDS'!$A$6:$O$305,2,FALSE),0)</f>
        <v>7</v>
      </c>
      <c r="AB264" s="20"/>
      <c r="AC264" s="20"/>
      <c r="AD264" s="20">
        <f>IFERROR(VLOOKUP(Data[[#This Row],[TDS]],'[7]Static Ext by TDS'!$A$5:$P$120,3,FALSE)+VLOOKUP(Data[[#This Row],[TDS]],'[7]Static Ext by TDS'!$A$5:$P$120,6,FALSE),0)</f>
        <v>0</v>
      </c>
      <c r="AE264" s="20">
        <f>IFERROR(VLOOKUP(Data[[#This Row],[TDS]],'[7]Static Int by TDS'!$A$6:$O$305,3,FALSE)+VLOOKUP(Data[[#This Row],[TDS]],'[7]Static Int by TDS'!$A$6:$O$305,6,FALSE),0)</f>
        <v>7</v>
      </c>
      <c r="AF264" s="20" t="str">
        <f>VLOOKUP(Data[[#This Row],[DEVELOPMENT]],[8]Developments!$A$2:$A$312,1,FALSE)</f>
        <v>STERLING PLACE REHABS (STERLING-BUFFALO)</v>
      </c>
    </row>
    <row r="265" spans="1:32" x14ac:dyDescent="0.25">
      <c r="A265" t="s">
        <v>322</v>
      </c>
      <c r="B265" s="20" t="str">
        <f>VLOOKUP(Data[[#This Row],[DEVELOPMENT]],'[2]NYCHA_Development_Data_Book 201'!$B$2:$AY$324,40,FALSE)</f>
        <v>MANHATTAN</v>
      </c>
      <c r="C265" s="20" t="str">
        <f>VLOOKUP(Data[[#This Row],[DEVELOPMENT]],'[3]Cheat-Sheet'!$D$2:$Q$341,2,FALSE)</f>
        <v>STRAUS</v>
      </c>
      <c r="D265" s="20" t="str">
        <f>IF(VLOOKUP(Data[[#This Row],[DEVELOPMENT]],'[4]IC Categories'!$A$2:$G$325,3,FALSE)=0,"",VLOOKUP(Data[[#This Row],[DEVELOPMENT]],'[4]IC Categories'!$A$2:$G$325,3,FALSE))</f>
        <v/>
      </c>
      <c r="E265" s="20">
        <f>VLOOKUP(Data[[#This Row],[DEVELOPMENT]],'[2]NYCHA_Development_Data_Book 201'!$B$2:$AY$324,21,FALSE)</f>
        <v>2</v>
      </c>
      <c r="F265" s="20">
        <f>VLOOKUP(Data[[#This Row],[DEVELOPMENT]],'[2]NYCHA_Development_Data_Book 201'!$B$2:$AY$324,23,FALSE)</f>
        <v>2</v>
      </c>
      <c r="G265" s="20">
        <f>VLOOKUP(Data[[#This Row],[DEVELOPMENT]],'[2]NYCHA_Development_Data_Book 201'!$B$2:$AY$324,12,FALSE)</f>
        <v>267</v>
      </c>
      <c r="J265">
        <f>IFERROR(VLOOKUP(Data[[#This Row],[DEVELOPMENT]],[5]!Table1[[DEVELOPMENTS]:[Installation Date of Exterior Compactor]],4,FALSE),0)</f>
        <v>0</v>
      </c>
      <c r="K265" s="20">
        <f>IFERROR(VLOOKUP(Data[[#This Row],[DEVELOPMENT]],[5]!Table1[[DEVELOPMENTS]:[Installation Date of Exterior Compactor]],7,FALSE),0)</f>
        <v>0</v>
      </c>
      <c r="L265" s="42" t="str">
        <f>IF(Data[[#This Row],['# Interior Compactors]]=0,"",VLOOKUP(Data[[#This Row],[DEVELOPMENT]],[5]!Table1[[DEVELOPMENTS]:[Installation Date of Exterior Compactor]],5,FALSE))</f>
        <v/>
      </c>
      <c r="M265" s="43" t="str">
        <f>IF(Data[[#This Row],['# Exterior Compactors]]=0,"",VLOOKUP(Data[[#This Row],[DEVELOPMENT]],[5]!Table1[[DEVELOPMENTS]:[Installation Date of Exterior Compactor]],8,FALSE))</f>
        <v/>
      </c>
      <c r="N265" s="20">
        <f>Data[[#This Row],['# Interior Compactors]]</f>
        <v>0</v>
      </c>
      <c r="O265" s="20">
        <f>1</f>
        <v>1</v>
      </c>
      <c r="P265" s="20">
        <f>1</f>
        <v>1</v>
      </c>
      <c r="Q265" s="20">
        <f>1</f>
        <v>1</v>
      </c>
      <c r="R265" s="20">
        <f>1</f>
        <v>1</v>
      </c>
      <c r="S265" s="20">
        <f>1</f>
        <v>1</v>
      </c>
      <c r="T265" s="20">
        <f>Data[[#This Row],[DUs]]</f>
        <v>267</v>
      </c>
      <c r="U26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5" s="101">
        <f>VLOOKUP(Data[[#This Row],[DEVELOPMENT]],'[2]NYCHA_Development_Data_Book 201'!$B$2:$E$324,3,FALSE)</f>
        <v>153</v>
      </c>
      <c r="Y265" s="20" t="s">
        <v>473</v>
      </c>
      <c r="Z265" s="20">
        <f>IFERROR(VLOOKUP(Data[[#This Row],[TDS]],'[7]Static Ext by TDS'!$A$5:$E$120,2,FALSE),0)</f>
        <v>0</v>
      </c>
      <c r="AA265" s="20">
        <f>IFERROR(VLOOKUP(Data[[#This Row],[TDS]],'[7]Static Int by TDS'!$A$6:$O$305,2,FALSE),0)</f>
        <v>2</v>
      </c>
      <c r="AB265" s="20"/>
      <c r="AC265" s="20"/>
      <c r="AD265" s="20">
        <f>IFERROR(VLOOKUP(Data[[#This Row],[TDS]],'[7]Static Ext by TDS'!$A$5:$P$120,3,FALSE)+VLOOKUP(Data[[#This Row],[TDS]],'[7]Static Ext by TDS'!$A$5:$P$120,6,FALSE),0)</f>
        <v>0</v>
      </c>
      <c r="AE265" s="20">
        <f>IFERROR(VLOOKUP(Data[[#This Row],[TDS]],'[7]Static Int by TDS'!$A$6:$O$305,3,FALSE)+VLOOKUP(Data[[#This Row],[TDS]],'[7]Static Int by TDS'!$A$6:$O$305,6,FALSE),0)</f>
        <v>2</v>
      </c>
      <c r="AF265" s="20" t="str">
        <f>VLOOKUP(Data[[#This Row],[DEVELOPMENT]],[8]Developments!$A$2:$A$312,1,FALSE)</f>
        <v>STRAUS</v>
      </c>
    </row>
    <row r="266" spans="1:32" x14ac:dyDescent="0.25">
      <c r="A266" s="17" t="s">
        <v>323</v>
      </c>
      <c r="B266" s="17" t="str">
        <f>VLOOKUP(Data[[#This Row],[DEVELOPMENT]],'[2]NYCHA_Development_Data_Book 201'!$B$2:$AY$324,40,FALSE)</f>
        <v>BROOKLYN</v>
      </c>
      <c r="C266" t="str">
        <f>VLOOKUP(Data[[#This Row],[DEVELOPMENT]],'[3]Cheat-Sheet'!$D$2:$Q$341,2,FALSE)</f>
        <v>STUYVESANT GARDENS I</v>
      </c>
      <c r="D266" t="str">
        <f>IF(VLOOKUP(Data[[#This Row],[DEVELOPMENT]],'[4]IC Categories'!$A$2:$G$325,3,FALSE)=0,"",VLOOKUP(Data[[#This Row],[DEVELOPMENT]],'[4]IC Categories'!$A$2:$G$325,3,FALSE))</f>
        <v/>
      </c>
      <c r="E266">
        <f>VLOOKUP(Data[[#This Row],[DEVELOPMENT]],'[2]NYCHA_Development_Data_Book 201'!$B$2:$AY$324,21,FALSE)</f>
        <v>5</v>
      </c>
      <c r="F266">
        <f>VLOOKUP(Data[[#This Row],[DEVELOPMENT]],'[2]NYCHA_Development_Data_Book 201'!$B$2:$AY$324,23,FALSE)</f>
        <v>25</v>
      </c>
      <c r="G266">
        <f>VLOOKUP(Data[[#This Row],[DEVELOPMENT]],'[2]NYCHA_Development_Data_Book 201'!$B$2:$AY$324,12,FALSE)</f>
        <v>329</v>
      </c>
      <c r="J266">
        <f>IFERROR(VLOOKUP(Data[[#This Row],[DEVELOPMENT]],[5]!Table1[[DEVELOPMENTS]:[Installation Date of Exterior Compactor]],4,FALSE),0)</f>
        <v>0</v>
      </c>
      <c r="K266" s="20">
        <f>IFERROR(VLOOKUP(Data[[#This Row],[DEVELOPMENT]],[5]!Table1[[DEVELOPMENTS]:[Installation Date of Exterior Compactor]],7,FALSE),0)</f>
        <v>0</v>
      </c>
      <c r="L266" s="42" t="str">
        <f>IF(Data[[#This Row],['# Interior Compactors]]=0,"",VLOOKUP(Data[[#This Row],[DEVELOPMENT]],[5]!Table1[[DEVELOPMENTS]:[Installation Date of Exterior Compactor]],5,FALSE))</f>
        <v/>
      </c>
      <c r="M266" s="43" t="str">
        <f>IF(Data[[#This Row],['# Exterior Compactors]]=0,"",VLOOKUP(Data[[#This Row],[DEVELOPMENT]],[5]!Table1[[DEVELOPMENTS]:[Installation Date of Exterior Compactor]],8,FALSE))</f>
        <v/>
      </c>
      <c r="N266">
        <f>Data[[#This Row],['# Interior Compactors]]</f>
        <v>0</v>
      </c>
      <c r="O266" s="20">
        <f>1</f>
        <v>1</v>
      </c>
      <c r="P266" s="20">
        <f>1</f>
        <v>1</v>
      </c>
      <c r="Q266" s="20">
        <f>1</f>
        <v>1</v>
      </c>
      <c r="R266" s="20">
        <f>1</f>
        <v>1</v>
      </c>
      <c r="S266" s="20">
        <f>1</f>
        <v>1</v>
      </c>
      <c r="T266" s="20">
        <f>Data[[#This Row],[DUs]]</f>
        <v>329</v>
      </c>
      <c r="U26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6" s="101">
        <f>VLOOKUP(Data[[#This Row],[DEVELOPMENT]],'[2]NYCHA_Development_Data_Book 201'!$B$2:$E$324,3,FALSE)</f>
        <v>221</v>
      </c>
      <c r="Y266" s="20" t="s">
        <v>473</v>
      </c>
      <c r="Z266" s="20">
        <f>IFERROR(VLOOKUP(Data[[#This Row],[TDS]],'[7]Static Ext by TDS'!$A$5:$E$120,2,FALSE),0)</f>
        <v>0</v>
      </c>
      <c r="AA266" s="20">
        <f>IFERROR(VLOOKUP(Data[[#This Row],[TDS]],'[7]Static Int by TDS'!$A$6:$O$305,2,FALSE),0)</f>
        <v>11</v>
      </c>
      <c r="AB266" s="20"/>
      <c r="AC266" s="20"/>
      <c r="AD266" s="20">
        <f>IFERROR(VLOOKUP(Data[[#This Row],[TDS]],'[7]Static Ext by TDS'!$A$5:$P$120,3,FALSE)+VLOOKUP(Data[[#This Row],[TDS]],'[7]Static Ext by TDS'!$A$5:$P$120,6,FALSE),0)</f>
        <v>0</v>
      </c>
      <c r="AE266" s="20">
        <f>IFERROR(VLOOKUP(Data[[#This Row],[TDS]],'[7]Static Int by TDS'!$A$6:$O$305,3,FALSE)+VLOOKUP(Data[[#This Row],[TDS]],'[7]Static Int by TDS'!$A$6:$O$305,6,FALSE),0)</f>
        <v>11</v>
      </c>
      <c r="AF266" s="20" t="str">
        <f>VLOOKUP(Data[[#This Row],[DEVELOPMENT]],[8]Developments!$A$2:$A$312,1,FALSE)</f>
        <v>STUYVESANT GARDENS I</v>
      </c>
    </row>
    <row r="267" spans="1:32" x14ac:dyDescent="0.25">
      <c r="A267" s="17" t="s">
        <v>324</v>
      </c>
      <c r="B267" s="17" t="str">
        <f>VLOOKUP(Data[[#This Row],[DEVELOPMENT]],'[2]NYCHA_Development_Data_Book 201'!$B$2:$AY$324,40,FALSE)</f>
        <v>BROOKLYN</v>
      </c>
      <c r="C267" t="str">
        <f>VLOOKUP(Data[[#This Row],[DEVELOPMENT]],'[3]Cheat-Sheet'!$D$2:$Q$341,2,FALSE)</f>
        <v>STUYVESANT GARDENS I</v>
      </c>
      <c r="D267" t="str">
        <f>IF(VLOOKUP(Data[[#This Row],[DEVELOPMENT]],'[4]IC Categories'!$A$2:$G$325,3,FALSE)=0,"",VLOOKUP(Data[[#This Row],[DEVELOPMENT]],'[4]IC Categories'!$A$2:$G$325,3,FALSE))</f>
        <v/>
      </c>
      <c r="E267">
        <f>VLOOKUP(Data[[#This Row],[DEVELOPMENT]],'[2]NYCHA_Development_Data_Book 201'!$B$2:$AY$324,21,FALSE)</f>
        <v>1</v>
      </c>
      <c r="F267">
        <f>VLOOKUP(Data[[#This Row],[DEVELOPMENT]],'[2]NYCHA_Development_Data_Book 201'!$B$2:$AY$324,23,FALSE)</f>
        <v>1</v>
      </c>
      <c r="G267">
        <f>VLOOKUP(Data[[#This Row],[DEVELOPMENT]],'[2]NYCHA_Development_Data_Book 201'!$B$2:$AY$324,12,FALSE)</f>
        <v>150</v>
      </c>
      <c r="J267">
        <f>IFERROR(VLOOKUP(Data[[#This Row],[DEVELOPMENT]],[5]!Table1[[DEVELOPMENTS]:[Installation Date of Exterior Compactor]],4,FALSE),0)</f>
        <v>0</v>
      </c>
      <c r="K267" s="20">
        <f>IFERROR(VLOOKUP(Data[[#This Row],[DEVELOPMENT]],[5]!Table1[[DEVELOPMENTS]:[Installation Date of Exterior Compactor]],7,FALSE),0)</f>
        <v>0</v>
      </c>
      <c r="L267" s="42" t="str">
        <f>IF(Data[[#This Row],['# Interior Compactors]]=0,"",VLOOKUP(Data[[#This Row],[DEVELOPMENT]],[5]!Table1[[DEVELOPMENTS]:[Installation Date of Exterior Compactor]],5,FALSE))</f>
        <v/>
      </c>
      <c r="M267" s="43" t="str">
        <f>IF(Data[[#This Row],['# Exterior Compactors]]=0,"",VLOOKUP(Data[[#This Row],[DEVELOPMENT]],[5]!Table1[[DEVELOPMENTS]:[Installation Date of Exterior Compactor]],8,FALSE))</f>
        <v/>
      </c>
      <c r="N267">
        <f>Data[[#This Row],['# Interior Compactors]]</f>
        <v>0</v>
      </c>
      <c r="O267" s="20">
        <f>1</f>
        <v>1</v>
      </c>
      <c r="P267" s="20">
        <f>1</f>
        <v>1</v>
      </c>
      <c r="Q267" s="20">
        <f>1</f>
        <v>1</v>
      </c>
      <c r="R267" s="20">
        <f>1</f>
        <v>1</v>
      </c>
      <c r="S267" s="20">
        <f>1</f>
        <v>1</v>
      </c>
      <c r="T267" s="20">
        <f>Data[[#This Row],[DUs]]</f>
        <v>150</v>
      </c>
      <c r="U26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7" s="101">
        <f>VLOOKUP(Data[[#This Row],[DEVELOPMENT]],'[2]NYCHA_Development_Data_Book 201'!$B$2:$E$324,3,FALSE)</f>
        <v>333</v>
      </c>
      <c r="Y267" s="20" t="s">
        <v>473</v>
      </c>
      <c r="Z267" s="20">
        <f>IFERROR(VLOOKUP(Data[[#This Row],[TDS]],'[7]Static Ext by TDS'!$A$5:$E$120,2,FALSE),0)</f>
        <v>0</v>
      </c>
      <c r="AA267" s="20">
        <f>IFERROR(VLOOKUP(Data[[#This Row],[TDS]],'[7]Static Int by TDS'!$A$6:$O$305,2,FALSE),0)</f>
        <v>1</v>
      </c>
      <c r="AB267" s="20"/>
      <c r="AC267" s="20"/>
      <c r="AD267" s="20">
        <f>IFERROR(VLOOKUP(Data[[#This Row],[TDS]],'[7]Static Ext by TDS'!$A$5:$P$120,3,FALSE)+VLOOKUP(Data[[#This Row],[TDS]],'[7]Static Ext by TDS'!$A$5:$P$120,6,FALSE),0)</f>
        <v>0</v>
      </c>
      <c r="AE267" s="20">
        <f>IFERROR(VLOOKUP(Data[[#This Row],[TDS]],'[7]Static Int by TDS'!$A$6:$O$305,3,FALSE)+VLOOKUP(Data[[#This Row],[TDS]],'[7]Static Int by TDS'!$A$6:$O$305,6,FALSE),0)</f>
        <v>1</v>
      </c>
      <c r="AF267" s="20" t="str">
        <f>VLOOKUP(Data[[#This Row],[DEVELOPMENT]],[8]Developments!$A$2:$A$312,1,FALSE)</f>
        <v>STUYVESANT GARDENS II</v>
      </c>
    </row>
    <row r="268" spans="1:32" x14ac:dyDescent="0.25">
      <c r="A268" s="17" t="s">
        <v>45</v>
      </c>
      <c r="B268" s="17" t="str">
        <f>VLOOKUP(Data[[#This Row],[DEVELOPMENT]],'[2]NYCHA_Development_Data_Book 201'!$B$2:$AY$324,40,FALSE)</f>
        <v>BROOKLYN</v>
      </c>
      <c r="C268" t="str">
        <f>VLOOKUP(Data[[#This Row],[DEVELOPMENT]],'[3]Cheat-Sheet'!$D$2:$Q$341,2,FALSE)</f>
        <v>SUMNER</v>
      </c>
      <c r="D268" t="str">
        <f>IF(VLOOKUP(Data[[#This Row],[DEVELOPMENT]],'[4]IC Categories'!$A$2:$G$325,3,FALSE)=0,"",VLOOKUP(Data[[#This Row],[DEVELOPMENT]],'[4]IC Categories'!$A$2:$G$325,3,FALSE))</f>
        <v/>
      </c>
      <c r="E268">
        <f>VLOOKUP(Data[[#This Row],[DEVELOPMENT]],'[2]NYCHA_Development_Data_Book 201'!$B$2:$AY$324,21,FALSE)</f>
        <v>13</v>
      </c>
      <c r="F268">
        <f>VLOOKUP(Data[[#This Row],[DEVELOPMENT]],'[2]NYCHA_Development_Data_Book 201'!$B$2:$AY$324,23,FALSE)</f>
        <v>24</v>
      </c>
      <c r="G268">
        <f>VLOOKUP(Data[[#This Row],[DEVELOPMENT]],'[2]NYCHA_Development_Data_Book 201'!$B$2:$AY$324,12,FALSE)</f>
        <v>1098</v>
      </c>
      <c r="H268" t="s">
        <v>472</v>
      </c>
      <c r="I268" t="s">
        <v>471</v>
      </c>
      <c r="J268">
        <f>IFERROR(VLOOKUP(Data[[#This Row],[DEVELOPMENT]],[5]!Table1[[DEVELOPMENTS]:[Installation Date of Exterior Compactor]],4,FALSE),0)</f>
        <v>0</v>
      </c>
      <c r="K268" s="20">
        <f>IFERROR(VLOOKUP(Data[[#This Row],[DEVELOPMENT]],[5]!Table1[[DEVELOPMENTS]:[Installation Date of Exterior Compactor]],7,FALSE),0)</f>
        <v>0</v>
      </c>
      <c r="L268" s="42" t="str">
        <f>IF(Data[[#This Row],['# Interior Compactors]]=0,"",VLOOKUP(Data[[#This Row],[DEVELOPMENT]],[5]!Table1[[DEVELOPMENTS]:[Installation Date of Exterior Compactor]],5,FALSE))</f>
        <v/>
      </c>
      <c r="M268" s="43" t="str">
        <f>IF(Data[[#This Row],['# Exterior Compactors]]=0,"",VLOOKUP(Data[[#This Row],[DEVELOPMENT]],[5]!Table1[[DEVELOPMENTS]:[Installation Date of Exterior Compactor]],8,FALSE))</f>
        <v/>
      </c>
      <c r="N268">
        <f>Data[[#This Row],['# Interior Compactors]]</f>
        <v>0</v>
      </c>
      <c r="O268" s="20">
        <f>1</f>
        <v>1</v>
      </c>
      <c r="P268" s="20">
        <f>1</f>
        <v>1</v>
      </c>
      <c r="Q268" s="20">
        <f>1</f>
        <v>1</v>
      </c>
      <c r="R268" s="20">
        <f>1</f>
        <v>1</v>
      </c>
      <c r="S268" s="20">
        <f>1</f>
        <v>1</v>
      </c>
      <c r="T268" s="20">
        <f>Data[[#This Row],[DUs]]</f>
        <v>1098</v>
      </c>
      <c r="U26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8" s="101">
        <f>VLOOKUP(Data[[#This Row],[DEVELOPMENT]],'[2]NYCHA_Development_Data_Book 201'!$B$2:$E$324,3,FALSE)</f>
        <v>73</v>
      </c>
      <c r="Y268" s="20" t="s">
        <v>473</v>
      </c>
      <c r="Z268" s="20">
        <f>IFERROR(VLOOKUP(Data[[#This Row],[TDS]],'[7]Static Ext by TDS'!$A$5:$E$120,2,FALSE),0)</f>
        <v>2</v>
      </c>
      <c r="AA268" s="20">
        <f>IFERROR(VLOOKUP(Data[[#This Row],[TDS]],'[7]Static Int by TDS'!$A$6:$O$305,2,FALSE),0)</f>
        <v>24</v>
      </c>
      <c r="AB268" s="20"/>
      <c r="AC268" s="20"/>
      <c r="AD268" s="20">
        <f>IFERROR(VLOOKUP(Data[[#This Row],[TDS]],'[7]Static Ext by TDS'!$A$5:$P$120,3,FALSE)+VLOOKUP(Data[[#This Row],[TDS]],'[7]Static Ext by TDS'!$A$5:$P$120,6,FALSE),0)</f>
        <v>2</v>
      </c>
      <c r="AE268" s="20">
        <f>IFERROR(VLOOKUP(Data[[#This Row],[TDS]],'[7]Static Int by TDS'!$A$6:$O$305,3,FALSE)+VLOOKUP(Data[[#This Row],[TDS]],'[7]Static Int by TDS'!$A$6:$O$305,6,FALSE),0)</f>
        <v>24</v>
      </c>
      <c r="AF268" s="20" t="str">
        <f>VLOOKUP(Data[[#This Row],[DEVELOPMENT]],[8]Developments!$A$2:$A$312,1,FALSE)</f>
        <v>SUMNER</v>
      </c>
    </row>
    <row r="269" spans="1:32" x14ac:dyDescent="0.25">
      <c r="A269" t="s">
        <v>325</v>
      </c>
      <c r="B269" s="20" t="str">
        <f>VLOOKUP(Data[[#This Row],[DEVELOPMENT]],'[2]NYCHA_Development_Data_Book 201'!$B$2:$AY$324,40,FALSE)</f>
        <v>BROOKLYN</v>
      </c>
      <c r="C269" s="20" t="str">
        <f>VLOOKUP(Data[[#This Row],[DEVELOPMENT]],'[3]Cheat-Sheet'!$D$2:$Q$341,2,FALSE)</f>
        <v>SURFSIDE GARDENS</v>
      </c>
      <c r="D269" s="20" t="str">
        <f>IF(VLOOKUP(Data[[#This Row],[DEVELOPMENT]],'[4]IC Categories'!$A$2:$G$325,3,FALSE)=0,"",VLOOKUP(Data[[#This Row],[DEVELOPMENT]],'[4]IC Categories'!$A$2:$G$325,3,FALSE))</f>
        <v/>
      </c>
      <c r="E269" s="20">
        <f>VLOOKUP(Data[[#This Row],[DEVELOPMENT]],'[2]NYCHA_Development_Data_Book 201'!$B$2:$AY$324,21,FALSE)</f>
        <v>5</v>
      </c>
      <c r="F269" s="20">
        <f>VLOOKUP(Data[[#This Row],[DEVELOPMENT]],'[2]NYCHA_Development_Data_Book 201'!$B$2:$AY$324,23,FALSE)</f>
        <v>5</v>
      </c>
      <c r="G269" s="20">
        <f>VLOOKUP(Data[[#This Row],[DEVELOPMENT]],'[2]NYCHA_Development_Data_Book 201'!$B$2:$AY$324,12,FALSE)</f>
        <v>594</v>
      </c>
      <c r="J269">
        <f>IFERROR(VLOOKUP(Data[[#This Row],[DEVELOPMENT]],[5]!Table1[[DEVELOPMENTS]:[Installation Date of Exterior Compactor]],4,FALSE),0)</f>
        <v>0</v>
      </c>
      <c r="K269" s="20">
        <f>IFERROR(VLOOKUP(Data[[#This Row],[DEVELOPMENT]],[5]!Table1[[DEVELOPMENTS]:[Installation Date of Exterior Compactor]],7,FALSE),0)</f>
        <v>0</v>
      </c>
      <c r="L269" s="42" t="str">
        <f>IF(Data[[#This Row],['# Interior Compactors]]=0,"",VLOOKUP(Data[[#This Row],[DEVELOPMENT]],[5]!Table1[[DEVELOPMENTS]:[Installation Date of Exterior Compactor]],5,FALSE))</f>
        <v/>
      </c>
      <c r="M269" s="43" t="str">
        <f>IF(Data[[#This Row],['# Exterior Compactors]]=0,"",VLOOKUP(Data[[#This Row],[DEVELOPMENT]],[5]!Table1[[DEVELOPMENTS]:[Installation Date of Exterior Compactor]],8,FALSE))</f>
        <v/>
      </c>
      <c r="N269" s="20">
        <f>Data[[#This Row],['# Interior Compactors]]</f>
        <v>0</v>
      </c>
      <c r="O269" s="20">
        <f>1</f>
        <v>1</v>
      </c>
      <c r="P269" s="20">
        <f>1</f>
        <v>1</v>
      </c>
      <c r="Q269" s="20">
        <f>1</f>
        <v>1</v>
      </c>
      <c r="R269" s="20">
        <f>1</f>
        <v>1</v>
      </c>
      <c r="S269" s="20">
        <f>1</f>
        <v>1</v>
      </c>
      <c r="T269" s="20">
        <f>Data[[#This Row],[DUs]]</f>
        <v>594</v>
      </c>
      <c r="U26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6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6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69" s="101">
        <f>VLOOKUP(Data[[#This Row],[DEVELOPMENT]],'[2]NYCHA_Development_Data_Book 201'!$B$2:$E$324,3,FALSE)</f>
        <v>170</v>
      </c>
      <c r="Y269" s="20"/>
      <c r="Z269" s="20">
        <f>IFERROR(VLOOKUP(Data[[#This Row],[TDS]],'[7]Static Ext by TDS'!$A$5:$E$120,2,FALSE),0)</f>
        <v>1</v>
      </c>
      <c r="AA269" s="20">
        <f>IFERROR(VLOOKUP(Data[[#This Row],[TDS]],'[7]Static Int by TDS'!$A$6:$O$305,2,FALSE),0)</f>
        <v>5</v>
      </c>
      <c r="AB269" s="20"/>
      <c r="AC269" s="20"/>
      <c r="AD269" s="20">
        <f>IFERROR(VLOOKUP(Data[[#This Row],[TDS]],'[7]Static Ext by TDS'!$A$5:$P$120,3,FALSE)+VLOOKUP(Data[[#This Row],[TDS]],'[7]Static Ext by TDS'!$A$5:$P$120,6,FALSE),0)</f>
        <v>1</v>
      </c>
      <c r="AE269" s="20">
        <f>IFERROR(VLOOKUP(Data[[#This Row],[TDS]],'[7]Static Int by TDS'!$A$6:$O$305,3,FALSE)+VLOOKUP(Data[[#This Row],[TDS]],'[7]Static Int by TDS'!$A$6:$O$305,6,FALSE),0)</f>
        <v>5</v>
      </c>
      <c r="AF269" s="20" t="str">
        <f>VLOOKUP(Data[[#This Row],[DEVELOPMENT]],[8]Developments!$A$2:$A$312,1,FALSE)</f>
        <v>SURFSIDE GARDENS</v>
      </c>
    </row>
    <row r="270" spans="1:32" x14ac:dyDescent="0.25">
      <c r="A270" t="s">
        <v>326</v>
      </c>
      <c r="B270" s="20" t="str">
        <f>VLOOKUP(Data[[#This Row],[DEVELOPMENT]],'[2]NYCHA_Development_Data_Book 201'!$B$2:$AY$324,40,FALSE)</f>
        <v>BROOKLYN</v>
      </c>
      <c r="C270" s="20" t="str">
        <f>VLOOKUP(Data[[#This Row],[DEVELOPMENT]],'[3]Cheat-Sheet'!$D$2:$Q$341,2,FALSE)</f>
        <v>REID APARTMENTS</v>
      </c>
      <c r="D270" s="20">
        <f>IF(VLOOKUP(Data[[#This Row],[DEVELOPMENT]],'[4]IC Categories'!$A$2:$G$325,3,FALSE)=0,"",VLOOKUP(Data[[#This Row],[DEVELOPMENT]],'[4]IC Categories'!$A$2:$G$325,3,FALSE))</f>
        <v>2021</v>
      </c>
      <c r="E270" s="20">
        <f>VLOOKUP(Data[[#This Row],[DEVELOPMENT]],'[2]NYCHA_Development_Data_Book 201'!$B$2:$AY$324,21,FALSE)</f>
        <v>3</v>
      </c>
      <c r="F270" s="20">
        <f>VLOOKUP(Data[[#This Row],[DEVELOPMENT]],'[2]NYCHA_Development_Data_Book 201'!$B$2:$AY$324,23,FALSE)</f>
        <v>3</v>
      </c>
      <c r="G270" s="20">
        <f>VLOOKUP(Data[[#This Row],[DEVELOPMENT]],'[2]NYCHA_Development_Data_Book 201'!$B$2:$AY$324,12,FALSE)</f>
        <v>100</v>
      </c>
      <c r="J270">
        <f>IFERROR(VLOOKUP(Data[[#This Row],[DEVELOPMENT]],[5]!Table1[[DEVELOPMENTS]:[Installation Date of Exterior Compactor]],4,FALSE),0)</f>
        <v>0</v>
      </c>
      <c r="K270" s="20">
        <f>IFERROR(VLOOKUP(Data[[#This Row],[DEVELOPMENT]],[5]!Table1[[DEVELOPMENTS]:[Installation Date of Exterior Compactor]],7,FALSE),0)</f>
        <v>0</v>
      </c>
      <c r="L270" s="42" t="str">
        <f>IF(Data[[#This Row],['# Interior Compactors]]=0,"",VLOOKUP(Data[[#This Row],[DEVELOPMENT]],[5]!Table1[[DEVELOPMENTS]:[Installation Date of Exterior Compactor]],5,FALSE))</f>
        <v/>
      </c>
      <c r="M270" s="43" t="str">
        <f>IF(Data[[#This Row],['# Exterior Compactors]]=0,"",VLOOKUP(Data[[#This Row],[DEVELOPMENT]],[5]!Table1[[DEVELOPMENTS]:[Installation Date of Exterior Compactor]],8,FALSE))</f>
        <v/>
      </c>
      <c r="N270" s="20">
        <f>Data[[#This Row],['# Interior Compactors]]</f>
        <v>0</v>
      </c>
      <c r="O270" s="20">
        <f>1</f>
        <v>1</v>
      </c>
      <c r="P270" s="20">
        <f>1</f>
        <v>1</v>
      </c>
      <c r="Q270" s="20">
        <f>1</f>
        <v>1</v>
      </c>
      <c r="R270" s="20">
        <f>1</f>
        <v>1</v>
      </c>
      <c r="S270" s="20">
        <f>1</f>
        <v>1</v>
      </c>
      <c r="T270" s="20">
        <f>Data[[#This Row],[DUs]]</f>
        <v>100</v>
      </c>
      <c r="U27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0" s="101">
        <f>VLOOKUP(Data[[#This Row],[DEVELOPMENT]],'[2]NYCHA_Development_Data_Book 201'!$B$2:$E$324,3,FALSE)</f>
        <v>369</v>
      </c>
      <c r="Y270" s="20"/>
      <c r="Z270" s="20">
        <f>IFERROR(VLOOKUP(Data[[#This Row],[TDS]],'[7]Static Ext by TDS'!$A$5:$E$120,2,FALSE),0)</f>
        <v>0</v>
      </c>
      <c r="AA270" s="20">
        <f>IFERROR(VLOOKUP(Data[[#This Row],[TDS]],'[7]Static Int by TDS'!$A$6:$O$305,2,FALSE),0)</f>
        <v>5</v>
      </c>
      <c r="AB270" s="20"/>
      <c r="AC270" s="20"/>
      <c r="AD270" s="20">
        <f>IFERROR(VLOOKUP(Data[[#This Row],[TDS]],'[7]Static Ext by TDS'!$A$5:$P$120,3,FALSE)+VLOOKUP(Data[[#This Row],[TDS]],'[7]Static Ext by TDS'!$A$5:$P$120,6,FALSE),0)</f>
        <v>0</v>
      </c>
      <c r="AE270" s="20">
        <f>IFERROR(VLOOKUP(Data[[#This Row],[TDS]],'[7]Static Int by TDS'!$A$6:$O$305,3,FALSE)+VLOOKUP(Data[[#This Row],[TDS]],'[7]Static Int by TDS'!$A$6:$O$305,6,FALSE),0)</f>
        <v>5</v>
      </c>
      <c r="AF270" s="20" t="str">
        <f>VLOOKUP(Data[[#This Row],[DEVELOPMENT]],[8]Developments!$A$2:$A$312,1,FALSE)</f>
        <v>SUTTER AVENUE-UNION STREET</v>
      </c>
    </row>
    <row r="271" spans="1:32" x14ac:dyDescent="0.25">
      <c r="A271" t="s">
        <v>128</v>
      </c>
      <c r="B271" t="str">
        <f>VLOOKUP(Data[[#This Row],[DEVELOPMENT]],'[2]NYCHA_Development_Data_Book 201'!$B$2:$AY$324,40,FALSE)</f>
        <v>MANHATTAN</v>
      </c>
      <c r="C271" t="str">
        <f>VLOOKUP(Data[[#This Row],[DEVELOPMENT]],'[3]Cheat-Sheet'!$D$2:$Q$341,2,FALSE)</f>
        <v>TAFT</v>
      </c>
      <c r="D271" t="str">
        <f>IF(VLOOKUP(Data[[#This Row],[DEVELOPMENT]],'[4]IC Categories'!$A$2:$G$325,3,FALSE)=0,"",VLOOKUP(Data[[#This Row],[DEVELOPMENT]],'[4]IC Categories'!$A$2:$G$325,3,FALSE))</f>
        <v/>
      </c>
      <c r="E271">
        <f>VLOOKUP(Data[[#This Row],[DEVELOPMENT]],'[2]NYCHA_Development_Data_Book 201'!$B$2:$AY$324,21,FALSE)</f>
        <v>9</v>
      </c>
      <c r="F271">
        <f>VLOOKUP(Data[[#This Row],[DEVELOPMENT]],'[2]NYCHA_Development_Data_Book 201'!$B$2:$AY$324,23,FALSE)</f>
        <v>19</v>
      </c>
      <c r="G271">
        <f>VLOOKUP(Data[[#This Row],[DEVELOPMENT]],'[2]NYCHA_Development_Data_Book 201'!$B$2:$AY$324,12,FALSE)</f>
        <v>1463</v>
      </c>
      <c r="H271" t="s">
        <v>470</v>
      </c>
      <c r="I271" t="s">
        <v>478</v>
      </c>
      <c r="J271">
        <f>IFERROR(VLOOKUP(Data[[#This Row],[DEVELOPMENT]],[5]!Table1[[DEVELOPMENTS]:[Installation Date of Exterior Compactor]],4,FALSE),0)</f>
        <v>0</v>
      </c>
      <c r="K271" s="20">
        <f>IFERROR(VLOOKUP(Data[[#This Row],[DEVELOPMENT]],[5]!Table1[[DEVELOPMENTS]:[Installation Date of Exterior Compactor]],7,FALSE),0)</f>
        <v>0</v>
      </c>
      <c r="L271" s="42" t="str">
        <f>IF(Data[[#This Row],['# Interior Compactors]]=0,"",VLOOKUP(Data[[#This Row],[DEVELOPMENT]],[5]!Table1[[DEVELOPMENTS]:[Installation Date of Exterior Compactor]],5,FALSE))</f>
        <v/>
      </c>
      <c r="M271" s="43" t="str">
        <f>IF(Data[[#This Row],['# Exterior Compactors]]=0,"",VLOOKUP(Data[[#This Row],[DEVELOPMENT]],[5]!Table1[[DEVELOPMENTS]:[Installation Date of Exterior Compactor]],8,FALSE))</f>
        <v/>
      </c>
      <c r="N271">
        <f>Data[[#This Row],['# Interior Compactors]]</f>
        <v>0</v>
      </c>
      <c r="O271" s="20">
        <f>1</f>
        <v>1</v>
      </c>
      <c r="P271" s="20">
        <f>1</f>
        <v>1</v>
      </c>
      <c r="Q271" s="20">
        <f>1</f>
        <v>1</v>
      </c>
      <c r="R271" s="20">
        <f>1</f>
        <v>1</v>
      </c>
      <c r="S271" s="20">
        <f>1</f>
        <v>1</v>
      </c>
      <c r="T271" s="20">
        <f>Data[[#This Row],[DUs]]</f>
        <v>1463</v>
      </c>
      <c r="U27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1" s="101">
        <f>VLOOKUP(Data[[#This Row],[DEVELOPMENT]],'[2]NYCHA_Development_Data_Book 201'!$B$2:$E$324,3,FALSE)</f>
        <v>97</v>
      </c>
      <c r="Y271" s="20"/>
      <c r="Z271" s="20">
        <f>IFERROR(VLOOKUP(Data[[#This Row],[TDS]],'[7]Static Ext by TDS'!$A$5:$E$120,2,FALSE),0)</f>
        <v>4</v>
      </c>
      <c r="AA271" s="20">
        <f>IFERROR(VLOOKUP(Data[[#This Row],[TDS]],'[7]Static Int by TDS'!$A$6:$O$305,2,FALSE),0)</f>
        <v>11</v>
      </c>
      <c r="AB271" s="20"/>
      <c r="AC271" s="20"/>
      <c r="AD271" s="20">
        <f>IFERROR(VLOOKUP(Data[[#This Row],[TDS]],'[7]Static Ext by TDS'!$A$5:$P$120,3,FALSE)+VLOOKUP(Data[[#This Row],[TDS]],'[7]Static Ext by TDS'!$A$5:$P$120,6,FALSE),0)</f>
        <v>4</v>
      </c>
      <c r="AE271" s="20">
        <f>IFERROR(VLOOKUP(Data[[#This Row],[TDS]],'[7]Static Int by TDS'!$A$6:$O$305,3,FALSE)+VLOOKUP(Data[[#This Row],[TDS]],'[7]Static Int by TDS'!$A$6:$O$305,6,FALSE),0)</f>
        <v>11</v>
      </c>
      <c r="AF271" s="20" t="str">
        <f>VLOOKUP(Data[[#This Row],[DEVELOPMENT]],[8]Developments!$A$2:$A$312,1,FALSE)</f>
        <v>TAFT</v>
      </c>
    </row>
    <row r="272" spans="1:32" x14ac:dyDescent="0.25">
      <c r="A272" t="s">
        <v>327</v>
      </c>
      <c r="B272" s="20" t="str">
        <f>VLOOKUP(Data[[#This Row],[DEVELOPMENT]],'[2]NYCHA_Development_Data_Book 201'!$B$2:$AY$324,40,FALSE)</f>
        <v>BROOKLYN</v>
      </c>
      <c r="C272" s="20" t="str">
        <f>VLOOKUP(Data[[#This Row],[DEVELOPMENT]],'[3]Cheat-Sheet'!$D$2:$Q$341,2,FALSE)</f>
        <v>REID APARTMENTS</v>
      </c>
      <c r="D272" s="20">
        <f>IF(VLOOKUP(Data[[#This Row],[DEVELOPMENT]],'[4]IC Categories'!$A$2:$G$325,3,FALSE)=0,"",VLOOKUP(Data[[#This Row],[DEVELOPMENT]],'[4]IC Categories'!$A$2:$G$325,3,FALSE))</f>
        <v>2021</v>
      </c>
      <c r="E272" s="20">
        <f>VLOOKUP(Data[[#This Row],[DEVELOPMENT]],'[2]NYCHA_Development_Data_Book 201'!$B$2:$AY$324,21,FALSE)</f>
        <v>8</v>
      </c>
      <c r="F272" s="20">
        <f>VLOOKUP(Data[[#This Row],[DEVELOPMENT]],'[2]NYCHA_Development_Data_Book 201'!$B$2:$AY$324,23,FALSE)</f>
        <v>8</v>
      </c>
      <c r="G272" s="20">
        <f>VLOOKUP(Data[[#This Row],[DEVELOPMENT]],'[2]NYCHA_Development_Data_Book 201'!$B$2:$AY$324,12,FALSE)</f>
        <v>155</v>
      </c>
      <c r="J272">
        <f>IFERROR(VLOOKUP(Data[[#This Row],[DEVELOPMENT]],[5]!Table1[[DEVELOPMENTS]:[Installation Date of Exterior Compactor]],4,FALSE),0)</f>
        <v>0</v>
      </c>
      <c r="K272" s="20">
        <f>IFERROR(VLOOKUP(Data[[#This Row],[DEVELOPMENT]],[5]!Table1[[DEVELOPMENTS]:[Installation Date of Exterior Compactor]],7,FALSE),0)</f>
        <v>0</v>
      </c>
      <c r="L272" s="42" t="str">
        <f>IF(Data[[#This Row],['# Interior Compactors]]=0,"",VLOOKUP(Data[[#This Row],[DEVELOPMENT]],[5]!Table1[[DEVELOPMENTS]:[Installation Date of Exterior Compactor]],5,FALSE))</f>
        <v/>
      </c>
      <c r="M272" s="43" t="str">
        <f>IF(Data[[#This Row],['# Exterior Compactors]]=0,"",VLOOKUP(Data[[#This Row],[DEVELOPMENT]],[5]!Table1[[DEVELOPMENTS]:[Installation Date of Exterior Compactor]],8,FALSE))</f>
        <v/>
      </c>
      <c r="N272" s="20">
        <f>Data[[#This Row],['# Interior Compactors]]</f>
        <v>0</v>
      </c>
      <c r="O272" s="20">
        <f>1</f>
        <v>1</v>
      </c>
      <c r="P272" s="20">
        <f>1</f>
        <v>1</v>
      </c>
      <c r="Q272" s="20">
        <f>1</f>
        <v>1</v>
      </c>
      <c r="R272" s="20">
        <f>1</f>
        <v>1</v>
      </c>
      <c r="S272" s="20">
        <f>1</f>
        <v>1</v>
      </c>
      <c r="T272" s="20">
        <f>Data[[#This Row],[DUs]]</f>
        <v>155</v>
      </c>
      <c r="U27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2" s="101">
        <f>VLOOKUP(Data[[#This Row],[DEVELOPMENT]],'[2]NYCHA_Development_Data_Book 201'!$B$2:$E$324,3,FALSE)</f>
        <v>354</v>
      </c>
      <c r="Y272" s="20"/>
      <c r="Z272" s="20">
        <f>IFERROR(VLOOKUP(Data[[#This Row],[TDS]],'[7]Static Ext by TDS'!$A$5:$E$120,2,FALSE),0)</f>
        <v>0</v>
      </c>
      <c r="AA272" s="20">
        <f>IFERROR(VLOOKUP(Data[[#This Row],[TDS]],'[7]Static Int by TDS'!$A$6:$O$305,2,FALSE),0)</f>
        <v>9</v>
      </c>
      <c r="AB272" s="20"/>
      <c r="AC272" s="20"/>
      <c r="AD272" s="20">
        <f>IFERROR(VLOOKUP(Data[[#This Row],[TDS]],'[7]Static Ext by TDS'!$A$5:$P$120,3,FALSE)+VLOOKUP(Data[[#This Row],[TDS]],'[7]Static Ext by TDS'!$A$5:$P$120,6,FALSE),0)</f>
        <v>0</v>
      </c>
      <c r="AE272" s="20">
        <f>IFERROR(VLOOKUP(Data[[#This Row],[TDS]],'[7]Static Int by TDS'!$A$6:$O$305,3,FALSE)+VLOOKUP(Data[[#This Row],[TDS]],'[7]Static Int by TDS'!$A$6:$O$305,6,FALSE),0)</f>
        <v>9</v>
      </c>
      <c r="AF272" s="20" t="str">
        <f>VLOOKUP(Data[[#This Row],[DEVELOPMENT]],[8]Developments!$A$2:$A$312,1,FALSE)</f>
        <v>TAPSCOTT STREET REHAB</v>
      </c>
    </row>
    <row r="273" spans="1:32" x14ac:dyDescent="0.25">
      <c r="A273" t="s">
        <v>328</v>
      </c>
      <c r="B273" s="20" t="str">
        <f>VLOOKUP(Data[[#This Row],[DEVELOPMENT]],'[2]NYCHA_Development_Data_Book 201'!$B$2:$AY$324,40,FALSE)</f>
        <v>BROOKLYN</v>
      </c>
      <c r="C273" s="20" t="str">
        <f>VLOOKUP(Data[[#This Row],[DEVELOPMENT]],'[3]Cheat-Sheet'!$D$2:$Q$341,2,FALSE)</f>
        <v>TAYLOR STREET-WYTHE AVENUE</v>
      </c>
      <c r="D273" s="20" t="str">
        <f>IF(VLOOKUP(Data[[#This Row],[DEVELOPMENT]],'[4]IC Categories'!$A$2:$G$325,3,FALSE)=0,"",VLOOKUP(Data[[#This Row],[DEVELOPMENT]],'[4]IC Categories'!$A$2:$G$325,3,FALSE))</f>
        <v/>
      </c>
      <c r="E273" s="20">
        <f>VLOOKUP(Data[[#This Row],[DEVELOPMENT]],'[2]NYCHA_Development_Data_Book 201'!$B$2:$AY$324,21,FALSE)</f>
        <v>5</v>
      </c>
      <c r="F273" s="20">
        <f>VLOOKUP(Data[[#This Row],[DEVELOPMENT]],'[2]NYCHA_Development_Data_Book 201'!$B$2:$AY$324,23,FALSE)</f>
        <v>6</v>
      </c>
      <c r="G273" s="20">
        <f>VLOOKUP(Data[[#This Row],[DEVELOPMENT]],'[2]NYCHA_Development_Data_Book 201'!$B$2:$AY$324,12,FALSE)</f>
        <v>525</v>
      </c>
      <c r="J273">
        <f>IFERROR(VLOOKUP(Data[[#This Row],[DEVELOPMENT]],[5]!Table1[[DEVELOPMENTS]:[Installation Date of Exterior Compactor]],4,FALSE),0)</f>
        <v>0</v>
      </c>
      <c r="K273" s="20">
        <f>IFERROR(VLOOKUP(Data[[#This Row],[DEVELOPMENT]],[5]!Table1[[DEVELOPMENTS]:[Installation Date of Exterior Compactor]],7,FALSE),0)</f>
        <v>0</v>
      </c>
      <c r="L273" s="42" t="str">
        <f>IF(Data[[#This Row],['# Interior Compactors]]=0,"",VLOOKUP(Data[[#This Row],[DEVELOPMENT]],[5]!Table1[[DEVELOPMENTS]:[Installation Date of Exterior Compactor]],5,FALSE))</f>
        <v/>
      </c>
      <c r="M273" s="43" t="str">
        <f>IF(Data[[#This Row],['# Exterior Compactors]]=0,"",VLOOKUP(Data[[#This Row],[DEVELOPMENT]],[5]!Table1[[DEVELOPMENTS]:[Installation Date of Exterior Compactor]],8,FALSE))</f>
        <v/>
      </c>
      <c r="N273" s="20">
        <f>Data[[#This Row],['# Interior Compactors]]</f>
        <v>0</v>
      </c>
      <c r="O273" s="20">
        <f>1</f>
        <v>1</v>
      </c>
      <c r="P273" s="20">
        <f>1</f>
        <v>1</v>
      </c>
      <c r="Q273" s="20">
        <f>1</f>
        <v>1</v>
      </c>
      <c r="R273" s="20">
        <f>1</f>
        <v>1</v>
      </c>
      <c r="S273" s="20">
        <f>1</f>
        <v>1</v>
      </c>
      <c r="T273" s="20">
        <f>Data[[#This Row],[DUs]]</f>
        <v>525</v>
      </c>
      <c r="U27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3" s="101">
        <f>VLOOKUP(Data[[#This Row],[DEVELOPMENT]],'[2]NYCHA_Development_Data_Book 201'!$B$2:$E$324,3,FALSE)</f>
        <v>234</v>
      </c>
      <c r="Y273" s="20" t="s">
        <v>473</v>
      </c>
      <c r="Z273" s="20">
        <f>IFERROR(VLOOKUP(Data[[#This Row],[TDS]],'[7]Static Ext by TDS'!$A$5:$E$120,2,FALSE),0)</f>
        <v>0</v>
      </c>
      <c r="AA273" s="20">
        <f>IFERROR(VLOOKUP(Data[[#This Row],[TDS]],'[7]Static Int by TDS'!$A$6:$O$305,2,FALSE),0)</f>
        <v>6</v>
      </c>
      <c r="AB273" s="20"/>
      <c r="AC273" s="20"/>
      <c r="AD273" s="20">
        <f>IFERROR(VLOOKUP(Data[[#This Row],[TDS]],'[7]Static Ext by TDS'!$A$5:$P$120,3,FALSE)+VLOOKUP(Data[[#This Row],[TDS]],'[7]Static Ext by TDS'!$A$5:$P$120,6,FALSE),0)</f>
        <v>0</v>
      </c>
      <c r="AE273" s="20">
        <f>IFERROR(VLOOKUP(Data[[#This Row],[TDS]],'[7]Static Int by TDS'!$A$6:$O$305,3,FALSE)+VLOOKUP(Data[[#This Row],[TDS]],'[7]Static Int by TDS'!$A$6:$O$305,6,FALSE),0)</f>
        <v>1</v>
      </c>
      <c r="AF273" s="20" t="str">
        <f>VLOOKUP(Data[[#This Row],[DEVELOPMENT]],[8]Developments!$A$2:$A$312,1,FALSE)</f>
        <v>TAYLOR STREET-WYTHE AVENUE</v>
      </c>
    </row>
    <row r="274" spans="1:32" x14ac:dyDescent="0.25">
      <c r="A274" s="17" t="s">
        <v>149</v>
      </c>
      <c r="B274" s="17" t="str">
        <f>VLOOKUP(Data[[#This Row],[DEVELOPMENT]],'[2]NYCHA_Development_Data_Book 201'!$B$2:$AY$324,40,FALSE)</f>
        <v>BRONX</v>
      </c>
      <c r="C274" t="str">
        <f>VLOOKUP(Data[[#This Row],[DEVELOPMENT]],'[3]Cheat-Sheet'!$D$2:$Q$341,2,FALSE)</f>
        <v>CLAREMONT CONSOLIDATED</v>
      </c>
      <c r="D274">
        <f>IF(VLOOKUP(Data[[#This Row],[DEVELOPMENT]],'[4]IC Categories'!$A$2:$G$325,3,FALSE)=0,"",VLOOKUP(Data[[#This Row],[DEVELOPMENT]],'[4]IC Categories'!$A$2:$G$325,3,FALSE))</f>
        <v>2025</v>
      </c>
      <c r="E274">
        <f>VLOOKUP(Data[[#This Row],[DEVELOPMENT]],'[2]NYCHA_Development_Data_Book 201'!$B$2:$AY$324,21,FALSE)</f>
        <v>1</v>
      </c>
      <c r="F274">
        <f>VLOOKUP(Data[[#This Row],[DEVELOPMENT]],'[2]NYCHA_Development_Data_Book 201'!$B$2:$AY$324,23,FALSE)</f>
        <v>1</v>
      </c>
      <c r="G274">
        <f>VLOOKUP(Data[[#This Row],[DEVELOPMENT]],'[2]NYCHA_Development_Data_Book 201'!$B$2:$AY$324,12,FALSE)</f>
        <v>90</v>
      </c>
      <c r="H274" t="s">
        <v>472</v>
      </c>
      <c r="I274" t="s">
        <v>471</v>
      </c>
      <c r="J274">
        <f>IFERROR(VLOOKUP(Data[[#This Row],[DEVELOPMENT]],[5]!Table1[[DEVELOPMENTS]:[Installation Date of Exterior Compactor]],4,FALSE),0)</f>
        <v>0</v>
      </c>
      <c r="K274" s="20">
        <f>IFERROR(VLOOKUP(Data[[#This Row],[DEVELOPMENT]],[5]!Table1[[DEVELOPMENTS]:[Installation Date of Exterior Compactor]],7,FALSE),0)</f>
        <v>0</v>
      </c>
      <c r="L274" s="42" t="str">
        <f>IF(Data[[#This Row],['# Interior Compactors]]=0,"",VLOOKUP(Data[[#This Row],[DEVELOPMENT]],[5]!Table1[[DEVELOPMENTS]:[Installation Date of Exterior Compactor]],5,FALSE))</f>
        <v/>
      </c>
      <c r="M274" s="43" t="str">
        <f>IF(Data[[#This Row],['# Exterior Compactors]]=0,"",VLOOKUP(Data[[#This Row],[DEVELOPMENT]],[5]!Table1[[DEVELOPMENTS]:[Installation Date of Exterior Compactor]],8,FALSE))</f>
        <v/>
      </c>
      <c r="N274">
        <f>Data[[#This Row],['# Interior Compactors]]</f>
        <v>0</v>
      </c>
      <c r="O274" s="20">
        <f>1</f>
        <v>1</v>
      </c>
      <c r="P274" s="20">
        <f>1</f>
        <v>1</v>
      </c>
      <c r="Q274" s="20">
        <f>1</f>
        <v>1</v>
      </c>
      <c r="R274" s="20">
        <f>1</f>
        <v>1</v>
      </c>
      <c r="S274" s="20">
        <f>1</f>
        <v>1</v>
      </c>
      <c r="T274" s="20">
        <f>Data[[#This Row],[DUs]]</f>
        <v>90</v>
      </c>
      <c r="U27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4" s="101">
        <f>VLOOKUP(Data[[#This Row],[DEVELOPMENT]],'[2]NYCHA_Development_Data_Book 201'!$B$2:$E$324,3,FALSE)</f>
        <v>223</v>
      </c>
      <c r="Y274" s="20"/>
      <c r="Z274" s="20">
        <f>IFERROR(VLOOKUP(Data[[#This Row],[TDS]],'[7]Static Ext by TDS'!$A$5:$E$120,2,FALSE),0)</f>
        <v>0</v>
      </c>
      <c r="AA274" s="20">
        <f>IFERROR(VLOOKUP(Data[[#This Row],[TDS]],'[7]Static Int by TDS'!$A$6:$O$305,2,FALSE),0)</f>
        <v>2</v>
      </c>
      <c r="AB274" s="20"/>
      <c r="AC274" s="20"/>
      <c r="AD274" s="20">
        <f>IFERROR(VLOOKUP(Data[[#This Row],[TDS]],'[7]Static Ext by TDS'!$A$5:$P$120,3,FALSE)+VLOOKUP(Data[[#This Row],[TDS]],'[7]Static Ext by TDS'!$A$5:$P$120,6,FALSE),0)</f>
        <v>0</v>
      </c>
      <c r="AE274" s="20">
        <f>IFERROR(VLOOKUP(Data[[#This Row],[TDS]],'[7]Static Int by TDS'!$A$6:$O$305,3,FALSE)+VLOOKUP(Data[[#This Row],[TDS]],'[7]Static Int by TDS'!$A$6:$O$305,6,FALSE),0)</f>
        <v>2</v>
      </c>
      <c r="AF274" s="20" t="str">
        <f>VLOOKUP(Data[[#This Row],[DEVELOPMENT]],[8]Developments!$A$2:$A$312,1,FALSE)</f>
        <v>TELLER AVENUE-EAST 166TH STREET</v>
      </c>
    </row>
    <row r="275" spans="1:32" x14ac:dyDescent="0.25">
      <c r="A275" t="s">
        <v>329</v>
      </c>
      <c r="B275" s="20" t="str">
        <f>VLOOKUP(Data[[#This Row],[DEVELOPMENT]],'[2]NYCHA_Development_Data_Book 201'!$B$2:$AY$324,40,FALSE)</f>
        <v>MANHATTAN</v>
      </c>
      <c r="C275" s="20" t="str">
        <f>VLOOKUP(Data[[#This Row],[DEVELOPMENT]],'[3]Cheat-Sheet'!$D$2:$Q$341,2,FALSE)</f>
        <v>WISE TOWERS</v>
      </c>
      <c r="D275" s="20" t="str">
        <f>IF(VLOOKUP(Data[[#This Row],[DEVELOPMENT]],'[4]IC Categories'!$A$2:$G$325,3,FALSE)=0,"",VLOOKUP(Data[[#This Row],[DEVELOPMENT]],'[4]IC Categories'!$A$2:$G$325,3,FALSE))</f>
        <v/>
      </c>
      <c r="E275" s="20">
        <f>VLOOKUP(Data[[#This Row],[DEVELOPMENT]],'[2]NYCHA_Development_Data_Book 201'!$B$2:$AY$324,21,FALSE)</f>
        <v>1</v>
      </c>
      <c r="F275" s="20">
        <f>VLOOKUP(Data[[#This Row],[DEVELOPMENT]],'[2]NYCHA_Development_Data_Book 201'!$B$2:$AY$324,23,FALSE)</f>
        <v>1</v>
      </c>
      <c r="G275" s="20">
        <f>VLOOKUP(Data[[#This Row],[DEVELOPMENT]],'[2]NYCHA_Development_Data_Book 201'!$B$2:$AY$324,12,FALSE)</f>
        <v>87</v>
      </c>
      <c r="H275" t="s">
        <v>476</v>
      </c>
      <c r="J275">
        <f>IFERROR(VLOOKUP(Data[[#This Row],[DEVELOPMENT]],[5]!Table1[[DEVELOPMENTS]:[Installation Date of Exterior Compactor]],4,FALSE),0)</f>
        <v>0</v>
      </c>
      <c r="K275" s="20">
        <f>IFERROR(VLOOKUP(Data[[#This Row],[DEVELOPMENT]],[5]!Table1[[DEVELOPMENTS]:[Installation Date of Exterior Compactor]],7,FALSE),0)</f>
        <v>0</v>
      </c>
      <c r="L275" s="42" t="str">
        <f>IF(Data[[#This Row],['# Interior Compactors]]=0,"",VLOOKUP(Data[[#This Row],[DEVELOPMENT]],[5]!Table1[[DEVELOPMENTS]:[Installation Date of Exterior Compactor]],5,FALSE))</f>
        <v/>
      </c>
      <c r="M275" s="43" t="str">
        <f>IF(Data[[#This Row],['# Exterior Compactors]]=0,"",VLOOKUP(Data[[#This Row],[DEVELOPMENT]],[5]!Table1[[DEVELOPMENTS]:[Installation Date of Exterior Compactor]],8,FALSE))</f>
        <v/>
      </c>
      <c r="N275" s="20">
        <f>Data[[#This Row],['# Interior Compactors]]</f>
        <v>0</v>
      </c>
      <c r="O275" s="20">
        <f>1</f>
        <v>1</v>
      </c>
      <c r="P275" s="20">
        <f>1</f>
        <v>1</v>
      </c>
      <c r="Q275" s="20">
        <f>1</f>
        <v>1</v>
      </c>
      <c r="R275" s="20">
        <f>1</f>
        <v>1</v>
      </c>
      <c r="S275" s="20">
        <f>1</f>
        <v>1</v>
      </c>
      <c r="T275" s="20">
        <f>Data[[#This Row],[DUs]]</f>
        <v>87</v>
      </c>
      <c r="U27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5" s="101">
        <f>VLOOKUP(Data[[#This Row],[DEVELOPMENT]],'[2]NYCHA_Development_Data_Book 201'!$B$2:$E$324,3,FALSE)</f>
        <v>268</v>
      </c>
      <c r="Y275" s="20"/>
      <c r="Z275" s="20">
        <f>IFERROR(VLOOKUP(Data[[#This Row],[TDS]],'[7]Static Ext by TDS'!$A$5:$E$120,2,FALSE),0)</f>
        <v>0</v>
      </c>
      <c r="AA275" s="20">
        <f>IFERROR(VLOOKUP(Data[[#This Row],[TDS]],'[7]Static Int by TDS'!$A$6:$O$305,2,FALSE),0)</f>
        <v>1</v>
      </c>
      <c r="AB275" s="20"/>
      <c r="AC275" s="20"/>
      <c r="AD275" s="20">
        <f>IFERROR(VLOOKUP(Data[[#This Row],[TDS]],'[7]Static Ext by TDS'!$A$5:$P$120,3,FALSE)+VLOOKUP(Data[[#This Row],[TDS]],'[7]Static Ext by TDS'!$A$5:$P$120,6,FALSE),0)</f>
        <v>0</v>
      </c>
      <c r="AE275" s="20">
        <f>IFERROR(VLOOKUP(Data[[#This Row],[TDS]],'[7]Static Int by TDS'!$A$6:$O$305,3,FALSE)+VLOOKUP(Data[[#This Row],[TDS]],'[7]Static Int by TDS'!$A$6:$O$305,6,FALSE),0)</f>
        <v>1</v>
      </c>
      <c r="AF275" s="20" t="str">
        <f>VLOOKUP(Data[[#This Row],[DEVELOPMENT]],[8]Developments!$A$2:$A$312,1,FALSE)</f>
        <v>THOMAS APARTMENTS</v>
      </c>
    </row>
    <row r="276" spans="1:32" x14ac:dyDescent="0.25">
      <c r="A276" t="s">
        <v>330</v>
      </c>
      <c r="B276" s="20" t="str">
        <f>VLOOKUP(Data[[#This Row],[DEVELOPMENT]],'[2]NYCHA_Development_Data_Book 201'!$B$2:$AY$324,40,FALSE)</f>
        <v>BRONX</v>
      </c>
      <c r="C276" s="20" t="str">
        <f>VLOOKUP(Data[[#This Row],[DEVELOPMENT]],'[3]Cheat-Sheet'!$D$2:$Q$341,2,FALSE)</f>
        <v>THROGGS NECK</v>
      </c>
      <c r="D276" s="20">
        <f>IF(VLOOKUP(Data[[#This Row],[DEVELOPMENT]],'[4]IC Categories'!$A$2:$G$325,3,FALSE)=0,"",VLOOKUP(Data[[#This Row],[DEVELOPMENT]],'[4]IC Categories'!$A$2:$G$325,3,FALSE))</f>
        <v>2022</v>
      </c>
      <c r="E276" s="20">
        <f>VLOOKUP(Data[[#This Row],[DEVELOPMENT]],'[2]NYCHA_Development_Data_Book 201'!$B$2:$AY$324,21,FALSE)</f>
        <v>29</v>
      </c>
      <c r="F276" s="20">
        <f>VLOOKUP(Data[[#This Row],[DEVELOPMENT]],'[2]NYCHA_Development_Data_Book 201'!$B$2:$AY$324,23,FALSE)</f>
        <v>66</v>
      </c>
      <c r="G276" s="20">
        <f>VLOOKUP(Data[[#This Row],[DEVELOPMENT]],'[2]NYCHA_Development_Data_Book 201'!$B$2:$AY$324,12,FALSE)</f>
        <v>1182</v>
      </c>
      <c r="J276">
        <f>IFERROR(VLOOKUP(Data[[#This Row],[DEVELOPMENT]],[5]!Table1[[DEVELOPMENTS]:[Installation Date of Exterior Compactor]],4,FALSE),0)</f>
        <v>0</v>
      </c>
      <c r="K276" s="20">
        <f>IFERROR(VLOOKUP(Data[[#This Row],[DEVELOPMENT]],[5]!Table1[[DEVELOPMENTS]:[Installation Date of Exterior Compactor]],7,FALSE),0)</f>
        <v>0</v>
      </c>
      <c r="L276" s="42" t="str">
        <f>IF(Data[[#This Row],['# Interior Compactors]]=0,"",VLOOKUP(Data[[#This Row],[DEVELOPMENT]],[5]!Table1[[DEVELOPMENTS]:[Installation Date of Exterior Compactor]],5,FALSE))</f>
        <v/>
      </c>
      <c r="M276" s="43" t="str">
        <f>IF(Data[[#This Row],['# Exterior Compactors]]=0,"",VLOOKUP(Data[[#This Row],[DEVELOPMENT]],[5]!Table1[[DEVELOPMENTS]:[Installation Date of Exterior Compactor]],8,FALSE))</f>
        <v/>
      </c>
      <c r="N276" s="20">
        <f>Data[[#This Row],['# Interior Compactors]]</f>
        <v>0</v>
      </c>
      <c r="O276" s="20">
        <f>1</f>
        <v>1</v>
      </c>
      <c r="P276" s="20">
        <f>1</f>
        <v>1</v>
      </c>
      <c r="Q276" s="20">
        <f>1</f>
        <v>1</v>
      </c>
      <c r="R276" s="20">
        <f>1</f>
        <v>1</v>
      </c>
      <c r="S276" s="20">
        <f>1</f>
        <v>1</v>
      </c>
      <c r="T276" s="20">
        <f>Data[[#This Row],[DUs]]</f>
        <v>1182</v>
      </c>
      <c r="U27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6" s="101">
        <f>VLOOKUP(Data[[#This Row],[DEVELOPMENT]],'[2]NYCHA_Development_Data_Book 201'!$B$2:$E$324,3,FALSE)</f>
        <v>63</v>
      </c>
      <c r="Y276" s="20"/>
      <c r="Z276" s="20">
        <f>IFERROR(VLOOKUP(Data[[#This Row],[TDS]],'[7]Static Ext by TDS'!$A$5:$E$120,2,FALSE),0)</f>
        <v>6</v>
      </c>
      <c r="AA276" s="20">
        <f>IFERROR(VLOOKUP(Data[[#This Row],[TDS]],'[7]Static Int by TDS'!$A$6:$O$305,2,FALSE),0)</f>
        <v>60</v>
      </c>
      <c r="AB276" s="20"/>
      <c r="AC276" s="20"/>
      <c r="AD276" s="20">
        <f>IFERROR(VLOOKUP(Data[[#This Row],[TDS]],'[7]Static Ext by TDS'!$A$5:$P$120,3,FALSE)+VLOOKUP(Data[[#This Row],[TDS]],'[7]Static Ext by TDS'!$A$5:$P$120,6,FALSE),0)</f>
        <v>6</v>
      </c>
      <c r="AE276" s="20">
        <f>IFERROR(VLOOKUP(Data[[#This Row],[TDS]],'[7]Static Int by TDS'!$A$6:$O$305,3,FALSE)+VLOOKUP(Data[[#This Row],[TDS]],'[7]Static Int by TDS'!$A$6:$O$305,6,FALSE),0)</f>
        <v>60</v>
      </c>
      <c r="AF276" s="20" t="str">
        <f>VLOOKUP(Data[[#This Row],[DEVELOPMENT]],[8]Developments!$A$2:$A$312,1,FALSE)</f>
        <v>THROGGS NECK</v>
      </c>
    </row>
    <row r="277" spans="1:32" x14ac:dyDescent="0.25">
      <c r="A277" t="s">
        <v>331</v>
      </c>
      <c r="B277" s="20" t="str">
        <f>VLOOKUP(Data[[#This Row],[DEVELOPMENT]],'[2]NYCHA_Development_Data_Book 201'!$B$2:$AY$324,40,FALSE)</f>
        <v>BRONX</v>
      </c>
      <c r="C277" s="20" t="str">
        <f>VLOOKUP(Data[[#This Row],[DEVELOPMENT]],'[3]Cheat-Sheet'!$D$2:$Q$341,2,FALSE)</f>
        <v>THROGGS NECK</v>
      </c>
      <c r="D277" s="20">
        <f>IF(VLOOKUP(Data[[#This Row],[DEVELOPMENT]],'[4]IC Categories'!$A$2:$G$325,3,FALSE)=0,"",VLOOKUP(Data[[#This Row],[DEVELOPMENT]],'[4]IC Categories'!$A$2:$G$325,3,FALSE))</f>
        <v>2022</v>
      </c>
      <c r="E277" s="20">
        <f>VLOOKUP(Data[[#This Row],[DEVELOPMENT]],'[2]NYCHA_Development_Data_Book 201'!$B$2:$AY$324,21,FALSE)</f>
        <v>4</v>
      </c>
      <c r="F277" s="20">
        <f>VLOOKUP(Data[[#This Row],[DEVELOPMENT]],'[2]NYCHA_Development_Data_Book 201'!$B$2:$AY$324,23,FALSE)</f>
        <v>4</v>
      </c>
      <c r="G277" s="20">
        <f>VLOOKUP(Data[[#This Row],[DEVELOPMENT]],'[2]NYCHA_Development_Data_Book 201'!$B$2:$AY$324,12,FALSE)</f>
        <v>287</v>
      </c>
      <c r="J277">
        <f>IFERROR(VLOOKUP(Data[[#This Row],[DEVELOPMENT]],[5]!Table1[[DEVELOPMENTS]:[Installation Date of Exterior Compactor]],4,FALSE),0)</f>
        <v>0</v>
      </c>
      <c r="K277" s="20">
        <f>IFERROR(VLOOKUP(Data[[#This Row],[DEVELOPMENT]],[5]!Table1[[DEVELOPMENTS]:[Installation Date of Exterior Compactor]],7,FALSE),0)</f>
        <v>0</v>
      </c>
      <c r="L277" s="42" t="str">
        <f>IF(Data[[#This Row],['# Interior Compactors]]=0,"",VLOOKUP(Data[[#This Row],[DEVELOPMENT]],[5]!Table1[[DEVELOPMENTS]:[Installation Date of Exterior Compactor]],5,FALSE))</f>
        <v/>
      </c>
      <c r="M277" s="43" t="str">
        <f>IF(Data[[#This Row],['# Exterior Compactors]]=0,"",VLOOKUP(Data[[#This Row],[DEVELOPMENT]],[5]!Table1[[DEVELOPMENTS]:[Installation Date of Exterior Compactor]],8,FALSE))</f>
        <v/>
      </c>
      <c r="N277" s="20">
        <f>Data[[#This Row],['# Interior Compactors]]</f>
        <v>0</v>
      </c>
      <c r="O277" s="20">
        <f>1</f>
        <v>1</v>
      </c>
      <c r="P277" s="20">
        <f>1</f>
        <v>1</v>
      </c>
      <c r="Q277" s="20">
        <f>1</f>
        <v>1</v>
      </c>
      <c r="R277" s="20">
        <f>1</f>
        <v>1</v>
      </c>
      <c r="S277" s="20">
        <f>1</f>
        <v>1</v>
      </c>
      <c r="T277" s="20">
        <f>Data[[#This Row],[DUs]]</f>
        <v>287</v>
      </c>
      <c r="U27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7" s="101">
        <f>VLOOKUP(Data[[#This Row],[DEVELOPMENT]],'[2]NYCHA_Development_Data_Book 201'!$B$2:$E$324,3,FALSE)</f>
        <v>193</v>
      </c>
      <c r="Y277" s="20"/>
      <c r="Z277" s="20">
        <f>IFERROR(VLOOKUP(Data[[#This Row],[TDS]],'[7]Static Ext by TDS'!$A$5:$E$120,2,FALSE),0)</f>
        <v>0</v>
      </c>
      <c r="AA277" s="20">
        <f>IFERROR(VLOOKUP(Data[[#This Row],[TDS]],'[7]Static Int by TDS'!$A$6:$O$305,2,FALSE),0)</f>
        <v>4</v>
      </c>
      <c r="AB277" s="20"/>
      <c r="AC277" s="20"/>
      <c r="AD277" s="20">
        <f>IFERROR(VLOOKUP(Data[[#This Row],[TDS]],'[7]Static Ext by TDS'!$A$5:$P$120,3,FALSE)+VLOOKUP(Data[[#This Row],[TDS]],'[7]Static Ext by TDS'!$A$5:$P$120,6,FALSE),0)</f>
        <v>0</v>
      </c>
      <c r="AE277" s="20">
        <f>IFERROR(VLOOKUP(Data[[#This Row],[TDS]],'[7]Static Int by TDS'!$A$6:$O$305,3,FALSE)+VLOOKUP(Data[[#This Row],[TDS]],'[7]Static Int by TDS'!$A$6:$O$305,6,FALSE),0)</f>
        <v>4</v>
      </c>
      <c r="AF277" s="20" t="str">
        <f>VLOOKUP(Data[[#This Row],[DEVELOPMENT]],[8]Developments!$A$2:$A$312,1,FALSE)</f>
        <v>THROGGS NECK ADDITION</v>
      </c>
    </row>
    <row r="278" spans="1:32" x14ac:dyDescent="0.25">
      <c r="A278" t="s">
        <v>332</v>
      </c>
      <c r="B278" s="20" t="str">
        <f>VLOOKUP(Data[[#This Row],[DEVELOPMENT]],'[2]NYCHA_Development_Data_Book 201'!$B$2:$AY$324,40,FALSE)</f>
        <v>BROOKLYN</v>
      </c>
      <c r="C278" s="20" t="str">
        <f>VLOOKUP(Data[[#This Row],[DEVELOPMENT]],'[3]Cheat-Sheet'!$D$2:$Q$341,2,FALSE)</f>
        <v>TILDEN</v>
      </c>
      <c r="D278" s="20" t="str">
        <f>IF(VLOOKUP(Data[[#This Row],[DEVELOPMENT]],'[4]IC Categories'!$A$2:$G$325,3,FALSE)=0,"",VLOOKUP(Data[[#This Row],[DEVELOPMENT]],'[4]IC Categories'!$A$2:$G$325,3,FALSE))</f>
        <v/>
      </c>
      <c r="E278" s="20">
        <f>VLOOKUP(Data[[#This Row],[DEVELOPMENT]],'[2]NYCHA_Development_Data_Book 201'!$B$2:$AY$324,21,FALSE)</f>
        <v>8</v>
      </c>
      <c r="F278" s="20">
        <f>VLOOKUP(Data[[#This Row],[DEVELOPMENT]],'[2]NYCHA_Development_Data_Book 201'!$B$2:$AY$324,23,FALSE)</f>
        <v>9</v>
      </c>
      <c r="G278" s="20">
        <f>VLOOKUP(Data[[#This Row],[DEVELOPMENT]],'[2]NYCHA_Development_Data_Book 201'!$B$2:$AY$324,12,FALSE)</f>
        <v>998</v>
      </c>
      <c r="J278">
        <f>IFERROR(VLOOKUP(Data[[#This Row],[DEVELOPMENT]],[5]!Table1[[DEVELOPMENTS]:[Installation Date of Exterior Compactor]],4,FALSE),0)</f>
        <v>0</v>
      </c>
      <c r="K278" s="20">
        <f>IFERROR(VLOOKUP(Data[[#This Row],[DEVELOPMENT]],[5]!Table1[[DEVELOPMENTS]:[Installation Date of Exterior Compactor]],7,FALSE),0)</f>
        <v>0</v>
      </c>
      <c r="L278" s="42" t="str">
        <f>IF(Data[[#This Row],['# Interior Compactors]]=0,"",VLOOKUP(Data[[#This Row],[DEVELOPMENT]],[5]!Table1[[DEVELOPMENTS]:[Installation Date of Exterior Compactor]],5,FALSE))</f>
        <v/>
      </c>
      <c r="M278" s="43" t="str">
        <f>IF(Data[[#This Row],['# Exterior Compactors]]=0,"",VLOOKUP(Data[[#This Row],[DEVELOPMENT]],[5]!Table1[[DEVELOPMENTS]:[Installation Date of Exterior Compactor]],8,FALSE))</f>
        <v/>
      </c>
      <c r="N278" s="20">
        <f>Data[[#This Row],['# Interior Compactors]]</f>
        <v>0</v>
      </c>
      <c r="O278" s="20">
        <f>1</f>
        <v>1</v>
      </c>
      <c r="P278" s="20">
        <f>1</f>
        <v>1</v>
      </c>
      <c r="Q278" s="20">
        <f>1</f>
        <v>1</v>
      </c>
      <c r="R278" s="20">
        <f>1</f>
        <v>1</v>
      </c>
      <c r="S278" s="20">
        <f>1</f>
        <v>1</v>
      </c>
      <c r="T278" s="20">
        <f>Data[[#This Row],[DUs]]</f>
        <v>998</v>
      </c>
      <c r="U27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8" s="101">
        <f>VLOOKUP(Data[[#This Row],[DEVELOPMENT]],'[2]NYCHA_Development_Data_Book 201'!$B$2:$E$324,3,FALSE)</f>
        <v>96</v>
      </c>
      <c r="Y278" s="20"/>
      <c r="Z278" s="20">
        <f>IFERROR(VLOOKUP(Data[[#This Row],[TDS]],'[7]Static Ext by TDS'!$A$5:$E$120,2,FALSE),0)</f>
        <v>2</v>
      </c>
      <c r="AA278" s="20">
        <f>IFERROR(VLOOKUP(Data[[#This Row],[TDS]],'[7]Static Int by TDS'!$A$6:$O$305,2,FALSE),0)</f>
        <v>8</v>
      </c>
      <c r="AB278" s="20"/>
      <c r="AC278" s="20"/>
      <c r="AD278" s="20">
        <f>IFERROR(VLOOKUP(Data[[#This Row],[TDS]],'[7]Static Ext by TDS'!$A$5:$P$120,3,FALSE)+VLOOKUP(Data[[#This Row],[TDS]],'[7]Static Ext by TDS'!$A$5:$P$120,6,FALSE),0)</f>
        <v>2</v>
      </c>
      <c r="AE278" s="20">
        <f>IFERROR(VLOOKUP(Data[[#This Row],[TDS]],'[7]Static Int by TDS'!$A$6:$O$305,3,FALSE)+VLOOKUP(Data[[#This Row],[TDS]],'[7]Static Int by TDS'!$A$6:$O$305,6,FALSE),0)</f>
        <v>8</v>
      </c>
      <c r="AF278" s="20" t="str">
        <f>VLOOKUP(Data[[#This Row],[DEVELOPMENT]],[8]Developments!$A$2:$A$312,1,FALSE)</f>
        <v>TILDEN</v>
      </c>
    </row>
    <row r="279" spans="1:32" x14ac:dyDescent="0.25">
      <c r="A279" t="s">
        <v>333</v>
      </c>
      <c r="B279" s="20" t="str">
        <f>VLOOKUP(Data[[#This Row],[DEVELOPMENT]],'[2]NYCHA_Development_Data_Book 201'!$B$2:$AY$324,40,FALSE)</f>
        <v>STATEN ISLAND</v>
      </c>
      <c r="C279" s="20" t="str">
        <f>VLOOKUP(Data[[#This Row],[DEVELOPMENT]],'[3]Cheat-Sheet'!$D$2:$Q$341,2,FALSE)</f>
        <v>BERRY</v>
      </c>
      <c r="D279" s="20" t="str">
        <f>IF(VLOOKUP(Data[[#This Row],[DEVELOPMENT]],'[4]IC Categories'!$A$2:$G$325,3,FALSE)=0,"",VLOOKUP(Data[[#This Row],[DEVELOPMENT]],'[4]IC Categories'!$A$2:$G$325,3,FALSE))</f>
        <v/>
      </c>
      <c r="E279" s="20">
        <f>VLOOKUP(Data[[#This Row],[DEVELOPMENT]],'[2]NYCHA_Development_Data_Book 201'!$B$2:$AY$324,21,FALSE)</f>
        <v>7</v>
      </c>
      <c r="F279" s="20">
        <f>VLOOKUP(Data[[#This Row],[DEVELOPMENT]],'[2]NYCHA_Development_Data_Book 201'!$B$2:$AY$324,23,FALSE)</f>
        <v>14</v>
      </c>
      <c r="G279" s="20">
        <f>VLOOKUP(Data[[#This Row],[DEVELOPMENT]],'[2]NYCHA_Development_Data_Book 201'!$B$2:$AY$324,12,FALSE)</f>
        <v>502</v>
      </c>
      <c r="J279">
        <f>IFERROR(VLOOKUP(Data[[#This Row],[DEVELOPMENT]],[5]!Table1[[DEVELOPMENTS]:[Installation Date of Exterior Compactor]],4,FALSE),0)</f>
        <v>0</v>
      </c>
      <c r="K279" s="20">
        <f>IFERROR(VLOOKUP(Data[[#This Row],[DEVELOPMENT]],[5]!Table1[[DEVELOPMENTS]:[Installation Date of Exterior Compactor]],7,FALSE),0)</f>
        <v>0</v>
      </c>
      <c r="L279" s="42" t="str">
        <f>IF(Data[[#This Row],['# Interior Compactors]]=0,"",VLOOKUP(Data[[#This Row],[DEVELOPMENT]],[5]!Table1[[DEVELOPMENTS]:[Installation Date of Exterior Compactor]],5,FALSE))</f>
        <v/>
      </c>
      <c r="M279" s="43" t="str">
        <f>IF(Data[[#This Row],['# Exterior Compactors]]=0,"",VLOOKUP(Data[[#This Row],[DEVELOPMENT]],[5]!Table1[[DEVELOPMENTS]:[Installation Date of Exterior Compactor]],8,FALSE))</f>
        <v/>
      </c>
      <c r="N279" s="20">
        <f>Data[[#This Row],['# Interior Compactors]]</f>
        <v>0</v>
      </c>
      <c r="O279" s="20">
        <f>1</f>
        <v>1</v>
      </c>
      <c r="P279" s="20">
        <f>1</f>
        <v>1</v>
      </c>
      <c r="Q279" s="20">
        <f>1</f>
        <v>1</v>
      </c>
      <c r="R279" s="20">
        <f>1</f>
        <v>1</v>
      </c>
      <c r="S279" s="20">
        <f>1</f>
        <v>1</v>
      </c>
      <c r="T279" s="20">
        <f>Data[[#This Row],[DUs]]</f>
        <v>502</v>
      </c>
      <c r="U27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7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7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79" s="101">
        <f>VLOOKUP(Data[[#This Row],[DEVELOPMENT]],'[2]NYCHA_Development_Data_Book 201'!$B$2:$E$324,3,FALSE)</f>
        <v>42</v>
      </c>
      <c r="Y279" s="20"/>
      <c r="Z279" s="20">
        <f>IFERROR(VLOOKUP(Data[[#This Row],[TDS]],'[7]Static Ext by TDS'!$A$5:$E$120,2,FALSE),0)</f>
        <v>0</v>
      </c>
      <c r="AA279" s="20">
        <f>IFERROR(VLOOKUP(Data[[#This Row],[TDS]],'[7]Static Int by TDS'!$A$6:$O$305,2,FALSE),0)</f>
        <v>13</v>
      </c>
      <c r="AB279" s="20"/>
      <c r="AC279" s="20"/>
      <c r="AD279" s="20">
        <f>IFERROR(VLOOKUP(Data[[#This Row],[TDS]],'[7]Static Ext by TDS'!$A$5:$P$120,3,FALSE)+VLOOKUP(Data[[#This Row],[TDS]],'[7]Static Ext by TDS'!$A$5:$P$120,6,FALSE),0)</f>
        <v>0</v>
      </c>
      <c r="AE279" s="20">
        <f>IFERROR(VLOOKUP(Data[[#This Row],[TDS]],'[7]Static Int by TDS'!$A$6:$O$305,3,FALSE)+VLOOKUP(Data[[#This Row],[TDS]],'[7]Static Int by TDS'!$A$6:$O$305,6,FALSE),0)</f>
        <v>13</v>
      </c>
      <c r="AF279" s="20" t="str">
        <f>VLOOKUP(Data[[#This Row],[DEVELOPMENT]],[8]Developments!$A$2:$A$312,1,FALSE)</f>
        <v>TODT HILL</v>
      </c>
    </row>
    <row r="280" spans="1:32" x14ac:dyDescent="0.25">
      <c r="A280" s="17" t="s">
        <v>46</v>
      </c>
      <c r="B280" s="17" t="str">
        <f>VLOOKUP(Data[[#This Row],[DEVELOPMENT]],'[2]NYCHA_Development_Data_Book 201'!$B$2:$AY$324,40,FALSE)</f>
        <v>BROOKLYN</v>
      </c>
      <c r="C280" t="str">
        <f>VLOOKUP(Data[[#This Row],[DEVELOPMENT]],'[3]Cheat-Sheet'!$D$2:$Q$341,2,FALSE)</f>
        <v>TOMPKINS</v>
      </c>
      <c r="D280" t="str">
        <f>IF(VLOOKUP(Data[[#This Row],[DEVELOPMENT]],'[4]IC Categories'!$A$2:$G$325,3,FALSE)=0,"",VLOOKUP(Data[[#This Row],[DEVELOPMENT]],'[4]IC Categories'!$A$2:$G$325,3,FALSE))</f>
        <v/>
      </c>
      <c r="E280">
        <f>VLOOKUP(Data[[#This Row],[DEVELOPMENT]],'[2]NYCHA_Development_Data_Book 201'!$B$2:$AY$324,21,FALSE)</f>
        <v>8</v>
      </c>
      <c r="F280">
        <f>VLOOKUP(Data[[#This Row],[DEVELOPMENT]],'[2]NYCHA_Development_Data_Book 201'!$B$2:$AY$324,23,FALSE)</f>
        <v>13</v>
      </c>
      <c r="G280">
        <f>VLOOKUP(Data[[#This Row],[DEVELOPMENT]],'[2]NYCHA_Development_Data_Book 201'!$B$2:$AY$324,12,FALSE)</f>
        <v>1045</v>
      </c>
      <c r="H280" t="s">
        <v>472</v>
      </c>
      <c r="I280" t="s">
        <v>471</v>
      </c>
      <c r="J280">
        <f>IFERROR(VLOOKUP(Data[[#This Row],[DEVELOPMENT]],[5]!Table1[[DEVELOPMENTS]:[Installation Date of Exterior Compactor]],4,FALSE),0)</f>
        <v>0</v>
      </c>
      <c r="K280" s="20">
        <f>IFERROR(VLOOKUP(Data[[#This Row],[DEVELOPMENT]],[5]!Table1[[DEVELOPMENTS]:[Installation Date of Exterior Compactor]],7,FALSE),0)</f>
        <v>0</v>
      </c>
      <c r="L280" s="42" t="str">
        <f>IF(Data[[#This Row],['# Interior Compactors]]=0,"",VLOOKUP(Data[[#This Row],[DEVELOPMENT]],[5]!Table1[[DEVELOPMENTS]:[Installation Date of Exterior Compactor]],5,FALSE))</f>
        <v/>
      </c>
      <c r="M280" s="43" t="str">
        <f>IF(Data[[#This Row],['# Exterior Compactors]]=0,"",VLOOKUP(Data[[#This Row],[DEVELOPMENT]],[5]!Table1[[DEVELOPMENTS]:[Installation Date of Exterior Compactor]],8,FALSE))</f>
        <v/>
      </c>
      <c r="N280">
        <f>Data[[#This Row],['# Interior Compactors]]</f>
        <v>0</v>
      </c>
      <c r="O280" s="20">
        <f>1</f>
        <v>1</v>
      </c>
      <c r="P280" s="20">
        <f>1</f>
        <v>1</v>
      </c>
      <c r="Q280" s="20">
        <f>1</f>
        <v>1</v>
      </c>
      <c r="R280" s="20">
        <f>1</f>
        <v>1</v>
      </c>
      <c r="S280" s="20">
        <f>1</f>
        <v>1</v>
      </c>
      <c r="T280" s="20">
        <f>Data[[#This Row],[DUs]]</f>
        <v>1045</v>
      </c>
      <c r="U28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0" s="101">
        <f>VLOOKUP(Data[[#This Row],[DEVELOPMENT]],'[2]NYCHA_Development_Data_Book 201'!$B$2:$E$324,3,FALSE)</f>
        <v>131</v>
      </c>
      <c r="Y280" s="20" t="s">
        <v>473</v>
      </c>
      <c r="Z280" s="20">
        <f>IFERROR(VLOOKUP(Data[[#This Row],[TDS]],'[7]Static Ext by TDS'!$A$5:$E$120,2,FALSE),0)</f>
        <v>0</v>
      </c>
      <c r="AA280" s="20">
        <f>IFERROR(VLOOKUP(Data[[#This Row],[TDS]],'[7]Static Int by TDS'!$A$6:$O$305,2,FALSE),0)</f>
        <v>12</v>
      </c>
      <c r="AB280" s="20"/>
      <c r="AC280" s="20"/>
      <c r="AD280" s="20">
        <f>IFERROR(VLOOKUP(Data[[#This Row],[TDS]],'[7]Static Ext by TDS'!$A$5:$P$120,3,FALSE)+VLOOKUP(Data[[#This Row],[TDS]],'[7]Static Ext by TDS'!$A$5:$P$120,6,FALSE),0)</f>
        <v>0</v>
      </c>
      <c r="AE280" s="20">
        <f>IFERROR(VLOOKUP(Data[[#This Row],[TDS]],'[7]Static Int by TDS'!$A$6:$O$305,3,FALSE)+VLOOKUP(Data[[#This Row],[TDS]],'[7]Static Int by TDS'!$A$6:$O$305,6,FALSE),0)</f>
        <v>11</v>
      </c>
      <c r="AF280" s="20" t="str">
        <f>VLOOKUP(Data[[#This Row],[DEVELOPMENT]],[8]Developments!$A$2:$A$312,1,FALSE)</f>
        <v>TOMPKINS</v>
      </c>
    </row>
    <row r="281" spans="1:32" x14ac:dyDescent="0.25">
      <c r="A281" s="17" t="s">
        <v>138</v>
      </c>
      <c r="B281" s="17" t="str">
        <f>VLOOKUP(Data[[#This Row],[DEVELOPMENT]],'[2]NYCHA_Development_Data_Book 201'!$B$2:$AY$324,40,FALSE)</f>
        <v>BRONX</v>
      </c>
      <c r="C281" t="str">
        <f>VLOOKUP(Data[[#This Row],[DEVELOPMENT]],'[3]Cheat-Sheet'!$D$2:$Q$341,2,FALSE)</f>
        <v>TWIN PARKS CONSOLIDATED</v>
      </c>
      <c r="D281" t="str">
        <f>IF(VLOOKUP(Data[[#This Row],[DEVELOPMENT]],'[4]IC Categories'!$A$2:$G$325,3,FALSE)=0,"",VLOOKUP(Data[[#This Row],[DEVELOPMENT]],'[4]IC Categories'!$A$2:$G$325,3,FALSE))</f>
        <v/>
      </c>
      <c r="E281">
        <f>VLOOKUP(Data[[#This Row],[DEVELOPMENT]],'[2]NYCHA_Development_Data_Book 201'!$B$2:$AY$324,21,FALSE)</f>
        <v>1</v>
      </c>
      <c r="F281">
        <f>VLOOKUP(Data[[#This Row],[DEVELOPMENT]],'[2]NYCHA_Development_Data_Book 201'!$B$2:$AY$324,23,FALSE)</f>
        <v>1</v>
      </c>
      <c r="G281">
        <f>VLOOKUP(Data[[#This Row],[DEVELOPMENT]],'[2]NYCHA_Development_Data_Book 201'!$B$2:$AY$324,12,FALSE)</f>
        <v>219</v>
      </c>
      <c r="H281" t="s">
        <v>472</v>
      </c>
      <c r="I281" t="s">
        <v>471</v>
      </c>
      <c r="J281">
        <f>IFERROR(VLOOKUP(Data[[#This Row],[DEVELOPMENT]],[5]!Table1[[DEVELOPMENTS]:[Installation Date of Exterior Compactor]],4,FALSE),0)</f>
        <v>0</v>
      </c>
      <c r="K281" s="20">
        <f>IFERROR(VLOOKUP(Data[[#This Row],[DEVELOPMENT]],[5]!Table1[[DEVELOPMENTS]:[Installation Date of Exterior Compactor]],7,FALSE),0)</f>
        <v>0</v>
      </c>
      <c r="L281" s="42" t="str">
        <f>IF(Data[[#This Row],['# Interior Compactors]]=0,"",VLOOKUP(Data[[#This Row],[DEVELOPMENT]],[5]!Table1[[DEVELOPMENTS]:[Installation Date of Exterior Compactor]],5,FALSE))</f>
        <v/>
      </c>
      <c r="M281" s="43" t="str">
        <f>IF(Data[[#This Row],['# Exterior Compactors]]=0,"",VLOOKUP(Data[[#This Row],[DEVELOPMENT]],[5]!Table1[[DEVELOPMENTS]:[Installation Date of Exterior Compactor]],8,FALSE))</f>
        <v/>
      </c>
      <c r="N281">
        <f>Data[[#This Row],['# Interior Compactors]]</f>
        <v>0</v>
      </c>
      <c r="O281" s="20">
        <f>1</f>
        <v>1</v>
      </c>
      <c r="P281" s="20">
        <f>1</f>
        <v>1</v>
      </c>
      <c r="Q281" s="20">
        <f>1</f>
        <v>1</v>
      </c>
      <c r="R281" s="20">
        <f>1</f>
        <v>1</v>
      </c>
      <c r="S281" s="20">
        <f>1</f>
        <v>1</v>
      </c>
      <c r="T281" s="20">
        <f>Data[[#This Row],[DUs]]</f>
        <v>219</v>
      </c>
      <c r="U28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1" s="101">
        <f>VLOOKUP(Data[[#This Row],[DEVELOPMENT]],'[2]NYCHA_Development_Data_Book 201'!$B$2:$E$324,3,FALSE)</f>
        <v>287</v>
      </c>
      <c r="Y281" s="20"/>
      <c r="Z281" s="20">
        <f>IFERROR(VLOOKUP(Data[[#This Row],[TDS]],'[7]Static Ext by TDS'!$A$5:$E$120,2,FALSE),0)</f>
        <v>0</v>
      </c>
      <c r="AA281" s="20">
        <f>IFERROR(VLOOKUP(Data[[#This Row],[TDS]],'[7]Static Int by TDS'!$A$6:$O$305,2,FALSE),0)</f>
        <v>1</v>
      </c>
      <c r="AB281" s="20"/>
      <c r="AC281" s="20"/>
      <c r="AD281" s="20">
        <f>IFERROR(VLOOKUP(Data[[#This Row],[TDS]],'[7]Static Ext by TDS'!$A$5:$P$120,3,FALSE)+VLOOKUP(Data[[#This Row],[TDS]],'[7]Static Ext by TDS'!$A$5:$P$120,6,FALSE),0)</f>
        <v>0</v>
      </c>
      <c r="AE281" s="20">
        <f>IFERROR(VLOOKUP(Data[[#This Row],[TDS]],'[7]Static Int by TDS'!$A$6:$O$305,3,FALSE)+VLOOKUP(Data[[#This Row],[TDS]],'[7]Static Int by TDS'!$A$6:$O$305,6,FALSE),0)</f>
        <v>1</v>
      </c>
      <c r="AF281" s="20" t="str">
        <f>VLOOKUP(Data[[#This Row],[DEVELOPMENT]],[8]Developments!$A$2:$A$312,1,FALSE)</f>
        <v>TWIN PARKS EAST (SITE 9)</v>
      </c>
    </row>
    <row r="282" spans="1:32" x14ac:dyDescent="0.25">
      <c r="A282" s="17" t="s">
        <v>51</v>
      </c>
      <c r="B282" s="17" t="str">
        <f>VLOOKUP(Data[[#This Row],[DEVELOPMENT]],'[2]NYCHA_Development_Data_Book 201'!$B$2:$AY$324,40,FALSE)</f>
        <v>MANHATTAN</v>
      </c>
      <c r="C282" t="str">
        <f>VLOOKUP(Data[[#This Row],[DEVELOPMENT]],'[3]Cheat-Sheet'!$D$2:$Q$341,2,FALSE)</f>
        <v>LA GUARDIA</v>
      </c>
      <c r="D282" t="str">
        <f>IF(VLOOKUP(Data[[#This Row],[DEVELOPMENT]],'[4]IC Categories'!$A$2:$G$325,3,FALSE)=0,"",VLOOKUP(Data[[#This Row],[DEVELOPMENT]],'[4]IC Categories'!$A$2:$G$325,3,FALSE))</f>
        <v/>
      </c>
      <c r="E282">
        <f>VLOOKUP(Data[[#This Row],[DEVELOPMENT]],'[2]NYCHA_Development_Data_Book 201'!$B$2:$AY$324,21,FALSE)</f>
        <v>1</v>
      </c>
      <c r="F282">
        <f>VLOOKUP(Data[[#This Row],[DEVELOPMENT]],'[2]NYCHA_Development_Data_Book 201'!$B$2:$AY$324,23,FALSE)</f>
        <v>1</v>
      </c>
      <c r="G282">
        <f>VLOOKUP(Data[[#This Row],[DEVELOPMENT]],'[2]NYCHA_Development_Data_Book 201'!$B$2:$AY$324,12,FALSE)</f>
        <v>250</v>
      </c>
      <c r="H282" t="s">
        <v>472</v>
      </c>
      <c r="I282" t="s">
        <v>471</v>
      </c>
      <c r="J282">
        <f>IFERROR(VLOOKUP(Data[[#This Row],[DEVELOPMENT]],[5]!Table1[[DEVELOPMENTS]:[Installation Date of Exterior Compactor]],4,FALSE),0)</f>
        <v>0</v>
      </c>
      <c r="K282" s="20">
        <f>IFERROR(VLOOKUP(Data[[#This Row],[DEVELOPMENT]],[5]!Table1[[DEVELOPMENTS]:[Installation Date of Exterior Compactor]],7,FALSE),0)</f>
        <v>0</v>
      </c>
      <c r="L282" s="42" t="str">
        <f>IF(Data[[#This Row],['# Interior Compactors]]=0,"",VLOOKUP(Data[[#This Row],[DEVELOPMENT]],[5]!Table1[[DEVELOPMENTS]:[Installation Date of Exterior Compactor]],5,FALSE))</f>
        <v/>
      </c>
      <c r="M282" s="43" t="str">
        <f>IF(Data[[#This Row],['# Exterior Compactors]]=0,"",VLOOKUP(Data[[#This Row],[DEVELOPMENT]],[5]!Table1[[DEVELOPMENTS]:[Installation Date of Exterior Compactor]],8,FALSE))</f>
        <v/>
      </c>
      <c r="N282">
        <f>Data[[#This Row],['# Interior Compactors]]</f>
        <v>0</v>
      </c>
      <c r="O282" s="20">
        <f>1</f>
        <v>1</v>
      </c>
      <c r="P282" s="20">
        <f>1</f>
        <v>1</v>
      </c>
      <c r="Q282" s="20">
        <f>1</f>
        <v>1</v>
      </c>
      <c r="R282" s="20">
        <f>1</f>
        <v>1</v>
      </c>
      <c r="S282" s="20">
        <f>1</f>
        <v>1</v>
      </c>
      <c r="T282" s="20">
        <f>Data[[#This Row],[DUs]]</f>
        <v>250</v>
      </c>
      <c r="U28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2" s="101">
        <f>VLOOKUP(Data[[#This Row],[DEVELOPMENT]],'[2]NYCHA_Development_Data_Book 201'!$B$2:$E$324,3,FALSE)</f>
        <v>266</v>
      </c>
      <c r="Y282" s="20" t="s">
        <v>473</v>
      </c>
      <c r="Z282" s="20">
        <f>IFERROR(VLOOKUP(Data[[#This Row],[TDS]],'[7]Static Ext by TDS'!$A$5:$E$120,2,FALSE),0)</f>
        <v>0</v>
      </c>
      <c r="AA282" s="20">
        <f>IFERROR(VLOOKUP(Data[[#This Row],[TDS]],'[7]Static Int by TDS'!$A$6:$O$305,2,FALSE),0)</f>
        <v>1</v>
      </c>
      <c r="AB282" s="20"/>
      <c r="AC282" s="20"/>
      <c r="AD282" s="20">
        <f>IFERROR(VLOOKUP(Data[[#This Row],[TDS]],'[7]Static Ext by TDS'!$A$5:$P$120,3,FALSE)+VLOOKUP(Data[[#This Row],[TDS]],'[7]Static Ext by TDS'!$A$5:$P$120,6,FALSE),0)</f>
        <v>0</v>
      </c>
      <c r="AE282" s="20">
        <f>IFERROR(VLOOKUP(Data[[#This Row],[TDS]],'[7]Static Int by TDS'!$A$6:$O$305,3,FALSE)+VLOOKUP(Data[[#This Row],[TDS]],'[7]Static Int by TDS'!$A$6:$O$305,6,FALSE),0)</f>
        <v>1</v>
      </c>
      <c r="AF282" s="20" t="str">
        <f>VLOOKUP(Data[[#This Row],[DEVELOPMENT]],[8]Developments!$A$2:$A$312,1,FALSE)</f>
        <v>TWO BRIDGES URA (SITE 7)</v>
      </c>
    </row>
    <row r="283" spans="1:32" x14ac:dyDescent="0.25">
      <c r="A283" t="s">
        <v>98</v>
      </c>
      <c r="B283" t="str">
        <f>VLOOKUP(Data[[#This Row],[DEVELOPMENT]],'[2]NYCHA_Development_Data_Book 201'!$B$2:$AY$324,40,FALSE)</f>
        <v>BRONX</v>
      </c>
      <c r="C283" t="str">
        <f>VLOOKUP(Data[[#This Row],[DEVELOPMENT]],'[3]Cheat-Sheet'!$D$2:$Q$341,2,FALSE)</f>
        <v>UNION AVENUE CONSOLIDATED</v>
      </c>
      <c r="D283">
        <f>IF(VLOOKUP(Data[[#This Row],[DEVELOPMENT]],'[4]IC Categories'!$A$2:$G$325,3,FALSE)=0,"",VLOOKUP(Data[[#This Row],[DEVELOPMENT]],'[4]IC Categories'!$A$2:$G$325,3,FALSE))</f>
        <v>2026</v>
      </c>
      <c r="E283">
        <f>VLOOKUP(Data[[#This Row],[DEVELOPMENT]],'[2]NYCHA_Development_Data_Book 201'!$B$2:$AY$324,21,FALSE)</f>
        <v>1</v>
      </c>
      <c r="F283">
        <f>VLOOKUP(Data[[#This Row],[DEVELOPMENT]],'[2]NYCHA_Development_Data_Book 201'!$B$2:$AY$324,23,FALSE)</f>
        <v>1</v>
      </c>
      <c r="G283">
        <f>VLOOKUP(Data[[#This Row],[DEVELOPMENT]],'[2]NYCHA_Development_Data_Book 201'!$B$2:$AY$324,12,FALSE)</f>
        <v>199</v>
      </c>
      <c r="H283" t="s">
        <v>474</v>
      </c>
      <c r="I283" t="s">
        <v>471</v>
      </c>
      <c r="J283">
        <f>IFERROR(VLOOKUP(Data[[#This Row],[DEVELOPMENT]],[5]!Table1[[DEVELOPMENTS]:[Installation Date of Exterior Compactor]],4,FALSE),0)</f>
        <v>0</v>
      </c>
      <c r="K283" s="20">
        <f>IFERROR(VLOOKUP(Data[[#This Row],[DEVELOPMENT]],[5]!Table1[[DEVELOPMENTS]:[Installation Date of Exterior Compactor]],7,FALSE),0)</f>
        <v>0</v>
      </c>
      <c r="L283" s="42" t="str">
        <f>IF(Data[[#This Row],['# Interior Compactors]]=0,"",VLOOKUP(Data[[#This Row],[DEVELOPMENT]],[5]!Table1[[DEVELOPMENTS]:[Installation Date of Exterior Compactor]],5,FALSE))</f>
        <v/>
      </c>
      <c r="M283" s="43" t="str">
        <f>IF(Data[[#This Row],['# Exterior Compactors]]=0,"",VLOOKUP(Data[[#This Row],[DEVELOPMENT]],[5]!Table1[[DEVELOPMENTS]:[Installation Date of Exterior Compactor]],8,FALSE))</f>
        <v/>
      </c>
      <c r="N283">
        <f>Data[[#This Row],['# Interior Compactors]]</f>
        <v>0</v>
      </c>
      <c r="O283" s="20">
        <f>1</f>
        <v>1</v>
      </c>
      <c r="P283" s="20">
        <f>1</f>
        <v>1</v>
      </c>
      <c r="Q283" s="20">
        <f>1</f>
        <v>1</v>
      </c>
      <c r="R283" s="20">
        <f>1</f>
        <v>1</v>
      </c>
      <c r="S283" s="20">
        <f>1</f>
        <v>1</v>
      </c>
      <c r="T283" s="20">
        <f>Data[[#This Row],[DUs]]</f>
        <v>199</v>
      </c>
      <c r="U28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3" s="101">
        <f>VLOOKUP(Data[[#This Row],[DEVELOPMENT]],'[2]NYCHA_Development_Data_Book 201'!$B$2:$E$324,3,FALSE)</f>
        <v>342</v>
      </c>
      <c r="Y283" s="20"/>
      <c r="Z283" s="20">
        <f>IFERROR(VLOOKUP(Data[[#This Row],[TDS]],'[7]Static Ext by TDS'!$A$5:$E$120,2,FALSE),0)</f>
        <v>0</v>
      </c>
      <c r="AA283" s="20">
        <f>IFERROR(VLOOKUP(Data[[#This Row],[TDS]],'[7]Static Int by TDS'!$A$6:$O$305,2,FALSE),0)</f>
        <v>1</v>
      </c>
      <c r="AB283" s="20"/>
      <c r="AC283" s="20"/>
      <c r="AD283" s="20">
        <f>IFERROR(VLOOKUP(Data[[#This Row],[TDS]],'[7]Static Ext by TDS'!$A$5:$P$120,3,FALSE)+VLOOKUP(Data[[#This Row],[TDS]],'[7]Static Ext by TDS'!$A$5:$P$120,6,FALSE),0)</f>
        <v>0</v>
      </c>
      <c r="AE283" s="20">
        <f>IFERROR(VLOOKUP(Data[[#This Row],[TDS]],'[7]Static Int by TDS'!$A$6:$O$305,3,FALSE)+VLOOKUP(Data[[#This Row],[TDS]],'[7]Static Int by TDS'!$A$6:$O$305,6,FALSE),0)</f>
        <v>1</v>
      </c>
      <c r="AF283" s="20" t="str">
        <f>VLOOKUP(Data[[#This Row],[DEVELOPMENT]],[8]Developments!$A$2:$A$312,1,FALSE)</f>
        <v>UNION AVENUE-EAST 163RD STREET</v>
      </c>
    </row>
    <row r="284" spans="1:32" x14ac:dyDescent="0.25">
      <c r="A284" t="s">
        <v>99</v>
      </c>
      <c r="B284" t="str">
        <f>VLOOKUP(Data[[#This Row],[DEVELOPMENT]],'[2]NYCHA_Development_Data_Book 201'!$B$2:$AY$324,40,FALSE)</f>
        <v>BRONX</v>
      </c>
      <c r="C284" t="str">
        <f>VLOOKUP(Data[[#This Row],[DEVELOPMENT]],'[3]Cheat-Sheet'!$D$2:$Q$341,2,FALSE)</f>
        <v>UNION AVENUE CONSOLIDATED</v>
      </c>
      <c r="D284">
        <f>IF(VLOOKUP(Data[[#This Row],[DEVELOPMENT]],'[4]IC Categories'!$A$2:$G$325,3,FALSE)=0,"",VLOOKUP(Data[[#This Row],[DEVELOPMENT]],'[4]IC Categories'!$A$2:$G$325,3,FALSE))</f>
        <v>2026</v>
      </c>
      <c r="E284">
        <f>VLOOKUP(Data[[#This Row],[DEVELOPMENT]],'[2]NYCHA_Development_Data_Book 201'!$B$2:$AY$324,21,FALSE)</f>
        <v>6</v>
      </c>
      <c r="F284">
        <f>VLOOKUP(Data[[#This Row],[DEVELOPMENT]],'[2]NYCHA_Development_Data_Book 201'!$B$2:$AY$324,23,FALSE)</f>
        <v>20</v>
      </c>
      <c r="G284">
        <f>VLOOKUP(Data[[#This Row],[DEVELOPMENT]],'[2]NYCHA_Development_Data_Book 201'!$B$2:$AY$324,12,FALSE)</f>
        <v>120</v>
      </c>
      <c r="H284" t="s">
        <v>474</v>
      </c>
      <c r="I284" t="s">
        <v>471</v>
      </c>
      <c r="J284">
        <f>IFERROR(VLOOKUP(Data[[#This Row],[DEVELOPMENT]],[5]!Table1[[DEVELOPMENTS]:[Installation Date of Exterior Compactor]],4,FALSE),0)</f>
        <v>0</v>
      </c>
      <c r="K284" s="20">
        <f>IFERROR(VLOOKUP(Data[[#This Row],[DEVELOPMENT]],[5]!Table1[[DEVELOPMENTS]:[Installation Date of Exterior Compactor]],7,FALSE),0)</f>
        <v>0</v>
      </c>
      <c r="L284" s="42" t="str">
        <f>IF(Data[[#This Row],['# Interior Compactors]]=0,"",VLOOKUP(Data[[#This Row],[DEVELOPMENT]],[5]!Table1[[DEVELOPMENTS]:[Installation Date of Exterior Compactor]],5,FALSE))</f>
        <v/>
      </c>
      <c r="M284" s="43" t="str">
        <f>IF(Data[[#This Row],['# Exterior Compactors]]=0,"",VLOOKUP(Data[[#This Row],[DEVELOPMENT]],[5]!Table1[[DEVELOPMENTS]:[Installation Date of Exterior Compactor]],8,FALSE))</f>
        <v/>
      </c>
      <c r="N284">
        <f>Data[[#This Row],['# Interior Compactors]]</f>
        <v>0</v>
      </c>
      <c r="O284" s="20">
        <f>1</f>
        <v>1</v>
      </c>
      <c r="P284" s="20">
        <f>1</f>
        <v>1</v>
      </c>
      <c r="Q284" s="20">
        <f>1</f>
        <v>1</v>
      </c>
      <c r="R284" s="20">
        <f>1</f>
        <v>1</v>
      </c>
      <c r="S284" s="20">
        <f>1</f>
        <v>1</v>
      </c>
      <c r="T284" s="20">
        <f>Data[[#This Row],[DUs]]</f>
        <v>120</v>
      </c>
      <c r="U28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4" s="101">
        <f>VLOOKUP(Data[[#This Row],[DEVELOPMENT]],'[2]NYCHA_Development_Data_Book 201'!$B$2:$E$324,3,FALSE)</f>
        <v>356</v>
      </c>
      <c r="Y284" s="20"/>
      <c r="Z284" s="20">
        <f>IFERROR(VLOOKUP(Data[[#This Row],[TDS]],'[7]Static Ext by TDS'!$A$5:$E$120,2,FALSE),0)</f>
        <v>1</v>
      </c>
      <c r="AA284" s="20">
        <f>IFERROR(VLOOKUP(Data[[#This Row],[TDS]],'[7]Static Int by TDS'!$A$6:$O$305,2,FALSE),0)</f>
        <v>0</v>
      </c>
      <c r="AB284" s="20"/>
      <c r="AC284" s="20"/>
      <c r="AD284" s="20">
        <f>IFERROR(VLOOKUP(Data[[#This Row],[TDS]],'[7]Static Ext by TDS'!$A$5:$P$120,3,FALSE)+VLOOKUP(Data[[#This Row],[TDS]],'[7]Static Ext by TDS'!$A$5:$P$120,6,FALSE),0)</f>
        <v>1</v>
      </c>
      <c r="AE284" s="20">
        <f>IFERROR(VLOOKUP(Data[[#This Row],[TDS]],'[7]Static Int by TDS'!$A$6:$O$305,3,FALSE)+VLOOKUP(Data[[#This Row],[TDS]],'[7]Static Int by TDS'!$A$6:$O$305,6,FALSE),0)</f>
        <v>0</v>
      </c>
      <c r="AF284" s="20" t="str">
        <f>VLOOKUP(Data[[#This Row],[DEVELOPMENT]],[8]Developments!$A$2:$A$312,1,FALSE)</f>
        <v>UNION AVENUE-EAST 166TH STREET</v>
      </c>
    </row>
    <row r="285" spans="1:32" x14ac:dyDescent="0.25">
      <c r="A285" t="s">
        <v>334</v>
      </c>
      <c r="B285" s="20" t="str">
        <f>VLOOKUP(Data[[#This Row],[DEVELOPMENT]],'[2]NYCHA_Development_Data_Book 201'!$B$2:$AY$324,40,FALSE)</f>
        <v>BROOKLYN</v>
      </c>
      <c r="C285" s="20" t="str">
        <f>VLOOKUP(Data[[#This Row],[DEVELOPMENT]],'[3]Cheat-Sheet'!$D$2:$Q$341,2,FALSE)</f>
        <v>UNITY PLAZA</v>
      </c>
      <c r="D285" s="20">
        <f>IF(VLOOKUP(Data[[#This Row],[DEVELOPMENT]],'[4]IC Categories'!$A$2:$G$325,3,FALSE)=0,"",VLOOKUP(Data[[#This Row],[DEVELOPMENT]],'[4]IC Categories'!$A$2:$G$325,3,FALSE))</f>
        <v>2026</v>
      </c>
      <c r="E285" s="20">
        <f>VLOOKUP(Data[[#This Row],[DEVELOPMENT]],'[2]NYCHA_Development_Data_Book 201'!$B$2:$AY$324,21,FALSE)</f>
        <v>3</v>
      </c>
      <c r="F285" s="20">
        <f>VLOOKUP(Data[[#This Row],[DEVELOPMENT]],'[2]NYCHA_Development_Data_Book 201'!$B$2:$AY$324,23,FALSE)</f>
        <v>3</v>
      </c>
      <c r="G285" s="20">
        <f>VLOOKUP(Data[[#This Row],[DEVELOPMENT]],'[2]NYCHA_Development_Data_Book 201'!$B$2:$AY$324,12,FALSE)</f>
        <v>167</v>
      </c>
      <c r="J285">
        <f>IFERROR(VLOOKUP(Data[[#This Row],[DEVELOPMENT]],[5]!Table1[[DEVELOPMENTS]:[Installation Date of Exterior Compactor]],4,FALSE),0)</f>
        <v>0</v>
      </c>
      <c r="K285" s="20">
        <f>IFERROR(VLOOKUP(Data[[#This Row],[DEVELOPMENT]],[5]!Table1[[DEVELOPMENTS]:[Installation Date of Exterior Compactor]],7,FALSE),0)</f>
        <v>0</v>
      </c>
      <c r="L285" s="42" t="str">
        <f>IF(Data[[#This Row],['# Interior Compactors]]=0,"",VLOOKUP(Data[[#This Row],[DEVELOPMENT]],[5]!Table1[[DEVELOPMENTS]:[Installation Date of Exterior Compactor]],5,FALSE))</f>
        <v/>
      </c>
      <c r="M285" s="43" t="str">
        <f>IF(Data[[#This Row],['# Exterior Compactors]]=0,"",VLOOKUP(Data[[#This Row],[DEVELOPMENT]],[5]!Table1[[DEVELOPMENTS]:[Installation Date of Exterior Compactor]],8,FALSE))</f>
        <v/>
      </c>
      <c r="N285" s="20">
        <f>Data[[#This Row],['# Interior Compactors]]</f>
        <v>0</v>
      </c>
      <c r="O285" s="20">
        <f>1</f>
        <v>1</v>
      </c>
      <c r="P285" s="20">
        <f>1</f>
        <v>1</v>
      </c>
      <c r="Q285" s="20">
        <f>1</f>
        <v>1</v>
      </c>
      <c r="R285" s="20">
        <f>1</f>
        <v>1</v>
      </c>
      <c r="S285" s="20">
        <f>1</f>
        <v>1</v>
      </c>
      <c r="T285" s="20">
        <f>Data[[#This Row],[DUs]]</f>
        <v>167</v>
      </c>
      <c r="U28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5" s="101">
        <f>VLOOKUP(Data[[#This Row],[DEVELOPMENT]],'[2]NYCHA_Development_Data_Book 201'!$B$2:$E$324,3,FALSE)</f>
        <v>240</v>
      </c>
      <c r="Y285" s="20"/>
      <c r="Z285" s="20">
        <f>IFERROR(VLOOKUP(Data[[#This Row],[TDS]],'[7]Static Ext by TDS'!$A$5:$E$120,2,FALSE),0)</f>
        <v>0</v>
      </c>
      <c r="AA285" s="20">
        <f>IFERROR(VLOOKUP(Data[[#This Row],[TDS]],'[7]Static Int by TDS'!$A$6:$O$305,2,FALSE),0)</f>
        <v>3</v>
      </c>
      <c r="AB285" s="20"/>
      <c r="AC285" s="20"/>
      <c r="AD285" s="20">
        <f>IFERROR(VLOOKUP(Data[[#This Row],[TDS]],'[7]Static Ext by TDS'!$A$5:$P$120,3,FALSE)+VLOOKUP(Data[[#This Row],[TDS]],'[7]Static Ext by TDS'!$A$5:$P$120,6,FALSE),0)</f>
        <v>0</v>
      </c>
      <c r="AE285" s="20">
        <f>IFERROR(VLOOKUP(Data[[#This Row],[TDS]],'[7]Static Int by TDS'!$A$6:$O$305,3,FALSE)+VLOOKUP(Data[[#This Row],[TDS]],'[7]Static Int by TDS'!$A$6:$O$305,6,FALSE),0)</f>
        <v>3</v>
      </c>
      <c r="AF285" s="20" t="str">
        <f>VLOOKUP(Data[[#This Row],[DEVELOPMENT]],[8]Developments!$A$2:$A$312,1,FALSE)</f>
        <v>UNITY PLAZA (SITES 17,24,25A)</v>
      </c>
    </row>
    <row r="286" spans="1:32" x14ac:dyDescent="0.25">
      <c r="A286" t="s">
        <v>335</v>
      </c>
      <c r="B286" s="20" t="str">
        <f>VLOOKUP(Data[[#This Row],[DEVELOPMENT]],'[2]NYCHA_Development_Data_Book 201'!$B$2:$AY$324,40,FALSE)</f>
        <v>BROOKLYN</v>
      </c>
      <c r="C286" s="20" t="str">
        <f>VLOOKUP(Data[[#This Row],[DEVELOPMENT]],'[3]Cheat-Sheet'!$D$2:$Q$341,2,FALSE)</f>
        <v>UNITY PLAZA</v>
      </c>
      <c r="D286" s="20">
        <f>IF(VLOOKUP(Data[[#This Row],[DEVELOPMENT]],'[4]IC Categories'!$A$2:$G$325,3,FALSE)=0,"",VLOOKUP(Data[[#This Row],[DEVELOPMENT]],'[4]IC Categories'!$A$2:$G$325,3,FALSE))</f>
        <v>2026</v>
      </c>
      <c r="E286" s="20">
        <f>VLOOKUP(Data[[#This Row],[DEVELOPMENT]],'[2]NYCHA_Development_Data_Book 201'!$B$2:$AY$324,21,FALSE)</f>
        <v>5</v>
      </c>
      <c r="F286" s="20">
        <f>VLOOKUP(Data[[#This Row],[DEVELOPMENT]],'[2]NYCHA_Development_Data_Book 201'!$B$2:$AY$324,23,FALSE)</f>
        <v>13</v>
      </c>
      <c r="G286" s="20">
        <f>VLOOKUP(Data[[#This Row],[DEVELOPMENT]],'[2]NYCHA_Development_Data_Book 201'!$B$2:$AY$324,12,FALSE)</f>
        <v>460</v>
      </c>
      <c r="J286">
        <f>IFERROR(VLOOKUP(Data[[#This Row],[DEVELOPMENT]],[5]!Table1[[DEVELOPMENTS]:[Installation Date of Exterior Compactor]],4,FALSE),0)</f>
        <v>0</v>
      </c>
      <c r="K286" s="20">
        <f>IFERROR(VLOOKUP(Data[[#This Row],[DEVELOPMENT]],[5]!Table1[[DEVELOPMENTS]:[Installation Date of Exterior Compactor]],7,FALSE),0)</f>
        <v>0</v>
      </c>
      <c r="L286" s="42" t="str">
        <f>IF(Data[[#This Row],['# Interior Compactors]]=0,"",VLOOKUP(Data[[#This Row],[DEVELOPMENT]],[5]!Table1[[DEVELOPMENTS]:[Installation Date of Exterior Compactor]],5,FALSE))</f>
        <v/>
      </c>
      <c r="M286" s="43" t="str">
        <f>IF(Data[[#This Row],['# Exterior Compactors]]=0,"",VLOOKUP(Data[[#This Row],[DEVELOPMENT]],[5]!Table1[[DEVELOPMENTS]:[Installation Date of Exterior Compactor]],8,FALSE))</f>
        <v/>
      </c>
      <c r="N286" s="20">
        <f>Data[[#This Row],['# Interior Compactors]]</f>
        <v>0</v>
      </c>
      <c r="O286" s="20">
        <f>1</f>
        <v>1</v>
      </c>
      <c r="P286" s="20">
        <f>1</f>
        <v>1</v>
      </c>
      <c r="Q286" s="20">
        <f>1</f>
        <v>1</v>
      </c>
      <c r="R286" s="20">
        <f>1</f>
        <v>1</v>
      </c>
      <c r="S286" s="20">
        <f>1</f>
        <v>1</v>
      </c>
      <c r="T286" s="20">
        <f>Data[[#This Row],[DUs]]</f>
        <v>460</v>
      </c>
      <c r="U28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6" s="101">
        <f>VLOOKUP(Data[[#This Row],[DEVELOPMENT]],'[2]NYCHA_Development_Data_Book 201'!$B$2:$E$324,3,FALSE)</f>
        <v>261</v>
      </c>
      <c r="Y286" s="20"/>
      <c r="Z286" s="20">
        <f>IFERROR(VLOOKUP(Data[[#This Row],[TDS]],'[7]Static Ext by TDS'!$A$5:$E$120,2,FALSE),0)</f>
        <v>0</v>
      </c>
      <c r="AA286" s="20">
        <f>IFERROR(VLOOKUP(Data[[#This Row],[TDS]],'[7]Static Int by TDS'!$A$6:$O$305,2,FALSE),0)</f>
        <v>12</v>
      </c>
      <c r="AB286" s="20"/>
      <c r="AC286" s="20"/>
      <c r="AD286" s="20">
        <f>IFERROR(VLOOKUP(Data[[#This Row],[TDS]],'[7]Static Ext by TDS'!$A$5:$P$120,3,FALSE)+VLOOKUP(Data[[#This Row],[TDS]],'[7]Static Ext by TDS'!$A$5:$P$120,6,FALSE),0)</f>
        <v>0</v>
      </c>
      <c r="AE286" s="20">
        <f>IFERROR(VLOOKUP(Data[[#This Row],[TDS]],'[7]Static Int by TDS'!$A$6:$O$305,3,FALSE)+VLOOKUP(Data[[#This Row],[TDS]],'[7]Static Int by TDS'!$A$6:$O$305,6,FALSE),0)</f>
        <v>12</v>
      </c>
      <c r="AF286" s="20" t="str">
        <f>VLOOKUP(Data[[#This Row],[DEVELOPMENT]],[8]Developments!$A$2:$A$312,1,FALSE)</f>
        <v>UNITY PLAZA (SITES 4-27)</v>
      </c>
    </row>
    <row r="287" spans="1:32" x14ac:dyDescent="0.25">
      <c r="A287" t="s">
        <v>336</v>
      </c>
      <c r="B287" s="20" t="str">
        <f>VLOOKUP(Data[[#This Row],[DEVELOPMENT]],'[2]NYCHA_Development_Data_Book 201'!$B$2:$AY$324,40,FALSE)</f>
        <v>BRONX</v>
      </c>
      <c r="C287" s="20" t="str">
        <f>VLOOKUP(Data[[#This Row],[DEVELOPMENT]],'[3]Cheat-Sheet'!$D$2:$Q$341,2,FALSE)</f>
        <v>KRAUS MANAGEMENT (PRIVATE - BX 3)</v>
      </c>
      <c r="D287" s="20" t="str">
        <f>IF(VLOOKUP(Data[[#This Row],[DEVELOPMENT]],'[4]IC Categories'!$A$2:$G$325,3,FALSE)=0,"",VLOOKUP(Data[[#This Row],[DEVELOPMENT]],'[4]IC Categories'!$A$2:$G$325,3,FALSE))</f>
        <v/>
      </c>
      <c r="E287" s="20">
        <f>VLOOKUP(Data[[#This Row],[DEVELOPMENT]],'[2]NYCHA_Development_Data_Book 201'!$B$2:$AY$324,21,FALSE)</f>
        <v>4</v>
      </c>
      <c r="F287" s="20">
        <f>VLOOKUP(Data[[#This Row],[DEVELOPMENT]],'[2]NYCHA_Development_Data_Book 201'!$B$2:$AY$324,23,FALSE)</f>
        <v>5</v>
      </c>
      <c r="G287" s="20">
        <f>VLOOKUP(Data[[#This Row],[DEVELOPMENT]],'[2]NYCHA_Development_Data_Book 201'!$B$2:$AY$324,12,FALSE)</f>
        <v>230</v>
      </c>
      <c r="J287">
        <f>IFERROR(VLOOKUP(Data[[#This Row],[DEVELOPMENT]],[5]!Table1[[DEVELOPMENTS]:[Installation Date of Exterior Compactor]],4,FALSE),0)</f>
        <v>0</v>
      </c>
      <c r="K287" s="20">
        <f>IFERROR(VLOOKUP(Data[[#This Row],[DEVELOPMENT]],[5]!Table1[[DEVELOPMENTS]:[Installation Date of Exterior Compactor]],7,FALSE),0)</f>
        <v>0</v>
      </c>
      <c r="L287" s="42" t="str">
        <f>IF(Data[[#This Row],['# Interior Compactors]]=0,"",VLOOKUP(Data[[#This Row],[DEVELOPMENT]],[5]!Table1[[DEVELOPMENTS]:[Installation Date of Exterior Compactor]],5,FALSE))</f>
        <v/>
      </c>
      <c r="M287" s="43" t="str">
        <f>IF(Data[[#This Row],['# Exterior Compactors]]=0,"",VLOOKUP(Data[[#This Row],[DEVELOPMENT]],[5]!Table1[[DEVELOPMENTS]:[Installation Date of Exterior Compactor]],8,FALSE))</f>
        <v/>
      </c>
      <c r="N287" s="20">
        <f>Data[[#This Row],['# Interior Compactors]]</f>
        <v>0</v>
      </c>
      <c r="O287" s="20">
        <f>1</f>
        <v>1</v>
      </c>
      <c r="P287" s="20">
        <f>1</f>
        <v>1</v>
      </c>
      <c r="Q287" s="20">
        <f>1</f>
        <v>1</v>
      </c>
      <c r="R287" s="20">
        <f>1</f>
        <v>1</v>
      </c>
      <c r="S287" s="20">
        <f>1</f>
        <v>1</v>
      </c>
      <c r="T287" s="20">
        <f>Data[[#This Row],[DUs]]</f>
        <v>230</v>
      </c>
      <c r="U28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7" s="101">
        <f>VLOOKUP(Data[[#This Row],[DEVELOPMENT]],'[2]NYCHA_Development_Data_Book 201'!$B$2:$E$324,3,FALSE)</f>
        <v>341</v>
      </c>
      <c r="Y287" s="20"/>
      <c r="Z287" s="20">
        <f>IFERROR(VLOOKUP(Data[[#This Row],[TDS]],'[7]Static Ext by TDS'!$A$5:$E$120,2,FALSE),0)</f>
        <v>0</v>
      </c>
      <c r="AA287" s="20">
        <f>IFERROR(VLOOKUP(Data[[#This Row],[TDS]],'[7]Static Int by TDS'!$A$6:$O$305,2,FALSE),0)</f>
        <v>5</v>
      </c>
      <c r="AB287" s="20"/>
      <c r="AC287" s="20"/>
      <c r="AD287" s="20">
        <f>IFERROR(VLOOKUP(Data[[#This Row],[TDS]],'[7]Static Ext by TDS'!$A$5:$P$120,3,FALSE)+VLOOKUP(Data[[#This Row],[TDS]],'[7]Static Ext by TDS'!$A$5:$P$120,6,FALSE),0)</f>
        <v>0</v>
      </c>
      <c r="AE287" s="20">
        <f>IFERROR(VLOOKUP(Data[[#This Row],[TDS]],'[7]Static Int by TDS'!$A$6:$O$305,3,FALSE)+VLOOKUP(Data[[#This Row],[TDS]],'[7]Static Int by TDS'!$A$6:$O$305,6,FALSE),0)</f>
        <v>5</v>
      </c>
      <c r="AF287" s="20" t="str">
        <f>VLOOKUP(Data[[#This Row],[DEVELOPMENT]],[8]Developments!$A$2:$A$312,1,FALSE)</f>
        <v>UNIVERSITY AVENUE REHAB</v>
      </c>
    </row>
    <row r="288" spans="1:32" x14ac:dyDescent="0.25">
      <c r="A288" t="s">
        <v>126</v>
      </c>
      <c r="B288" t="str">
        <f>VLOOKUP(Data[[#This Row],[DEVELOPMENT]],'[2]NYCHA_Development_Data_Book 201'!$B$2:$AY$324,40,FALSE)</f>
        <v>MANHATTAN</v>
      </c>
      <c r="C288" t="str">
        <f>VLOOKUP(Data[[#This Row],[DEVELOPMENT]],'[3]Cheat-Sheet'!$D$2:$Q$341,2,FALSE)</f>
        <v>ROBINSON</v>
      </c>
      <c r="D288" t="str">
        <f>IF(VLOOKUP(Data[[#This Row],[DEVELOPMENT]],'[4]IC Categories'!$A$2:$G$325,3,FALSE)=0,"",VLOOKUP(Data[[#This Row],[DEVELOPMENT]],'[4]IC Categories'!$A$2:$G$325,3,FALSE))</f>
        <v/>
      </c>
      <c r="E288">
        <f>VLOOKUP(Data[[#This Row],[DEVELOPMENT]],'[2]NYCHA_Development_Data_Book 201'!$B$2:$AY$324,21,FALSE)</f>
        <v>1</v>
      </c>
      <c r="F288">
        <f>VLOOKUP(Data[[#This Row],[DEVELOPMENT]],'[2]NYCHA_Development_Data_Book 201'!$B$2:$AY$324,23,FALSE)</f>
        <v>1</v>
      </c>
      <c r="G288">
        <f>VLOOKUP(Data[[#This Row],[DEVELOPMENT]],'[2]NYCHA_Development_Data_Book 201'!$B$2:$AY$324,12,FALSE)</f>
        <v>179</v>
      </c>
      <c r="H288" t="s">
        <v>470</v>
      </c>
      <c r="I288" t="s">
        <v>471</v>
      </c>
      <c r="J288">
        <f>IFERROR(VLOOKUP(Data[[#This Row],[DEVELOPMENT]],[5]!Table1[[DEVELOPMENTS]:[Installation Date of Exterior Compactor]],4,FALSE),0)</f>
        <v>0</v>
      </c>
      <c r="K288" s="20">
        <f>IFERROR(VLOOKUP(Data[[#This Row],[DEVELOPMENT]],[5]!Table1[[DEVELOPMENTS]:[Installation Date of Exterior Compactor]],7,FALSE),0)</f>
        <v>0</v>
      </c>
      <c r="L288" s="42" t="str">
        <f>IF(Data[[#This Row],['# Interior Compactors]]=0,"",VLOOKUP(Data[[#This Row],[DEVELOPMENT]],[5]!Table1[[DEVELOPMENTS]:[Installation Date of Exterior Compactor]],5,FALSE))</f>
        <v/>
      </c>
      <c r="M288" s="43" t="str">
        <f>IF(Data[[#This Row],['# Exterior Compactors]]=0,"",VLOOKUP(Data[[#This Row],[DEVELOPMENT]],[5]!Table1[[DEVELOPMENTS]:[Installation Date of Exterior Compactor]],8,FALSE))</f>
        <v/>
      </c>
      <c r="N288">
        <f>Data[[#This Row],['# Interior Compactors]]</f>
        <v>0</v>
      </c>
      <c r="O288" s="20">
        <f>1</f>
        <v>1</v>
      </c>
      <c r="P288" s="20">
        <f>1</f>
        <v>1</v>
      </c>
      <c r="Q288" s="20">
        <f>1</f>
        <v>1</v>
      </c>
      <c r="R288" s="20">
        <f>1</f>
        <v>1</v>
      </c>
      <c r="S288" s="20">
        <f>1</f>
        <v>1</v>
      </c>
      <c r="T288" s="20">
        <f>Data[[#This Row],[DUs]]</f>
        <v>179</v>
      </c>
      <c r="U28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8" s="101">
        <f>VLOOKUP(Data[[#This Row],[DEVELOPMENT]],'[2]NYCHA_Development_Data_Book 201'!$B$2:$E$324,3,FALSE)</f>
        <v>343</v>
      </c>
      <c r="Y288" s="20"/>
      <c r="Z288" s="20">
        <f>IFERROR(VLOOKUP(Data[[#This Row],[TDS]],'[7]Static Ext by TDS'!$A$5:$E$120,2,FALSE),0)</f>
        <v>0</v>
      </c>
      <c r="AA288" s="20">
        <f>IFERROR(VLOOKUP(Data[[#This Row],[TDS]],'[7]Static Int by TDS'!$A$6:$O$305,2,FALSE),0)</f>
        <v>1</v>
      </c>
      <c r="AB288" s="20"/>
      <c r="AC288" s="20"/>
      <c r="AD288" s="20">
        <f>IFERROR(VLOOKUP(Data[[#This Row],[TDS]],'[7]Static Ext by TDS'!$A$5:$P$120,3,FALSE)+VLOOKUP(Data[[#This Row],[TDS]],'[7]Static Ext by TDS'!$A$5:$P$120,6,FALSE),0)</f>
        <v>0</v>
      </c>
      <c r="AE288" s="20">
        <f>IFERROR(VLOOKUP(Data[[#This Row],[TDS]],'[7]Static Int by TDS'!$A$6:$O$305,3,FALSE)+VLOOKUP(Data[[#This Row],[TDS]],'[7]Static Int by TDS'!$A$6:$O$305,6,FALSE),0)</f>
        <v>1</v>
      </c>
      <c r="AF288" s="20" t="str">
        <f>VLOOKUP(Data[[#This Row],[DEVELOPMENT]],[8]Developments!$A$2:$A$312,1,FALSE)</f>
        <v>UPACA (SITE 5)</v>
      </c>
    </row>
    <row r="289" spans="1:32" x14ac:dyDescent="0.25">
      <c r="A289" t="s">
        <v>100</v>
      </c>
      <c r="B289" t="str">
        <f>VLOOKUP(Data[[#This Row],[DEVELOPMENT]],'[2]NYCHA_Development_Data_Book 201'!$B$2:$AY$324,40,FALSE)</f>
        <v>MANHATTAN</v>
      </c>
      <c r="C289" t="str">
        <f>VLOOKUP(Data[[#This Row],[DEVELOPMENT]],'[3]Cheat-Sheet'!$D$2:$Q$341,2,FALSE)</f>
        <v>ROBINSON</v>
      </c>
      <c r="D289" t="str">
        <f>IF(VLOOKUP(Data[[#This Row],[DEVELOPMENT]],'[4]IC Categories'!$A$2:$G$325,3,FALSE)=0,"",VLOOKUP(Data[[#This Row],[DEVELOPMENT]],'[4]IC Categories'!$A$2:$G$325,3,FALSE))</f>
        <v/>
      </c>
      <c r="E289">
        <f>VLOOKUP(Data[[#This Row],[DEVELOPMENT]],'[2]NYCHA_Development_Data_Book 201'!$B$2:$AY$324,21,FALSE)</f>
        <v>1</v>
      </c>
      <c r="F289">
        <f>VLOOKUP(Data[[#This Row],[DEVELOPMENT]],'[2]NYCHA_Development_Data_Book 201'!$B$2:$AY$324,23,FALSE)</f>
        <v>1</v>
      </c>
      <c r="G289">
        <f>VLOOKUP(Data[[#This Row],[DEVELOPMENT]],'[2]NYCHA_Development_Data_Book 201'!$B$2:$AY$324,12,FALSE)</f>
        <v>150</v>
      </c>
      <c r="H289" t="s">
        <v>470</v>
      </c>
      <c r="I289" t="s">
        <v>471</v>
      </c>
      <c r="J289">
        <f>IFERROR(VLOOKUP(Data[[#This Row],[DEVELOPMENT]],[5]!Table1[[DEVELOPMENTS]:[Installation Date of Exterior Compactor]],4,FALSE),0)</f>
        <v>0</v>
      </c>
      <c r="K289" s="20">
        <f>IFERROR(VLOOKUP(Data[[#This Row],[DEVELOPMENT]],[5]!Table1[[DEVELOPMENTS]:[Installation Date of Exterior Compactor]],7,FALSE),0)</f>
        <v>0</v>
      </c>
      <c r="L289" s="42" t="str">
        <f>IF(Data[[#This Row],['# Interior Compactors]]=0,"",VLOOKUP(Data[[#This Row],[DEVELOPMENT]],[5]!Table1[[DEVELOPMENTS]:[Installation Date of Exterior Compactor]],5,FALSE))</f>
        <v/>
      </c>
      <c r="M289" s="43" t="str">
        <f>IF(Data[[#This Row],['# Exterior Compactors]]=0,"",VLOOKUP(Data[[#This Row],[DEVELOPMENT]],[5]!Table1[[DEVELOPMENTS]:[Installation Date of Exterior Compactor]],8,FALSE))</f>
        <v/>
      </c>
      <c r="N289">
        <f>Data[[#This Row],['# Interior Compactors]]</f>
        <v>0</v>
      </c>
      <c r="O289" s="20">
        <f>1</f>
        <v>1</v>
      </c>
      <c r="P289" s="20">
        <f>1</f>
        <v>1</v>
      </c>
      <c r="Q289" s="20">
        <f>1</f>
        <v>1</v>
      </c>
      <c r="R289" s="20">
        <f>1</f>
        <v>1</v>
      </c>
      <c r="S289" s="20">
        <f>1</f>
        <v>1</v>
      </c>
      <c r="T289" s="20">
        <f>Data[[#This Row],[DUs]]</f>
        <v>150</v>
      </c>
      <c r="U28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8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8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89" s="101">
        <f>VLOOKUP(Data[[#This Row],[DEVELOPMENT]],'[2]NYCHA_Development_Data_Book 201'!$B$2:$E$324,3,FALSE)</f>
        <v>355</v>
      </c>
      <c r="Y289" s="20"/>
      <c r="Z289" s="20">
        <f>IFERROR(VLOOKUP(Data[[#This Row],[TDS]],'[7]Static Ext by TDS'!$A$5:$E$120,2,FALSE),0)</f>
        <v>0</v>
      </c>
      <c r="AA289" s="20">
        <f>IFERROR(VLOOKUP(Data[[#This Row],[TDS]],'[7]Static Int by TDS'!$A$6:$O$305,2,FALSE),0)</f>
        <v>1</v>
      </c>
      <c r="AB289" s="20"/>
      <c r="AC289" s="20"/>
      <c r="AD289" s="20">
        <f>IFERROR(VLOOKUP(Data[[#This Row],[TDS]],'[7]Static Ext by TDS'!$A$5:$P$120,3,FALSE)+VLOOKUP(Data[[#This Row],[TDS]],'[7]Static Ext by TDS'!$A$5:$P$120,6,FALSE),0)</f>
        <v>0</v>
      </c>
      <c r="AE289" s="20">
        <f>IFERROR(VLOOKUP(Data[[#This Row],[TDS]],'[7]Static Int by TDS'!$A$6:$O$305,3,FALSE)+VLOOKUP(Data[[#This Row],[TDS]],'[7]Static Int by TDS'!$A$6:$O$305,6,FALSE),0)</f>
        <v>1</v>
      </c>
      <c r="AF289" s="20" t="str">
        <f>VLOOKUP(Data[[#This Row],[DEVELOPMENT]],[8]Developments!$A$2:$A$312,1,FALSE)</f>
        <v>UPACA (SITE 6)</v>
      </c>
    </row>
    <row r="290" spans="1:32" x14ac:dyDescent="0.25">
      <c r="A290" t="s">
        <v>337</v>
      </c>
      <c r="B290" s="20" t="str">
        <f>VLOOKUP(Data[[#This Row],[DEVELOPMENT]],'[2]NYCHA_Development_Data_Book 201'!$B$2:$AY$324,40,FALSE)</f>
        <v>BROOKLYN</v>
      </c>
      <c r="C290" s="20" t="str">
        <f>VLOOKUP(Data[[#This Row],[DEVELOPMENT]],'[3]Cheat-Sheet'!$D$2:$Q$341,2,FALSE)</f>
        <v>VAN DYKE I</v>
      </c>
      <c r="D290" s="20">
        <f>IF(VLOOKUP(Data[[#This Row],[DEVELOPMENT]],'[4]IC Categories'!$A$2:$G$325,3,FALSE)=0,"",VLOOKUP(Data[[#This Row],[DEVELOPMENT]],'[4]IC Categories'!$A$2:$G$325,3,FALSE))</f>
        <v>2024</v>
      </c>
      <c r="E290" s="20">
        <f>VLOOKUP(Data[[#This Row],[DEVELOPMENT]],'[2]NYCHA_Development_Data_Book 201'!$B$2:$AY$324,21,FALSE)</f>
        <v>22</v>
      </c>
      <c r="F290" s="20">
        <f>VLOOKUP(Data[[#This Row],[DEVELOPMENT]],'[2]NYCHA_Development_Data_Book 201'!$B$2:$AY$324,23,FALSE)</f>
        <v>32</v>
      </c>
      <c r="G290" s="20">
        <f>VLOOKUP(Data[[#This Row],[DEVELOPMENT]],'[2]NYCHA_Development_Data_Book 201'!$B$2:$AY$324,12,FALSE)</f>
        <v>1603</v>
      </c>
      <c r="J290">
        <f>IFERROR(VLOOKUP(Data[[#This Row],[DEVELOPMENT]],[5]!Table1[[DEVELOPMENTS]:[Installation Date of Exterior Compactor]],4,FALSE),0)</f>
        <v>0</v>
      </c>
      <c r="K290" s="20">
        <f>IFERROR(VLOOKUP(Data[[#This Row],[DEVELOPMENT]],[5]!Table1[[DEVELOPMENTS]:[Installation Date of Exterior Compactor]],7,FALSE),0)</f>
        <v>0</v>
      </c>
      <c r="L290" s="42" t="str">
        <f>IF(Data[[#This Row],['# Interior Compactors]]=0,"",VLOOKUP(Data[[#This Row],[DEVELOPMENT]],[5]!Table1[[DEVELOPMENTS]:[Installation Date of Exterior Compactor]],5,FALSE))</f>
        <v/>
      </c>
      <c r="M290" s="43" t="str">
        <f>IF(Data[[#This Row],['# Exterior Compactors]]=0,"",VLOOKUP(Data[[#This Row],[DEVELOPMENT]],[5]!Table1[[DEVELOPMENTS]:[Installation Date of Exterior Compactor]],8,FALSE))</f>
        <v/>
      </c>
      <c r="N290" s="20">
        <f>Data[[#This Row],['# Interior Compactors]]</f>
        <v>0</v>
      </c>
      <c r="O290" s="20">
        <f>1</f>
        <v>1</v>
      </c>
      <c r="P290" s="20">
        <f>1</f>
        <v>1</v>
      </c>
      <c r="Q290" s="20">
        <f>1</f>
        <v>1</v>
      </c>
      <c r="R290" s="20">
        <f>1</f>
        <v>1</v>
      </c>
      <c r="S290" s="20">
        <f>1</f>
        <v>1</v>
      </c>
      <c r="T290" s="20">
        <f>Data[[#This Row],[DUs]]</f>
        <v>1603</v>
      </c>
      <c r="U29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0" s="101">
        <f>VLOOKUP(Data[[#This Row],[DEVELOPMENT]],'[2]NYCHA_Development_Data_Book 201'!$B$2:$E$324,3,FALSE)</f>
        <v>61</v>
      </c>
      <c r="Y290" s="20"/>
      <c r="Z290" s="20">
        <f>IFERROR(VLOOKUP(Data[[#This Row],[TDS]],'[7]Static Ext by TDS'!$A$5:$E$120,2,FALSE),0)</f>
        <v>0</v>
      </c>
      <c r="AA290" s="20">
        <f>IFERROR(VLOOKUP(Data[[#This Row],[TDS]],'[7]Static Int by TDS'!$A$6:$O$305,2,FALSE),0)</f>
        <v>31</v>
      </c>
      <c r="AB290" s="20"/>
      <c r="AC290" s="20"/>
      <c r="AD290" s="20">
        <f>IFERROR(VLOOKUP(Data[[#This Row],[TDS]],'[7]Static Ext by TDS'!$A$5:$P$120,3,FALSE)+VLOOKUP(Data[[#This Row],[TDS]],'[7]Static Ext by TDS'!$A$5:$P$120,6,FALSE),0)</f>
        <v>0</v>
      </c>
      <c r="AE290" s="20">
        <f>IFERROR(VLOOKUP(Data[[#This Row],[TDS]],'[7]Static Int by TDS'!$A$6:$O$305,3,FALSE)+VLOOKUP(Data[[#This Row],[TDS]],'[7]Static Int by TDS'!$A$6:$O$305,6,FALSE),0)</f>
        <v>31</v>
      </c>
      <c r="AF290" s="20" t="str">
        <f>VLOOKUP(Data[[#This Row],[DEVELOPMENT]],[8]Developments!$A$2:$A$312,1,FALSE)</f>
        <v>VAN DYKE I</v>
      </c>
    </row>
    <row r="291" spans="1:32" x14ac:dyDescent="0.25">
      <c r="A291" t="s">
        <v>338</v>
      </c>
      <c r="B291" s="20" t="str">
        <f>VLOOKUP(Data[[#This Row],[DEVELOPMENT]],'[2]NYCHA_Development_Data_Book 201'!$B$2:$AY$324,40,FALSE)</f>
        <v>BROOKLYN</v>
      </c>
      <c r="C291" s="20" t="str">
        <f>VLOOKUP(Data[[#This Row],[DEVELOPMENT]],'[3]Cheat-Sheet'!$D$2:$Q$341,2,FALSE)</f>
        <v>WOODSON</v>
      </c>
      <c r="D291" s="20" t="str">
        <f>IF(VLOOKUP(Data[[#This Row],[DEVELOPMENT]],'[4]IC Categories'!$A$2:$G$325,3,FALSE)=0,"",VLOOKUP(Data[[#This Row],[DEVELOPMENT]],'[4]IC Categories'!$A$2:$G$325,3,FALSE))</f>
        <v/>
      </c>
      <c r="E291" s="20">
        <f>VLOOKUP(Data[[#This Row],[DEVELOPMENT]],'[2]NYCHA_Development_Data_Book 201'!$B$2:$AY$324,21,FALSE)</f>
        <v>1</v>
      </c>
      <c r="F291" s="20">
        <f>VLOOKUP(Data[[#This Row],[DEVELOPMENT]],'[2]NYCHA_Development_Data_Book 201'!$B$2:$AY$324,23,FALSE)</f>
        <v>1</v>
      </c>
      <c r="G291" s="20">
        <f>VLOOKUP(Data[[#This Row],[DEVELOPMENT]],'[2]NYCHA_Development_Data_Book 201'!$B$2:$AY$324,12,FALSE)</f>
        <v>111</v>
      </c>
      <c r="J291">
        <f>IFERROR(VLOOKUP(Data[[#This Row],[DEVELOPMENT]],[5]!Table1[[DEVELOPMENTS]:[Installation Date of Exterior Compactor]],4,FALSE),0)</f>
        <v>0</v>
      </c>
      <c r="K291" s="20">
        <f>IFERROR(VLOOKUP(Data[[#This Row],[DEVELOPMENT]],[5]!Table1[[DEVELOPMENTS]:[Installation Date of Exterior Compactor]],7,FALSE),0)</f>
        <v>0</v>
      </c>
      <c r="L291" s="42" t="str">
        <f>IF(Data[[#This Row],['# Interior Compactors]]=0,"",VLOOKUP(Data[[#This Row],[DEVELOPMENT]],[5]!Table1[[DEVELOPMENTS]:[Installation Date of Exterior Compactor]],5,FALSE))</f>
        <v/>
      </c>
      <c r="M291" s="43" t="str">
        <f>IF(Data[[#This Row],['# Exterior Compactors]]=0,"",VLOOKUP(Data[[#This Row],[DEVELOPMENT]],[5]!Table1[[DEVELOPMENTS]:[Installation Date of Exterior Compactor]],8,FALSE))</f>
        <v/>
      </c>
      <c r="N291" s="20">
        <f>Data[[#This Row],['# Interior Compactors]]</f>
        <v>0</v>
      </c>
      <c r="O291" s="20">
        <f>1</f>
        <v>1</v>
      </c>
      <c r="P291" s="20">
        <f>1</f>
        <v>1</v>
      </c>
      <c r="Q291" s="20">
        <f>1</f>
        <v>1</v>
      </c>
      <c r="R291" s="20">
        <f>1</f>
        <v>1</v>
      </c>
      <c r="S291" s="20">
        <f>1</f>
        <v>1</v>
      </c>
      <c r="T291" s="20">
        <f>Data[[#This Row],[DUs]]</f>
        <v>111</v>
      </c>
      <c r="U29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1" s="101">
        <f>VLOOKUP(Data[[#This Row],[DEVELOPMENT]],'[2]NYCHA_Development_Data_Book 201'!$B$2:$E$324,3,FALSE)</f>
        <v>146</v>
      </c>
      <c r="Y291" s="20"/>
      <c r="Z291" s="20">
        <f>IFERROR(VLOOKUP(Data[[#This Row],[TDS]],'[7]Static Ext by TDS'!$A$5:$E$120,2,FALSE),0)</f>
        <v>0</v>
      </c>
      <c r="AA291" s="20">
        <f>IFERROR(VLOOKUP(Data[[#This Row],[TDS]],'[7]Static Int by TDS'!$A$6:$O$305,2,FALSE),0)</f>
        <v>1</v>
      </c>
      <c r="AB291" s="20"/>
      <c r="AC291" s="20"/>
      <c r="AD291" s="20">
        <f>IFERROR(VLOOKUP(Data[[#This Row],[TDS]],'[7]Static Ext by TDS'!$A$5:$P$120,3,FALSE)+VLOOKUP(Data[[#This Row],[TDS]],'[7]Static Ext by TDS'!$A$5:$P$120,6,FALSE),0)</f>
        <v>0</v>
      </c>
      <c r="AE291" s="20">
        <f>IFERROR(VLOOKUP(Data[[#This Row],[TDS]],'[7]Static Int by TDS'!$A$6:$O$305,3,FALSE)+VLOOKUP(Data[[#This Row],[TDS]],'[7]Static Int by TDS'!$A$6:$O$305,6,FALSE),0)</f>
        <v>1</v>
      </c>
      <c r="AF291" s="20" t="str">
        <f>VLOOKUP(Data[[#This Row],[DEVELOPMENT]],[8]Developments!$A$2:$A$312,1,FALSE)</f>
        <v>VAN DYKE II</v>
      </c>
    </row>
    <row r="292" spans="1:32" x14ac:dyDescent="0.25">
      <c r="A292" t="s">
        <v>339</v>
      </c>
      <c r="B292" s="20" t="str">
        <f>VLOOKUP(Data[[#This Row],[DEVELOPMENT]],'[2]NYCHA_Development_Data_Book 201'!$B$2:$AY$324,40,FALSE)</f>
        <v>BROOKLYN</v>
      </c>
      <c r="C292" s="20" t="str">
        <f>VLOOKUP(Data[[#This Row],[DEVELOPMENT]],'[3]Cheat-Sheet'!$D$2:$Q$341,2,FALSE)</f>
        <v>PENNSYLVANIA-WORTMAN</v>
      </c>
      <c r="D292" s="20" t="str">
        <f>IF(VLOOKUP(Data[[#This Row],[DEVELOPMENT]],'[4]IC Categories'!$A$2:$G$325,3,FALSE)=0,"",VLOOKUP(Data[[#This Row],[DEVELOPMENT]],'[4]IC Categories'!$A$2:$G$325,3,FALSE))</f>
        <v/>
      </c>
      <c r="E292" s="20">
        <f>VLOOKUP(Data[[#This Row],[DEVELOPMENT]],'[2]NYCHA_Development_Data_Book 201'!$B$2:$AY$324,21,FALSE)</f>
        <v>2</v>
      </c>
      <c r="F292" s="20">
        <f>VLOOKUP(Data[[#This Row],[DEVELOPMENT]],'[2]NYCHA_Development_Data_Book 201'!$B$2:$AY$324,23,FALSE)</f>
        <v>3</v>
      </c>
      <c r="G292" s="20">
        <f>VLOOKUP(Data[[#This Row],[DEVELOPMENT]],'[2]NYCHA_Development_Data_Book 201'!$B$2:$AY$324,12,FALSE)</f>
        <v>288</v>
      </c>
      <c r="J292">
        <f>IFERROR(VLOOKUP(Data[[#This Row],[DEVELOPMENT]],[5]!Table1[[DEVELOPMENTS]:[Installation Date of Exterior Compactor]],4,FALSE),0)</f>
        <v>0</v>
      </c>
      <c r="K292" s="20">
        <f>IFERROR(VLOOKUP(Data[[#This Row],[DEVELOPMENT]],[5]!Table1[[DEVELOPMENTS]:[Installation Date of Exterior Compactor]],7,FALSE),0)</f>
        <v>0</v>
      </c>
      <c r="L292" s="42" t="str">
        <f>IF(Data[[#This Row],['# Interior Compactors]]=0,"",VLOOKUP(Data[[#This Row],[DEVELOPMENT]],[5]!Table1[[DEVELOPMENTS]:[Installation Date of Exterior Compactor]],5,FALSE))</f>
        <v/>
      </c>
      <c r="M292" s="43" t="str">
        <f>IF(Data[[#This Row],['# Exterior Compactors]]=0,"",VLOOKUP(Data[[#This Row],[DEVELOPMENT]],[5]!Table1[[DEVELOPMENTS]:[Installation Date of Exterior Compactor]],8,FALSE))</f>
        <v/>
      </c>
      <c r="N292" s="20">
        <f>Data[[#This Row],['# Interior Compactors]]</f>
        <v>0</v>
      </c>
      <c r="O292" s="20">
        <f>1</f>
        <v>1</v>
      </c>
      <c r="P292" s="20">
        <f>1</f>
        <v>1</v>
      </c>
      <c r="Q292" s="20">
        <f>1</f>
        <v>1</v>
      </c>
      <c r="R292" s="20">
        <f>1</f>
        <v>1</v>
      </c>
      <c r="S292" s="20">
        <f>1</f>
        <v>1</v>
      </c>
      <c r="T292" s="20">
        <f>Data[[#This Row],[DUs]]</f>
        <v>288</v>
      </c>
      <c r="U29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2" s="101">
        <f>VLOOKUP(Data[[#This Row],[DEVELOPMENT]],'[2]NYCHA_Development_Data_Book 201'!$B$2:$E$324,3,FALSE)</f>
        <v>315</v>
      </c>
      <c r="Y292" s="20"/>
      <c r="Z292" s="20">
        <f>IFERROR(VLOOKUP(Data[[#This Row],[TDS]],'[7]Static Ext by TDS'!$A$5:$E$120,2,FALSE),0)</f>
        <v>0</v>
      </c>
      <c r="AA292" s="20">
        <f>IFERROR(VLOOKUP(Data[[#This Row],[TDS]],'[7]Static Int by TDS'!$A$6:$O$305,2,FALSE),0)</f>
        <v>2</v>
      </c>
      <c r="AB292" s="20"/>
      <c r="AC292" s="20"/>
      <c r="AD292" s="20">
        <f>IFERROR(VLOOKUP(Data[[#This Row],[TDS]],'[7]Static Ext by TDS'!$A$5:$P$120,3,FALSE)+VLOOKUP(Data[[#This Row],[TDS]],'[7]Static Ext by TDS'!$A$5:$P$120,6,FALSE),0)</f>
        <v>0</v>
      </c>
      <c r="AE292" s="20">
        <f>IFERROR(VLOOKUP(Data[[#This Row],[TDS]],'[7]Static Int by TDS'!$A$6:$O$305,3,FALSE)+VLOOKUP(Data[[#This Row],[TDS]],'[7]Static Int by TDS'!$A$6:$O$305,6,FALSE),0)</f>
        <v>2</v>
      </c>
      <c r="AF292" s="20" t="str">
        <f>VLOOKUP(Data[[#This Row],[DEVELOPMENT]],[8]Developments!$A$2:$A$312,1,FALSE)</f>
        <v>VANDALIA AVENUE</v>
      </c>
    </row>
    <row r="293" spans="1:32" x14ac:dyDescent="0.25">
      <c r="A293" s="17" t="s">
        <v>56</v>
      </c>
      <c r="B293" s="17" t="str">
        <f>VLOOKUP(Data[[#This Row],[DEVELOPMENT]],'[2]NYCHA_Development_Data_Book 201'!$B$2:$AY$324,40,FALSE)</f>
        <v>MANHATTAN</v>
      </c>
      <c r="C293" t="str">
        <f>VLOOKUP(Data[[#This Row],[DEVELOPMENT]],'[3]Cheat-Sheet'!$D$2:$Q$341,2,FALSE)</f>
        <v>VLADECK</v>
      </c>
      <c r="D293" t="str">
        <f>IF(VLOOKUP(Data[[#This Row],[DEVELOPMENT]],'[4]IC Categories'!$A$2:$G$325,3,FALSE)=0,"",VLOOKUP(Data[[#This Row],[DEVELOPMENT]],'[4]IC Categories'!$A$2:$G$325,3,FALSE))</f>
        <v/>
      </c>
      <c r="E293">
        <f>VLOOKUP(Data[[#This Row],[DEVELOPMENT]],'[2]NYCHA_Development_Data_Book 201'!$B$2:$AY$324,21,FALSE)</f>
        <v>20</v>
      </c>
      <c r="F293">
        <f>VLOOKUP(Data[[#This Row],[DEVELOPMENT]],'[2]NYCHA_Development_Data_Book 201'!$B$2:$AY$324,23,FALSE)</f>
        <v>46</v>
      </c>
      <c r="G293">
        <f>VLOOKUP(Data[[#This Row],[DEVELOPMENT]],'[2]NYCHA_Development_Data_Book 201'!$B$2:$AY$324,12,FALSE)</f>
        <v>1527</v>
      </c>
      <c r="H293" t="s">
        <v>472</v>
      </c>
      <c r="I293" t="s">
        <v>475</v>
      </c>
      <c r="J293">
        <f>IFERROR(VLOOKUP(Data[[#This Row],[DEVELOPMENT]],[5]!Table1[[DEVELOPMENTS]:[Installation Date of Exterior Compactor]],4,FALSE),0)</f>
        <v>0</v>
      </c>
      <c r="K293" s="20">
        <f>IFERROR(VLOOKUP(Data[[#This Row],[DEVELOPMENT]],[5]!Table1[[DEVELOPMENTS]:[Installation Date of Exterior Compactor]],7,FALSE),0)</f>
        <v>0</v>
      </c>
      <c r="L293" s="42" t="str">
        <f>IF(Data[[#This Row],['# Interior Compactors]]=0,"",VLOOKUP(Data[[#This Row],[DEVELOPMENT]],[5]!Table1[[DEVELOPMENTS]:[Installation Date of Exterior Compactor]],5,FALSE))</f>
        <v/>
      </c>
      <c r="M293" s="43" t="str">
        <f>IF(Data[[#This Row],['# Exterior Compactors]]=0,"",VLOOKUP(Data[[#This Row],[DEVELOPMENT]],[5]!Table1[[DEVELOPMENTS]:[Installation Date of Exterior Compactor]],8,FALSE))</f>
        <v/>
      </c>
      <c r="N293">
        <f>Data[[#This Row],['# Interior Compactors]]</f>
        <v>0</v>
      </c>
      <c r="O293" s="20">
        <f>1</f>
        <v>1</v>
      </c>
      <c r="P293" s="20">
        <f>1</f>
        <v>1</v>
      </c>
      <c r="Q293" s="20">
        <f>1</f>
        <v>1</v>
      </c>
      <c r="R293" s="20">
        <f>1</f>
        <v>1</v>
      </c>
      <c r="S293" s="20">
        <f>1</f>
        <v>1</v>
      </c>
      <c r="T293" s="20">
        <f>Data[[#This Row],[DUs]]</f>
        <v>1527</v>
      </c>
      <c r="U29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3" s="101">
        <f>VLOOKUP(Data[[#This Row],[DEVELOPMENT]],'[2]NYCHA_Development_Data_Book 201'!$B$2:$E$324,3,FALSE)</f>
        <v>6</v>
      </c>
      <c r="Y293" s="20" t="s">
        <v>473</v>
      </c>
      <c r="Z293" s="20">
        <f>IFERROR(VLOOKUP(Data[[#This Row],[TDS]],'[7]Static Ext by TDS'!$A$5:$E$120,2,FALSE),0)</f>
        <v>0</v>
      </c>
      <c r="AA293" s="20">
        <f>IFERROR(VLOOKUP(Data[[#This Row],[TDS]],'[7]Static Int by TDS'!$A$6:$O$305,2,FALSE),0)</f>
        <v>45</v>
      </c>
      <c r="AB293" s="20"/>
      <c r="AC293" s="20"/>
      <c r="AD293" s="20">
        <f>IFERROR(VLOOKUP(Data[[#This Row],[TDS]],'[7]Static Ext by TDS'!$A$5:$P$120,3,FALSE)+VLOOKUP(Data[[#This Row],[TDS]],'[7]Static Ext by TDS'!$A$5:$P$120,6,FALSE),0)</f>
        <v>0</v>
      </c>
      <c r="AE293" s="20">
        <f>IFERROR(VLOOKUP(Data[[#This Row],[TDS]],'[7]Static Int by TDS'!$A$6:$O$305,3,FALSE)+VLOOKUP(Data[[#This Row],[TDS]],'[7]Static Int by TDS'!$A$6:$O$305,6,FALSE),0)</f>
        <v>2</v>
      </c>
      <c r="AF293" s="20" t="str">
        <f>VLOOKUP(Data[[#This Row],[DEVELOPMENT]],[8]Developments!$A$2:$A$312,1,FALSE)</f>
        <v>VLADECK</v>
      </c>
    </row>
    <row r="294" spans="1:32" x14ac:dyDescent="0.25">
      <c r="A294" s="17" t="s">
        <v>108</v>
      </c>
      <c r="B294" s="17" t="str">
        <f>VLOOKUP(Data[[#This Row],[DEVELOPMENT]],'[2]NYCHA_Development_Data_Book 201'!$B$2:$AY$324,40,FALSE)</f>
        <v>MANHATTAN</v>
      </c>
      <c r="C294" t="str">
        <f>VLOOKUP(Data[[#This Row],[DEVELOPMENT]],'[3]Cheat-Sheet'!$D$2:$Q$341,2,FALSE)</f>
        <v>VLADECK</v>
      </c>
      <c r="D294" t="str">
        <f>IF(VLOOKUP(Data[[#This Row],[DEVELOPMENT]],'[4]IC Categories'!$A$2:$G$325,3,FALSE)=0,"",VLOOKUP(Data[[#This Row],[DEVELOPMENT]],'[4]IC Categories'!$A$2:$G$325,3,FALSE))</f>
        <v/>
      </c>
      <c r="E294">
        <f>VLOOKUP(Data[[#This Row],[DEVELOPMENT]],'[2]NYCHA_Development_Data_Book 201'!$B$2:$AY$324,21,FALSE)</f>
        <v>4</v>
      </c>
      <c r="F294">
        <f>VLOOKUP(Data[[#This Row],[DEVELOPMENT]],'[2]NYCHA_Development_Data_Book 201'!$B$2:$AY$324,23,FALSE)</f>
        <v>8</v>
      </c>
      <c r="G294">
        <f>VLOOKUP(Data[[#This Row],[DEVELOPMENT]],'[2]NYCHA_Development_Data_Book 201'!$B$2:$AY$324,12,FALSE)</f>
        <v>240</v>
      </c>
      <c r="H294" t="s">
        <v>472</v>
      </c>
      <c r="I294" t="s">
        <v>471</v>
      </c>
      <c r="J294">
        <f>IFERROR(VLOOKUP(Data[[#This Row],[DEVELOPMENT]],[5]!Table1[[DEVELOPMENTS]:[Installation Date of Exterior Compactor]],4,FALSE),0)</f>
        <v>0</v>
      </c>
      <c r="K294" s="20">
        <f>IFERROR(VLOOKUP(Data[[#This Row],[DEVELOPMENT]],[5]!Table1[[DEVELOPMENTS]:[Installation Date of Exterior Compactor]],7,FALSE),0)</f>
        <v>0</v>
      </c>
      <c r="L294" s="42" t="str">
        <f>IF(Data[[#This Row],['# Interior Compactors]]=0,"",VLOOKUP(Data[[#This Row],[DEVELOPMENT]],[5]!Table1[[DEVELOPMENTS]:[Installation Date of Exterior Compactor]],5,FALSE))</f>
        <v/>
      </c>
      <c r="M294" s="43" t="str">
        <f>IF(Data[[#This Row],['# Exterior Compactors]]=0,"",VLOOKUP(Data[[#This Row],[DEVELOPMENT]],[5]!Table1[[DEVELOPMENTS]:[Installation Date of Exterior Compactor]],8,FALSE))</f>
        <v/>
      </c>
      <c r="N294">
        <f>Data[[#This Row],['# Interior Compactors]]</f>
        <v>0</v>
      </c>
      <c r="O294" s="20">
        <f>1</f>
        <v>1</v>
      </c>
      <c r="P294" s="20">
        <f>1</f>
        <v>1</v>
      </c>
      <c r="Q294" s="20">
        <f>1</f>
        <v>1</v>
      </c>
      <c r="R294" s="20">
        <f>1</f>
        <v>1</v>
      </c>
      <c r="S294" s="20">
        <f>1</f>
        <v>1</v>
      </c>
      <c r="T294" s="20">
        <f>Data[[#This Row],[DUs]]</f>
        <v>240</v>
      </c>
      <c r="U29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4" s="101">
        <f>VLOOKUP(Data[[#This Row],[DEVELOPMENT]],'[2]NYCHA_Development_Data_Book 201'!$B$2:$E$324,3,FALSE)</f>
        <v>7</v>
      </c>
      <c r="Y294" s="20" t="s">
        <v>473</v>
      </c>
      <c r="Z294" s="20">
        <f>IFERROR(VLOOKUP(Data[[#This Row],[TDS]],'[7]Static Ext by TDS'!$A$5:$E$120,2,FALSE),0)</f>
        <v>0</v>
      </c>
      <c r="AA294" s="20">
        <f>IFERROR(VLOOKUP(Data[[#This Row],[TDS]],'[7]Static Int by TDS'!$A$6:$O$305,2,FALSE),0)</f>
        <v>7</v>
      </c>
      <c r="AB294" s="20"/>
      <c r="AC294" s="20"/>
      <c r="AD294" s="20">
        <f>IFERROR(VLOOKUP(Data[[#This Row],[TDS]],'[7]Static Ext by TDS'!$A$5:$P$120,3,FALSE)+VLOOKUP(Data[[#This Row],[TDS]],'[7]Static Ext by TDS'!$A$5:$P$120,6,FALSE),0)</f>
        <v>0</v>
      </c>
      <c r="AE294" s="20">
        <f>IFERROR(VLOOKUP(Data[[#This Row],[TDS]],'[7]Static Int by TDS'!$A$6:$O$305,3,FALSE)+VLOOKUP(Data[[#This Row],[TDS]],'[7]Static Int by TDS'!$A$6:$O$305,6,FALSE),0)</f>
        <v>7</v>
      </c>
      <c r="AF294" s="20" t="str">
        <f>VLOOKUP(Data[[#This Row],[DEVELOPMENT]],[8]Developments!$A$2:$A$312,1,FALSE)</f>
        <v>VLADECK II</v>
      </c>
    </row>
    <row r="295" spans="1:32" x14ac:dyDescent="0.25">
      <c r="A295" t="s">
        <v>127</v>
      </c>
      <c r="B295" t="str">
        <f>VLOOKUP(Data[[#This Row],[DEVELOPMENT]],'[2]NYCHA_Development_Data_Book 201'!$B$2:$AY$324,40,FALSE)</f>
        <v>MANHATTAN</v>
      </c>
      <c r="C295" t="str">
        <f>VLOOKUP(Data[[#This Row],[DEVELOPMENT]],'[3]Cheat-Sheet'!$D$2:$Q$341,2,FALSE)</f>
        <v>WAGNER</v>
      </c>
      <c r="D295" t="str">
        <f>IF(VLOOKUP(Data[[#This Row],[DEVELOPMENT]],'[4]IC Categories'!$A$2:$G$325,3,FALSE)=0,"",VLOOKUP(Data[[#This Row],[DEVELOPMENT]],'[4]IC Categories'!$A$2:$G$325,3,FALSE))</f>
        <v/>
      </c>
      <c r="E295">
        <f>VLOOKUP(Data[[#This Row],[DEVELOPMENT]],'[2]NYCHA_Development_Data_Book 201'!$B$2:$AY$324,21,FALSE)</f>
        <v>22</v>
      </c>
      <c r="F295">
        <f>VLOOKUP(Data[[#This Row],[DEVELOPMENT]],'[2]NYCHA_Development_Data_Book 201'!$B$2:$AY$324,23,FALSE)</f>
        <v>22</v>
      </c>
      <c r="G295">
        <f>VLOOKUP(Data[[#This Row],[DEVELOPMENT]],'[2]NYCHA_Development_Data_Book 201'!$B$2:$AY$324,12,FALSE)</f>
        <v>2151</v>
      </c>
      <c r="H295" t="s">
        <v>470</v>
      </c>
      <c r="I295" t="s">
        <v>471</v>
      </c>
      <c r="J295">
        <f>IFERROR(VLOOKUP(Data[[#This Row],[DEVELOPMENT]],[5]!Table1[[DEVELOPMENTS]:[Installation Date of Exterior Compactor]],4,FALSE),0)</f>
        <v>0</v>
      </c>
      <c r="K295" s="20">
        <f>IFERROR(VLOOKUP(Data[[#This Row],[DEVELOPMENT]],[5]!Table1[[DEVELOPMENTS]:[Installation Date of Exterior Compactor]],7,FALSE),0)</f>
        <v>0</v>
      </c>
      <c r="L295" s="42" t="str">
        <f>IF(Data[[#This Row],['# Interior Compactors]]=0,"",VLOOKUP(Data[[#This Row],[DEVELOPMENT]],[5]!Table1[[DEVELOPMENTS]:[Installation Date of Exterior Compactor]],5,FALSE))</f>
        <v/>
      </c>
      <c r="M295" s="43" t="str">
        <f>IF(Data[[#This Row],['# Exterior Compactors]]=0,"",VLOOKUP(Data[[#This Row],[DEVELOPMENT]],[5]!Table1[[DEVELOPMENTS]:[Installation Date of Exterior Compactor]],8,FALSE))</f>
        <v/>
      </c>
      <c r="N295">
        <f>Data[[#This Row],['# Interior Compactors]]</f>
        <v>0</v>
      </c>
      <c r="O295" s="20">
        <f>1</f>
        <v>1</v>
      </c>
      <c r="P295" s="20">
        <f>1</f>
        <v>1</v>
      </c>
      <c r="Q295" s="20">
        <f>1</f>
        <v>1</v>
      </c>
      <c r="R295" s="20">
        <f>1</f>
        <v>1</v>
      </c>
      <c r="S295" s="20">
        <f>1</f>
        <v>1</v>
      </c>
      <c r="T295" s="20">
        <f>Data[[#This Row],[DUs]]</f>
        <v>2151</v>
      </c>
      <c r="U29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5" s="101">
        <f>VLOOKUP(Data[[#This Row],[DEVELOPMENT]],'[2]NYCHA_Development_Data_Book 201'!$B$2:$E$324,3,FALSE)</f>
        <v>74</v>
      </c>
      <c r="Y295" s="20"/>
      <c r="Z295" s="20">
        <f>IFERROR(VLOOKUP(Data[[#This Row],[TDS]],'[7]Static Ext by TDS'!$A$5:$E$120,2,FALSE),0)</f>
        <v>4</v>
      </c>
      <c r="AA295" s="20">
        <f>IFERROR(VLOOKUP(Data[[#This Row],[TDS]],'[7]Static Int by TDS'!$A$6:$O$305,2,FALSE),0)</f>
        <v>22</v>
      </c>
      <c r="AB295" s="20"/>
      <c r="AC295" s="20"/>
      <c r="AD295" s="20">
        <f>IFERROR(VLOOKUP(Data[[#This Row],[TDS]],'[7]Static Ext by TDS'!$A$5:$P$120,3,FALSE)+VLOOKUP(Data[[#This Row],[TDS]],'[7]Static Ext by TDS'!$A$5:$P$120,6,FALSE),0)</f>
        <v>4</v>
      </c>
      <c r="AE295" s="20">
        <f>IFERROR(VLOOKUP(Data[[#This Row],[TDS]],'[7]Static Int by TDS'!$A$6:$O$305,3,FALSE)+VLOOKUP(Data[[#This Row],[TDS]],'[7]Static Int by TDS'!$A$6:$O$305,6,FALSE),0)</f>
        <v>22</v>
      </c>
      <c r="AF295" s="20" t="str">
        <f>VLOOKUP(Data[[#This Row],[DEVELOPMENT]],[8]Developments!$A$2:$A$312,1,FALSE)</f>
        <v>WAGNER</v>
      </c>
    </row>
    <row r="296" spans="1:32" x14ac:dyDescent="0.25">
      <c r="A296" s="17" t="s">
        <v>66</v>
      </c>
      <c r="B296" s="17" t="str">
        <f>VLOOKUP(Data[[#This Row],[DEVELOPMENT]],'[2]NYCHA_Development_Data_Book 201'!$B$2:$AY$324,40,FALSE)</f>
        <v>MANHATTAN</v>
      </c>
      <c r="C296" t="str">
        <f>VLOOKUP(Data[[#This Row],[DEVELOPMENT]],'[3]Cheat-Sheet'!$D$2:$Q$341,2,FALSE)</f>
        <v>WALD</v>
      </c>
      <c r="D296" t="str">
        <f>IF(VLOOKUP(Data[[#This Row],[DEVELOPMENT]],'[4]IC Categories'!$A$2:$G$325,3,FALSE)=0,"",VLOOKUP(Data[[#This Row],[DEVELOPMENT]],'[4]IC Categories'!$A$2:$G$325,3,FALSE))</f>
        <v/>
      </c>
      <c r="E296">
        <f>VLOOKUP(Data[[#This Row],[DEVELOPMENT]],'[2]NYCHA_Development_Data_Book 201'!$B$2:$AY$324,21,FALSE)</f>
        <v>16</v>
      </c>
      <c r="F296">
        <f>VLOOKUP(Data[[#This Row],[DEVELOPMENT]],'[2]NYCHA_Development_Data_Book 201'!$B$2:$AY$324,23,FALSE)</f>
        <v>19</v>
      </c>
      <c r="G296">
        <f>VLOOKUP(Data[[#This Row],[DEVELOPMENT]],'[2]NYCHA_Development_Data_Book 201'!$B$2:$AY$324,12,FALSE)</f>
        <v>1861</v>
      </c>
      <c r="H296" t="s">
        <v>472</v>
      </c>
      <c r="I296" t="s">
        <v>471</v>
      </c>
      <c r="J296">
        <f>IFERROR(VLOOKUP(Data[[#This Row],[DEVELOPMENT]],[5]!Table1[[DEVELOPMENTS]:[Installation Date of Exterior Compactor]],4,FALSE),0)</f>
        <v>0</v>
      </c>
      <c r="K296" s="20">
        <f>IFERROR(VLOOKUP(Data[[#This Row],[DEVELOPMENT]],[5]!Table1[[DEVELOPMENTS]:[Installation Date of Exterior Compactor]],7,FALSE),0)</f>
        <v>0</v>
      </c>
      <c r="L296" s="42" t="str">
        <f>IF(Data[[#This Row],['# Interior Compactors]]=0,"",VLOOKUP(Data[[#This Row],[DEVELOPMENT]],[5]!Table1[[DEVELOPMENTS]:[Installation Date of Exterior Compactor]],5,FALSE))</f>
        <v/>
      </c>
      <c r="M296" s="43" t="str">
        <f>IF(Data[[#This Row],['# Exterior Compactors]]=0,"",VLOOKUP(Data[[#This Row],[DEVELOPMENT]],[5]!Table1[[DEVELOPMENTS]:[Installation Date of Exterior Compactor]],8,FALSE))</f>
        <v/>
      </c>
      <c r="N296">
        <f>Data[[#This Row],['# Interior Compactors]]</f>
        <v>0</v>
      </c>
      <c r="O296" s="20">
        <f>1</f>
        <v>1</v>
      </c>
      <c r="P296" s="20">
        <f>1</f>
        <v>1</v>
      </c>
      <c r="Q296" s="20">
        <f>1</f>
        <v>1</v>
      </c>
      <c r="R296" s="20">
        <f>1</f>
        <v>1</v>
      </c>
      <c r="S296" s="20">
        <f>1</f>
        <v>1</v>
      </c>
      <c r="T296" s="20">
        <f>Data[[#This Row],[DUs]]</f>
        <v>1861</v>
      </c>
      <c r="U29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6" s="101">
        <f>VLOOKUP(Data[[#This Row],[DEVELOPMENT]],'[2]NYCHA_Development_Data_Book 201'!$B$2:$E$324,3,FALSE)</f>
        <v>23</v>
      </c>
      <c r="Y296" s="20" t="s">
        <v>473</v>
      </c>
      <c r="Z296" s="20">
        <f>IFERROR(VLOOKUP(Data[[#This Row],[TDS]],'[7]Static Ext by TDS'!$A$5:$E$120,2,FALSE),0)</f>
        <v>3</v>
      </c>
      <c r="AA296" s="20">
        <f>IFERROR(VLOOKUP(Data[[#This Row],[TDS]],'[7]Static Int by TDS'!$A$6:$O$305,2,FALSE),0)</f>
        <v>17</v>
      </c>
      <c r="AB296" s="20"/>
      <c r="AC296" s="20"/>
      <c r="AD296" s="20">
        <f>IFERROR(VLOOKUP(Data[[#This Row],[TDS]],'[7]Static Ext by TDS'!$A$5:$P$120,3,FALSE)+VLOOKUP(Data[[#This Row],[TDS]],'[7]Static Ext by TDS'!$A$5:$P$120,6,FALSE),0)</f>
        <v>3</v>
      </c>
      <c r="AE296" s="20">
        <f>IFERROR(VLOOKUP(Data[[#This Row],[TDS]],'[7]Static Int by TDS'!$A$6:$O$305,3,FALSE)+VLOOKUP(Data[[#This Row],[TDS]],'[7]Static Int by TDS'!$A$6:$O$305,6,FALSE),0)</f>
        <v>17</v>
      </c>
      <c r="AF296" s="20" t="str">
        <f>VLOOKUP(Data[[#This Row],[DEVELOPMENT]],[8]Developments!$A$2:$A$312,1,FALSE)</f>
        <v>WALD</v>
      </c>
    </row>
    <row r="297" spans="1:32" x14ac:dyDescent="0.25">
      <c r="A297" t="s">
        <v>137</v>
      </c>
      <c r="B297" t="str">
        <f>VLOOKUP(Data[[#This Row],[DEVELOPMENT]],'[2]NYCHA_Development_Data_Book 201'!$B$2:$AY$324,40,FALSE)</f>
        <v>MANHATTAN</v>
      </c>
      <c r="C297" t="str">
        <f>VLOOKUP(Data[[#This Row],[DEVELOPMENT]],'[3]Cheat-Sheet'!$D$2:$Q$341,2,FALSE)</f>
        <v>WASHINGTON</v>
      </c>
      <c r="D297">
        <f>IF(VLOOKUP(Data[[#This Row],[DEVELOPMENT]],'[4]IC Categories'!$A$2:$G$325,3,FALSE)=0,"",VLOOKUP(Data[[#This Row],[DEVELOPMENT]],'[4]IC Categories'!$A$2:$G$325,3,FALSE))</f>
        <v>2023</v>
      </c>
      <c r="E297">
        <f>VLOOKUP(Data[[#This Row],[DEVELOPMENT]],'[2]NYCHA_Development_Data_Book 201'!$B$2:$AY$324,21,FALSE)</f>
        <v>14</v>
      </c>
      <c r="F297">
        <f>VLOOKUP(Data[[#This Row],[DEVELOPMENT]],'[2]NYCHA_Development_Data_Book 201'!$B$2:$AY$324,23,FALSE)</f>
        <v>18</v>
      </c>
      <c r="G297">
        <f>VLOOKUP(Data[[#This Row],[DEVELOPMENT]],'[2]NYCHA_Development_Data_Book 201'!$B$2:$AY$324,12,FALSE)</f>
        <v>1515</v>
      </c>
      <c r="H297" t="s">
        <v>470</v>
      </c>
      <c r="I297" t="s">
        <v>478</v>
      </c>
      <c r="J297">
        <f>IFERROR(VLOOKUP(Data[[#This Row],[DEVELOPMENT]],[5]!Table1[[DEVELOPMENTS]:[Installation Date of Exterior Compactor]],4,FALSE),0)</f>
        <v>0</v>
      </c>
      <c r="K297" s="20">
        <f>IFERROR(VLOOKUP(Data[[#This Row],[DEVELOPMENT]],[5]!Table1[[DEVELOPMENTS]:[Installation Date of Exterior Compactor]],7,FALSE),0)</f>
        <v>0</v>
      </c>
      <c r="L297" s="42" t="str">
        <f>IF(Data[[#This Row],['# Interior Compactors]]=0,"",VLOOKUP(Data[[#This Row],[DEVELOPMENT]],[5]!Table1[[DEVELOPMENTS]:[Installation Date of Exterior Compactor]],5,FALSE))</f>
        <v/>
      </c>
      <c r="M297" s="43" t="str">
        <f>IF(Data[[#This Row],['# Exterior Compactors]]=0,"",VLOOKUP(Data[[#This Row],[DEVELOPMENT]],[5]!Table1[[DEVELOPMENTS]:[Installation Date of Exterior Compactor]],8,FALSE))</f>
        <v/>
      </c>
      <c r="N297">
        <f>Data[[#This Row],['# Interior Compactors]]</f>
        <v>0</v>
      </c>
      <c r="O297" s="20">
        <f>1</f>
        <v>1</v>
      </c>
      <c r="P297" s="20">
        <f>1</f>
        <v>1</v>
      </c>
      <c r="Q297" s="20">
        <f>1</f>
        <v>1</v>
      </c>
      <c r="R297" s="20">
        <f>1</f>
        <v>1</v>
      </c>
      <c r="S297" s="20">
        <f>1</f>
        <v>1</v>
      </c>
      <c r="T297" s="20">
        <f>Data[[#This Row],[DUs]]</f>
        <v>1515</v>
      </c>
      <c r="U29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7" s="101">
        <f>VLOOKUP(Data[[#This Row],[DEVELOPMENT]],'[2]NYCHA_Development_Data_Book 201'!$B$2:$E$324,3,FALSE)</f>
        <v>62</v>
      </c>
      <c r="Y297" s="20"/>
      <c r="Z297" s="20">
        <f>IFERROR(VLOOKUP(Data[[#This Row],[TDS]],'[7]Static Ext by TDS'!$A$5:$E$120,2,FALSE),0)</f>
        <v>1</v>
      </c>
      <c r="AA297" s="20">
        <f>IFERROR(VLOOKUP(Data[[#This Row],[TDS]],'[7]Static Int by TDS'!$A$6:$O$305,2,FALSE),0)</f>
        <v>14</v>
      </c>
      <c r="AB297" s="20">
        <v>1</v>
      </c>
      <c r="AC297" s="20"/>
      <c r="AD297" s="20">
        <f>IFERROR(VLOOKUP(Data[[#This Row],[TDS]],'[7]Static Ext by TDS'!$A$5:$P$120,3,FALSE)+VLOOKUP(Data[[#This Row],[TDS]],'[7]Static Ext by TDS'!$A$5:$P$120,6,FALSE),0)</f>
        <v>1</v>
      </c>
      <c r="AE297" s="20">
        <f>IFERROR(VLOOKUP(Data[[#This Row],[TDS]],'[7]Static Int by TDS'!$A$6:$O$305,3,FALSE)+VLOOKUP(Data[[#This Row],[TDS]],'[7]Static Int by TDS'!$A$6:$O$305,6,FALSE),0)</f>
        <v>14</v>
      </c>
      <c r="AF297" s="20" t="str">
        <f>VLOOKUP(Data[[#This Row],[DEVELOPMENT]],[8]Developments!$A$2:$A$312,1,FALSE)</f>
        <v>WASHINGTON</v>
      </c>
    </row>
    <row r="298" spans="1:32" x14ac:dyDescent="0.25">
      <c r="A298" t="s">
        <v>340</v>
      </c>
      <c r="B298" s="20" t="str">
        <f>VLOOKUP(Data[[#This Row],[DEVELOPMENT]],'[2]NYCHA_Development_Data_Book 201'!$B$2:$AY$324,40,FALSE)</f>
        <v>MANHATTAN</v>
      </c>
      <c r="C298" s="20" t="str">
        <f>VLOOKUP(Data[[#This Row],[DEVELOPMENT]],'[3]Cheat-Sheet'!$D$2:$Q$341,2,FALSE)</f>
        <v>FORT WASHINGTON</v>
      </c>
      <c r="D298" s="20">
        <f>IF(VLOOKUP(Data[[#This Row],[DEVELOPMENT]],'[4]IC Categories'!$A$2:$G$325,3,FALSE)=0,"",VLOOKUP(Data[[#This Row],[DEVELOPMENT]],'[4]IC Categories'!$A$2:$G$325,3,FALSE))</f>
        <v>2019</v>
      </c>
      <c r="E298" s="20">
        <f>VLOOKUP(Data[[#This Row],[DEVELOPMENT]],'[2]NYCHA_Development_Data_Book 201'!$B$2:$AY$324,21,FALSE)</f>
        <v>5</v>
      </c>
      <c r="F298" s="20">
        <f>VLOOKUP(Data[[#This Row],[DEVELOPMENT]],'[2]NYCHA_Development_Data_Book 201'!$B$2:$AY$324,23,FALSE)</f>
        <v>6</v>
      </c>
      <c r="G298" s="20">
        <f>VLOOKUP(Data[[#This Row],[DEVELOPMENT]],'[2]NYCHA_Development_Data_Book 201'!$B$2:$AY$324,12,FALSE)</f>
        <v>215</v>
      </c>
      <c r="J298">
        <f>IFERROR(VLOOKUP(Data[[#This Row],[DEVELOPMENT]],[5]!Table1[[DEVELOPMENTS]:[Installation Date of Exterior Compactor]],4,FALSE),0)</f>
        <v>0</v>
      </c>
      <c r="K298" s="20">
        <f>IFERROR(VLOOKUP(Data[[#This Row],[DEVELOPMENT]],[5]!Table1[[DEVELOPMENTS]:[Installation Date of Exterior Compactor]],7,FALSE),0)</f>
        <v>0</v>
      </c>
      <c r="L298" s="42" t="str">
        <f>IF(Data[[#This Row],['# Interior Compactors]]=0,"",VLOOKUP(Data[[#This Row],[DEVELOPMENT]],[5]!Table1[[DEVELOPMENTS]:[Installation Date of Exterior Compactor]],5,FALSE))</f>
        <v/>
      </c>
      <c r="M298" s="43" t="str">
        <f>IF(Data[[#This Row],['# Exterior Compactors]]=0,"",VLOOKUP(Data[[#This Row],[DEVELOPMENT]],[5]!Table1[[DEVELOPMENTS]:[Installation Date of Exterior Compactor]],8,FALSE))</f>
        <v/>
      </c>
      <c r="N298" s="20">
        <f>Data[[#This Row],['# Interior Compactors]]</f>
        <v>0</v>
      </c>
      <c r="O298" s="20">
        <f>1</f>
        <v>1</v>
      </c>
      <c r="P298" s="20">
        <f>1</f>
        <v>1</v>
      </c>
      <c r="Q298" s="20">
        <f>1</f>
        <v>1</v>
      </c>
      <c r="R298" s="20">
        <f>1</f>
        <v>1</v>
      </c>
      <c r="S298" s="20">
        <f>1</f>
        <v>1</v>
      </c>
      <c r="T298" s="20">
        <f>Data[[#This Row],[DUs]]</f>
        <v>215</v>
      </c>
      <c r="U29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8" s="101">
        <f>VLOOKUP(Data[[#This Row],[DEVELOPMENT]],'[2]NYCHA_Development_Data_Book 201'!$B$2:$E$324,3,FALSE)</f>
        <v>293</v>
      </c>
      <c r="Y298" s="20"/>
      <c r="Z298" s="20">
        <f>IFERROR(VLOOKUP(Data[[#This Row],[TDS]],'[7]Static Ext by TDS'!$A$5:$E$120,2,FALSE),0)</f>
        <v>0</v>
      </c>
      <c r="AA298" s="20">
        <f>IFERROR(VLOOKUP(Data[[#This Row],[TDS]],'[7]Static Int by TDS'!$A$6:$O$305,2,FALSE),0)</f>
        <v>6</v>
      </c>
      <c r="AB298" s="20"/>
      <c r="AC298" s="20"/>
      <c r="AD298" s="20">
        <f>IFERROR(VLOOKUP(Data[[#This Row],[TDS]],'[7]Static Ext by TDS'!$A$5:$P$120,3,FALSE)+VLOOKUP(Data[[#This Row],[TDS]],'[7]Static Ext by TDS'!$A$5:$P$120,6,FALSE),0)</f>
        <v>0</v>
      </c>
      <c r="AE298" s="20">
        <f>IFERROR(VLOOKUP(Data[[#This Row],[TDS]],'[7]Static Int by TDS'!$A$6:$O$305,3,FALSE)+VLOOKUP(Data[[#This Row],[TDS]],'[7]Static Int by TDS'!$A$6:$O$305,6,FALSE),0)</f>
        <v>6</v>
      </c>
      <c r="AF298" s="20" t="str">
        <f>VLOOKUP(Data[[#This Row],[DEVELOPMENT]],[8]Developments!$A$2:$A$312,1,FALSE)</f>
        <v>WASHINGTON HEIGHTS REHAB (GROUPS 1&amp;2)</v>
      </c>
    </row>
    <row r="299" spans="1:32" x14ac:dyDescent="0.25">
      <c r="A299" t="s">
        <v>101</v>
      </c>
      <c r="B299" t="str">
        <f>VLOOKUP(Data[[#This Row],[DEVELOPMENT]],'[2]NYCHA_Development_Data_Book 201'!$B$2:$AY$324,40,FALSE)</f>
        <v>MANHATTAN</v>
      </c>
      <c r="C299" t="s">
        <v>117</v>
      </c>
      <c r="D299">
        <f>IF(VLOOKUP(Data[[#This Row],[DEVELOPMENT]],'[4]IC Categories'!$A$2:$G$325,3,FALSE)=0,"",VLOOKUP(Data[[#This Row],[DEVELOPMENT]],'[4]IC Categories'!$A$2:$G$325,3,FALSE))</f>
        <v>2019</v>
      </c>
      <c r="E299">
        <f>VLOOKUP(Data[[#This Row],[DEVELOPMENT]],'[2]NYCHA_Development_Data_Book 201'!$B$2:$AY$324,21,FALSE)</f>
        <v>8</v>
      </c>
      <c r="F299">
        <f>VLOOKUP(Data[[#This Row],[DEVELOPMENT]],'[2]NYCHA_Development_Data_Book 201'!$B$2:$AY$324,23,FALSE)</f>
        <v>8</v>
      </c>
      <c r="G299">
        <f>VLOOKUP(Data[[#This Row],[DEVELOPMENT]],'[2]NYCHA_Development_Data_Book 201'!$B$2:$AY$324,12,FALSE)</f>
        <v>102</v>
      </c>
      <c r="H299" t="s">
        <v>474</v>
      </c>
      <c r="I299" t="s">
        <v>471</v>
      </c>
      <c r="J299">
        <f>IFERROR(VLOOKUP(Data[[#This Row],[DEVELOPMENT]],[5]!Table1[[DEVELOPMENTS]:[Installation Date of Exterior Compactor]],4,FALSE),0)</f>
        <v>0</v>
      </c>
      <c r="K299" s="20">
        <f>IFERROR(VLOOKUP(Data[[#This Row],[DEVELOPMENT]],[5]!Table1[[DEVELOPMENTS]:[Installation Date of Exterior Compactor]],7,FALSE),0)</f>
        <v>0</v>
      </c>
      <c r="L299" s="42" t="str">
        <f>IF(Data[[#This Row],['# Interior Compactors]]=0,"",VLOOKUP(Data[[#This Row],[DEVELOPMENT]],[5]!Table1[[DEVELOPMENTS]:[Installation Date of Exterior Compactor]],5,FALSE))</f>
        <v/>
      </c>
      <c r="M299" s="43" t="str">
        <f>IF(Data[[#This Row],['# Exterior Compactors]]=0,"",VLOOKUP(Data[[#This Row],[DEVELOPMENT]],[5]!Table1[[DEVELOPMENTS]:[Installation Date of Exterior Compactor]],8,FALSE))</f>
        <v/>
      </c>
      <c r="N299">
        <f>Data[[#This Row],['# Interior Compactors]]</f>
        <v>0</v>
      </c>
      <c r="O299" s="20">
        <f>1</f>
        <v>1</v>
      </c>
      <c r="P299" s="20">
        <f>1</f>
        <v>1</v>
      </c>
      <c r="Q299" s="20">
        <f>1</f>
        <v>1</v>
      </c>
      <c r="R299" s="20">
        <f>1</f>
        <v>1</v>
      </c>
      <c r="S299" s="20">
        <f>1</f>
        <v>1</v>
      </c>
      <c r="T299" s="20">
        <f>Data[[#This Row],[DUs]]</f>
        <v>102</v>
      </c>
      <c r="U29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29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29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299" s="101" t="str">
        <f>VLOOKUP(Data[[#This Row],[DEVELOPMENT]],'[2]NYCHA_Development_Data_Book 201'!$B$2:$E$324,3,FALSE)</f>
        <v>329, 523</v>
      </c>
      <c r="Y299" s="20"/>
      <c r="Z299" s="20">
        <f>IFERROR(VLOOKUP(Data[[#This Row],[TDS]],'[7]Static Ext by TDS'!$A$5:$E$120,2,FALSE),0)</f>
        <v>0</v>
      </c>
      <c r="AA299" s="20">
        <f>IFERROR(VLOOKUP(Data[[#This Row],[TDS]],'[7]Static Int by TDS'!$A$6:$O$305,2,FALSE),0)</f>
        <v>0</v>
      </c>
      <c r="AB299" s="20"/>
      <c r="AC299" s="20"/>
      <c r="AD299" s="20">
        <f>IFERROR(VLOOKUP(Data[[#This Row],[TDS]],'[7]Static Ext by TDS'!$A$5:$P$120,3,FALSE)+VLOOKUP(Data[[#This Row],[TDS]],'[7]Static Ext by TDS'!$A$5:$P$120,6,FALSE),0)</f>
        <v>0</v>
      </c>
      <c r="AE299" s="20">
        <f>IFERROR(VLOOKUP(Data[[#This Row],[TDS]],'[7]Static Int by TDS'!$A$6:$O$305,3,FALSE)+VLOOKUP(Data[[#This Row],[TDS]],'[7]Static Int by TDS'!$A$6:$O$305,6,FALSE),0)</f>
        <v>0</v>
      </c>
      <c r="AF299" s="20" t="e">
        <f>VLOOKUP(Data[[#This Row],[DEVELOPMENT]],[8]Developments!$A$2:$A$312,1,FALSE)</f>
        <v>#N/A</v>
      </c>
    </row>
    <row r="300" spans="1:32" x14ac:dyDescent="0.25">
      <c r="A300" t="s">
        <v>341</v>
      </c>
      <c r="B300" s="20" t="str">
        <f>VLOOKUP(Data[[#This Row],[DEVELOPMENT]],'[2]NYCHA_Development_Data_Book 201'!$B$2:$AY$324,40,FALSE)</f>
        <v>MANHATTAN</v>
      </c>
      <c r="C300" s="20" t="e">
        <f>VLOOKUP(Data[[#This Row],[DEVELOPMENT]],'[3]Cheat-Sheet'!$D$2:$Q$341,2,FALSE)</f>
        <v>#N/A</v>
      </c>
      <c r="D300" s="20" t="e">
        <f>IF(VLOOKUP(Data[[#This Row],[DEVELOPMENT]],'[4]IC Categories'!$A$2:$G$325,3,FALSE)=0,"",VLOOKUP(Data[[#This Row],[DEVELOPMENT]],'[4]IC Categories'!$A$2:$G$325,3,FALSE))</f>
        <v>#N/A</v>
      </c>
      <c r="E300" s="20">
        <f>VLOOKUP(Data[[#This Row],[DEVELOPMENT]],'[2]NYCHA_Development_Data_Book 201'!$B$2:$AY$324,21,FALSE)</f>
        <v>7</v>
      </c>
      <c r="F300" s="20">
        <f>VLOOKUP(Data[[#This Row],[DEVELOPMENT]],'[2]NYCHA_Development_Data_Book 201'!$B$2:$AY$324,23,FALSE)</f>
        <v>7</v>
      </c>
      <c r="G300" s="20">
        <f>VLOOKUP(Data[[#This Row],[DEVELOPMENT]],'[2]NYCHA_Development_Data_Book 201'!$B$2:$AY$324,12,FALSE)</f>
        <v>88</v>
      </c>
      <c r="J300">
        <f>IFERROR(VLOOKUP(Data[[#This Row],[DEVELOPMENT]],[5]!Table1[[DEVELOPMENTS]:[Installation Date of Exterior Compactor]],4,FALSE),0)</f>
        <v>0</v>
      </c>
      <c r="K300" s="20">
        <f>IFERROR(VLOOKUP(Data[[#This Row],[DEVELOPMENT]],[5]!Table1[[DEVELOPMENTS]:[Installation Date of Exterior Compactor]],7,FALSE),0)</f>
        <v>0</v>
      </c>
      <c r="L300" s="42" t="str">
        <f>IF(Data[[#This Row],['# Interior Compactors]]=0,"",VLOOKUP(Data[[#This Row],[DEVELOPMENT]],[5]!Table1[[DEVELOPMENTS]:[Installation Date of Exterior Compactor]],5,FALSE))</f>
        <v/>
      </c>
      <c r="M300" s="43" t="str">
        <f>IF(Data[[#This Row],['# Exterior Compactors]]=0,"",VLOOKUP(Data[[#This Row],[DEVELOPMENT]],[5]!Table1[[DEVELOPMENTS]:[Installation Date of Exterior Compactor]],8,FALSE))</f>
        <v/>
      </c>
      <c r="N300" s="20">
        <f>Data[[#This Row],['# Interior Compactors]]</f>
        <v>0</v>
      </c>
      <c r="O300" s="20">
        <f>1</f>
        <v>1</v>
      </c>
      <c r="P300" s="20">
        <f>1</f>
        <v>1</v>
      </c>
      <c r="Q300" s="20">
        <f>1</f>
        <v>1</v>
      </c>
      <c r="R300" s="20">
        <f>1</f>
        <v>1</v>
      </c>
      <c r="S300" s="20">
        <f>1</f>
        <v>1</v>
      </c>
      <c r="T300" s="20">
        <f>Data[[#This Row],[DUs]]</f>
        <v>88</v>
      </c>
      <c r="U30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0" s="101">
        <f>VLOOKUP(Data[[#This Row],[DEVELOPMENT]],'[2]NYCHA_Development_Data_Book 201'!$B$2:$E$324,3,FALSE)</f>
        <v>523</v>
      </c>
      <c r="Y300" s="20"/>
      <c r="Z300" s="20">
        <f>IFERROR(VLOOKUP(Data[[#This Row],[TDS]],'[7]Static Ext by TDS'!$A$5:$E$120,2,FALSE),0)</f>
        <v>0</v>
      </c>
      <c r="AA300" s="20">
        <f>IFERROR(VLOOKUP(Data[[#This Row],[TDS]],'[7]Static Int by TDS'!$A$6:$O$305,2,FALSE),0)</f>
        <v>3</v>
      </c>
      <c r="AB300" s="20"/>
      <c r="AC300" s="20"/>
      <c r="AD300" s="20">
        <f>IFERROR(VLOOKUP(Data[[#This Row],[TDS]],'[7]Static Ext by TDS'!$A$5:$P$120,3,FALSE)+VLOOKUP(Data[[#This Row],[TDS]],'[7]Static Ext by TDS'!$A$5:$P$120,6,FALSE),0)</f>
        <v>0</v>
      </c>
      <c r="AE300" s="20">
        <f>IFERROR(VLOOKUP(Data[[#This Row],[TDS]],'[7]Static Int by TDS'!$A$6:$O$305,3,FALSE)+VLOOKUP(Data[[#This Row],[TDS]],'[7]Static Int by TDS'!$A$6:$O$305,6,FALSE),0)</f>
        <v>3</v>
      </c>
      <c r="AF300" s="20" t="str">
        <f>VLOOKUP(Data[[#This Row],[DEVELOPMENT]],[8]Developments!$A$2:$A$312,1,FALSE)</f>
        <v>WASHINGTON HEIGHTS REHAB PHASE III (FORT WASHINGTON)</v>
      </c>
    </row>
    <row r="301" spans="1:32" x14ac:dyDescent="0.25">
      <c r="A301" t="s">
        <v>342</v>
      </c>
      <c r="B301" s="20" t="str">
        <f>VLOOKUP(Data[[#This Row],[DEVELOPMENT]],'[2]NYCHA_Development_Data_Book 201'!$B$2:$AY$324,40,FALSE)</f>
        <v>MANHATTAN</v>
      </c>
      <c r="C301" s="20" t="e">
        <f>VLOOKUP(Data[[#This Row],[DEVELOPMENT]],'[3]Cheat-Sheet'!$D$2:$Q$341,2,FALSE)</f>
        <v>#N/A</v>
      </c>
      <c r="D301" s="20" t="e">
        <f>IF(VLOOKUP(Data[[#This Row],[DEVELOPMENT]],'[4]IC Categories'!$A$2:$G$325,3,FALSE)=0,"",VLOOKUP(Data[[#This Row],[DEVELOPMENT]],'[4]IC Categories'!$A$2:$G$325,3,FALSE))</f>
        <v>#N/A</v>
      </c>
      <c r="E301" s="20">
        <f>VLOOKUP(Data[[#This Row],[DEVELOPMENT]],'[2]NYCHA_Development_Data_Book 201'!$B$2:$AY$324,21,FALSE)</f>
        <v>1</v>
      </c>
      <c r="F301" s="20">
        <f>VLOOKUP(Data[[#This Row],[DEVELOPMENT]],'[2]NYCHA_Development_Data_Book 201'!$B$2:$AY$324,23,FALSE)</f>
        <v>1</v>
      </c>
      <c r="G301" s="20">
        <f>VLOOKUP(Data[[#This Row],[DEVELOPMENT]],'[2]NYCHA_Development_Data_Book 201'!$B$2:$AY$324,12,FALSE)</f>
        <v>14</v>
      </c>
      <c r="J301">
        <f>IFERROR(VLOOKUP(Data[[#This Row],[DEVELOPMENT]],[5]!Table1[[DEVELOPMENTS]:[Installation Date of Exterior Compactor]],4,FALSE),0)</f>
        <v>0</v>
      </c>
      <c r="K301" s="20">
        <f>IFERROR(VLOOKUP(Data[[#This Row],[DEVELOPMENT]],[5]!Table1[[DEVELOPMENTS]:[Installation Date of Exterior Compactor]],7,FALSE),0)</f>
        <v>0</v>
      </c>
      <c r="L301" s="42" t="str">
        <f>IF(Data[[#This Row],['# Interior Compactors]]=0,"",VLOOKUP(Data[[#This Row],[DEVELOPMENT]],[5]!Table1[[DEVELOPMENTS]:[Installation Date of Exterior Compactor]],5,FALSE))</f>
        <v/>
      </c>
      <c r="M301" s="43" t="str">
        <f>IF(Data[[#This Row],['# Exterior Compactors]]=0,"",VLOOKUP(Data[[#This Row],[DEVELOPMENT]],[5]!Table1[[DEVELOPMENTS]:[Installation Date of Exterior Compactor]],8,FALSE))</f>
        <v/>
      </c>
      <c r="N301" s="20">
        <f>Data[[#This Row],['# Interior Compactors]]</f>
        <v>0</v>
      </c>
      <c r="O301" s="20">
        <f>1</f>
        <v>1</v>
      </c>
      <c r="P301" s="20">
        <f>1</f>
        <v>1</v>
      </c>
      <c r="Q301" s="20">
        <f>1</f>
        <v>1</v>
      </c>
      <c r="R301" s="20">
        <f>1</f>
        <v>1</v>
      </c>
      <c r="S301" s="20">
        <f>1</f>
        <v>1</v>
      </c>
      <c r="T301" s="20">
        <f>Data[[#This Row],[DUs]]</f>
        <v>14</v>
      </c>
      <c r="U30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1" s="101">
        <f>VLOOKUP(Data[[#This Row],[DEVELOPMENT]],'[2]NYCHA_Development_Data_Book 201'!$B$2:$E$324,3,FALSE)</f>
        <v>329</v>
      </c>
      <c r="Y301" s="20"/>
      <c r="Z301" s="20">
        <f>IFERROR(VLOOKUP(Data[[#This Row],[TDS]],'[7]Static Ext by TDS'!$A$5:$E$120,2,FALSE),0)</f>
        <v>0</v>
      </c>
      <c r="AA301" s="20">
        <f>IFERROR(VLOOKUP(Data[[#This Row],[TDS]],'[7]Static Int by TDS'!$A$6:$O$305,2,FALSE),0)</f>
        <v>1</v>
      </c>
      <c r="AB301" s="20"/>
      <c r="AC301" s="20"/>
      <c r="AD301" s="20">
        <f>IFERROR(VLOOKUP(Data[[#This Row],[TDS]],'[7]Static Ext by TDS'!$A$5:$P$120,3,FALSE)+VLOOKUP(Data[[#This Row],[TDS]],'[7]Static Ext by TDS'!$A$5:$P$120,6,FALSE),0)</f>
        <v>0</v>
      </c>
      <c r="AE301" s="20">
        <f>IFERROR(VLOOKUP(Data[[#This Row],[TDS]],'[7]Static Int by TDS'!$A$6:$O$305,3,FALSE)+VLOOKUP(Data[[#This Row],[TDS]],'[7]Static Int by TDS'!$A$6:$O$305,6,FALSE),0)</f>
        <v>1</v>
      </c>
      <c r="AF301" s="20" t="str">
        <f>VLOOKUP(Data[[#This Row],[DEVELOPMENT]],[8]Developments!$A$2:$A$312,1,FALSE)</f>
        <v>WASHINGTON HEIGHTS REHAB PHASE III (HARLEM RIVER)</v>
      </c>
    </row>
    <row r="302" spans="1:32" x14ac:dyDescent="0.25">
      <c r="A302" t="s">
        <v>343</v>
      </c>
      <c r="B302" s="20" t="str">
        <f>VLOOKUP(Data[[#This Row],[DEVELOPMENT]],'[2]NYCHA_Development_Data_Book 201'!$B$2:$AY$324,40,FALSE)</f>
        <v>MANHATTAN</v>
      </c>
      <c r="C302" s="20" t="str">
        <f>VLOOKUP(Data[[#This Row],[DEVELOPMENT]],'[3]Cheat-Sheet'!$D$2:$Q$341,2,FALSE)</f>
        <v>FORT WASHINGTON</v>
      </c>
      <c r="D302" s="20">
        <f>IF(VLOOKUP(Data[[#This Row],[DEVELOPMENT]],'[4]IC Categories'!$A$2:$G$325,3,FALSE)=0,"",VLOOKUP(Data[[#This Row],[DEVELOPMENT]],'[4]IC Categories'!$A$2:$G$325,3,FALSE))</f>
        <v>2019</v>
      </c>
      <c r="E302" s="20">
        <f>VLOOKUP(Data[[#This Row],[DEVELOPMENT]],'[2]NYCHA_Development_Data_Book 201'!$B$2:$AY$324,21,FALSE)</f>
        <v>2</v>
      </c>
      <c r="F302" s="20">
        <f>VLOOKUP(Data[[#This Row],[DEVELOPMENT]],'[2]NYCHA_Development_Data_Book 201'!$B$2:$AY$324,23,FALSE)</f>
        <v>2</v>
      </c>
      <c r="G302" s="20">
        <f>VLOOKUP(Data[[#This Row],[DEVELOPMENT]],'[2]NYCHA_Development_Data_Book 201'!$B$2:$AY$324,12,FALSE)</f>
        <v>32</v>
      </c>
      <c r="J302">
        <f>IFERROR(VLOOKUP(Data[[#This Row],[DEVELOPMENT]],[5]!Table1[[DEVELOPMENTS]:[Installation Date of Exterior Compactor]],4,FALSE),0)</f>
        <v>0</v>
      </c>
      <c r="K302" s="20">
        <f>IFERROR(VLOOKUP(Data[[#This Row],[DEVELOPMENT]],[5]!Table1[[DEVELOPMENTS]:[Installation Date of Exterior Compactor]],7,FALSE),0)</f>
        <v>0</v>
      </c>
      <c r="L302" s="42" t="str">
        <f>IF(Data[[#This Row],['# Interior Compactors]]=0,"",VLOOKUP(Data[[#This Row],[DEVELOPMENT]],[5]!Table1[[DEVELOPMENTS]:[Installation Date of Exterior Compactor]],5,FALSE))</f>
        <v/>
      </c>
      <c r="M302" s="43" t="str">
        <f>IF(Data[[#This Row],['# Exterior Compactors]]=0,"",VLOOKUP(Data[[#This Row],[DEVELOPMENT]],[5]!Table1[[DEVELOPMENTS]:[Installation Date of Exterior Compactor]],8,FALSE))</f>
        <v/>
      </c>
      <c r="N302" s="20">
        <f>Data[[#This Row],['# Interior Compactors]]</f>
        <v>0</v>
      </c>
      <c r="O302" s="20">
        <f>1</f>
        <v>1</v>
      </c>
      <c r="P302" s="20">
        <f>1</f>
        <v>1</v>
      </c>
      <c r="Q302" s="20">
        <f>1</f>
        <v>1</v>
      </c>
      <c r="R302" s="20">
        <f>1</f>
        <v>1</v>
      </c>
      <c r="S302" s="20">
        <f>1</f>
        <v>1</v>
      </c>
      <c r="T302" s="20">
        <f>Data[[#This Row],[DUs]]</f>
        <v>32</v>
      </c>
      <c r="U30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2" s="101">
        <f>VLOOKUP(Data[[#This Row],[DEVELOPMENT]],'[2]NYCHA_Development_Data_Book 201'!$B$2:$E$324,3,FALSE)</f>
        <v>330</v>
      </c>
      <c r="Y302" s="20"/>
      <c r="Z302" s="20">
        <f>IFERROR(VLOOKUP(Data[[#This Row],[TDS]],'[7]Static Ext by TDS'!$A$5:$E$120,2,FALSE),0)</f>
        <v>0</v>
      </c>
      <c r="AA302" s="20">
        <f>IFERROR(VLOOKUP(Data[[#This Row],[TDS]],'[7]Static Int by TDS'!$A$6:$O$305,2,FALSE),0)</f>
        <v>2</v>
      </c>
      <c r="AB302" s="20"/>
      <c r="AC302" s="20"/>
      <c r="AD302" s="20">
        <f>IFERROR(VLOOKUP(Data[[#This Row],[TDS]],'[7]Static Ext by TDS'!$A$5:$P$120,3,FALSE)+VLOOKUP(Data[[#This Row],[TDS]],'[7]Static Ext by TDS'!$A$5:$P$120,6,FALSE),0)</f>
        <v>0</v>
      </c>
      <c r="AE302" s="20">
        <f>IFERROR(VLOOKUP(Data[[#This Row],[TDS]],'[7]Static Int by TDS'!$A$6:$O$305,3,FALSE)+VLOOKUP(Data[[#This Row],[TDS]],'[7]Static Int by TDS'!$A$6:$O$305,6,FALSE),0)</f>
        <v>2</v>
      </c>
      <c r="AF302" s="20" t="str">
        <f>VLOOKUP(Data[[#This Row],[DEVELOPMENT]],[8]Developments!$A$2:$A$312,1,FALSE)</f>
        <v>WASHINGTON HEIGHTS REHAB PHASE IV (C)</v>
      </c>
    </row>
    <row r="303" spans="1:32" x14ac:dyDescent="0.25">
      <c r="A303" t="s">
        <v>344</v>
      </c>
      <c r="B303" s="20" t="str">
        <f>VLOOKUP(Data[[#This Row],[DEVELOPMENT]],'[2]NYCHA_Development_Data_Book 201'!$B$2:$AY$324,40,FALSE)</f>
        <v>MANHATTAN</v>
      </c>
      <c r="C303" s="20" t="str">
        <f>VLOOKUP(Data[[#This Row],[DEVELOPMENT]],'[3]Cheat-Sheet'!$D$2:$Q$341,2,FALSE)</f>
        <v>FORT WASHINGTON</v>
      </c>
      <c r="D303" s="20">
        <f>IF(VLOOKUP(Data[[#This Row],[DEVELOPMENT]],'[4]IC Categories'!$A$2:$G$325,3,FALSE)=0,"",VLOOKUP(Data[[#This Row],[DEVELOPMENT]],'[4]IC Categories'!$A$2:$G$325,3,FALSE))</f>
        <v>2019</v>
      </c>
      <c r="E303" s="20">
        <f>VLOOKUP(Data[[#This Row],[DEVELOPMENT]],'[2]NYCHA_Development_Data_Book 201'!$B$2:$AY$324,21,FALSE)</f>
        <v>2</v>
      </c>
      <c r="F303" s="20">
        <f>VLOOKUP(Data[[#This Row],[DEVELOPMENT]],'[2]NYCHA_Development_Data_Book 201'!$B$2:$AY$324,23,FALSE)</f>
        <v>2</v>
      </c>
      <c r="G303" s="20">
        <f>VLOOKUP(Data[[#This Row],[DEVELOPMENT]],'[2]NYCHA_Development_Data_Book 201'!$B$2:$AY$324,12,FALSE)</f>
        <v>32</v>
      </c>
      <c r="J303">
        <f>IFERROR(VLOOKUP(Data[[#This Row],[DEVELOPMENT]],[5]!Table1[[DEVELOPMENTS]:[Installation Date of Exterior Compactor]],4,FALSE),0)</f>
        <v>0</v>
      </c>
      <c r="K303" s="20">
        <f>IFERROR(VLOOKUP(Data[[#This Row],[DEVELOPMENT]],[5]!Table1[[DEVELOPMENTS]:[Installation Date of Exterior Compactor]],7,FALSE),0)</f>
        <v>0</v>
      </c>
      <c r="L303" s="42" t="str">
        <f>IF(Data[[#This Row],['# Interior Compactors]]=0,"",VLOOKUP(Data[[#This Row],[DEVELOPMENT]],[5]!Table1[[DEVELOPMENTS]:[Installation Date of Exterior Compactor]],5,FALSE))</f>
        <v/>
      </c>
      <c r="M303" s="43" t="str">
        <f>IF(Data[[#This Row],['# Exterior Compactors]]=0,"",VLOOKUP(Data[[#This Row],[DEVELOPMENT]],[5]!Table1[[DEVELOPMENTS]:[Installation Date of Exterior Compactor]],8,FALSE))</f>
        <v/>
      </c>
      <c r="N303" s="20">
        <f>Data[[#This Row],['# Interior Compactors]]</f>
        <v>0</v>
      </c>
      <c r="O303" s="20">
        <f>1</f>
        <v>1</v>
      </c>
      <c r="P303" s="20">
        <f>1</f>
        <v>1</v>
      </c>
      <c r="Q303" s="20">
        <f>1</f>
        <v>1</v>
      </c>
      <c r="R303" s="20">
        <f>1</f>
        <v>1</v>
      </c>
      <c r="S303" s="20">
        <f>1</f>
        <v>1</v>
      </c>
      <c r="T303" s="20">
        <f>Data[[#This Row],[DUs]]</f>
        <v>32</v>
      </c>
      <c r="U30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3" s="101">
        <f>VLOOKUP(Data[[#This Row],[DEVELOPMENT]],'[2]NYCHA_Development_Data_Book 201'!$B$2:$E$324,3,FALSE)</f>
        <v>331</v>
      </c>
      <c r="Y303" s="20"/>
      <c r="Z303" s="20">
        <f>IFERROR(VLOOKUP(Data[[#This Row],[TDS]],'[7]Static Ext by TDS'!$A$5:$E$120,2,FALSE),0)</f>
        <v>0</v>
      </c>
      <c r="AA303" s="20">
        <f>IFERROR(VLOOKUP(Data[[#This Row],[TDS]],'[7]Static Int by TDS'!$A$6:$O$305,2,FALSE),0)</f>
        <v>2</v>
      </c>
      <c r="AB303" s="20"/>
      <c r="AC303" s="20"/>
      <c r="AD303" s="20">
        <f>IFERROR(VLOOKUP(Data[[#This Row],[TDS]],'[7]Static Ext by TDS'!$A$5:$P$120,3,FALSE)+VLOOKUP(Data[[#This Row],[TDS]],'[7]Static Ext by TDS'!$A$5:$P$120,6,FALSE),0)</f>
        <v>0</v>
      </c>
      <c r="AE303" s="20">
        <f>IFERROR(VLOOKUP(Data[[#This Row],[TDS]],'[7]Static Int by TDS'!$A$6:$O$305,3,FALSE)+VLOOKUP(Data[[#This Row],[TDS]],'[7]Static Int by TDS'!$A$6:$O$305,6,FALSE),0)</f>
        <v>2</v>
      </c>
      <c r="AF303" s="20" t="str">
        <f>VLOOKUP(Data[[#This Row],[DEVELOPMENT]],[8]Developments!$A$2:$A$312,1,FALSE)</f>
        <v>WASHINGTON HEIGHTS REHAB PHASE IV (D)</v>
      </c>
    </row>
    <row r="304" spans="1:32" x14ac:dyDescent="0.25">
      <c r="A304" s="17" t="s">
        <v>47</v>
      </c>
      <c r="B304" s="17" t="str">
        <f>VLOOKUP(Data[[#This Row],[DEVELOPMENT]],'[2]NYCHA_Development_Data_Book 201'!$B$2:$AY$324,40,FALSE)</f>
        <v>BRONX</v>
      </c>
      <c r="C304" t="str">
        <f>VLOOKUP(Data[[#This Row],[DEVELOPMENT]],'[3]Cheat-Sheet'!$D$2:$Q$341,2,FALSE)</f>
        <v>WEBSTER</v>
      </c>
      <c r="D304" t="str">
        <f>IF(VLOOKUP(Data[[#This Row],[DEVELOPMENT]],'[4]IC Categories'!$A$2:$G$325,3,FALSE)=0,"",VLOOKUP(Data[[#This Row],[DEVELOPMENT]],'[4]IC Categories'!$A$2:$G$325,3,FALSE))</f>
        <v/>
      </c>
      <c r="E304">
        <f>VLOOKUP(Data[[#This Row],[DEVELOPMENT]],'[2]NYCHA_Development_Data_Book 201'!$B$2:$AY$324,21,FALSE)</f>
        <v>5</v>
      </c>
      <c r="F304">
        <f>VLOOKUP(Data[[#This Row],[DEVELOPMENT]],'[2]NYCHA_Development_Data_Book 201'!$B$2:$AY$324,23,FALSE)</f>
        <v>6</v>
      </c>
      <c r="G304">
        <f>VLOOKUP(Data[[#This Row],[DEVELOPMENT]],'[2]NYCHA_Development_Data_Book 201'!$B$2:$AY$324,12,FALSE)</f>
        <v>606</v>
      </c>
      <c r="H304" t="s">
        <v>472</v>
      </c>
      <c r="I304" t="s">
        <v>471</v>
      </c>
      <c r="J304">
        <f>IFERROR(VLOOKUP(Data[[#This Row],[DEVELOPMENT]],[5]!Table1[[DEVELOPMENTS]:[Installation Date of Exterior Compactor]],4,FALSE),0)</f>
        <v>0</v>
      </c>
      <c r="K304" s="20">
        <f>IFERROR(VLOOKUP(Data[[#This Row],[DEVELOPMENT]],[5]!Table1[[DEVELOPMENTS]:[Installation Date of Exterior Compactor]],7,FALSE),0)</f>
        <v>0</v>
      </c>
      <c r="L304" s="42" t="str">
        <f>IF(Data[[#This Row],['# Interior Compactors]]=0,"",VLOOKUP(Data[[#This Row],[DEVELOPMENT]],[5]!Table1[[DEVELOPMENTS]:[Installation Date of Exterior Compactor]],5,FALSE))</f>
        <v/>
      </c>
      <c r="M304" s="43" t="str">
        <f>IF(Data[[#This Row],['# Exterior Compactors]]=0,"",VLOOKUP(Data[[#This Row],[DEVELOPMENT]],[5]!Table1[[DEVELOPMENTS]:[Installation Date of Exterior Compactor]],8,FALSE))</f>
        <v/>
      </c>
      <c r="N304">
        <f>Data[[#This Row],['# Interior Compactors]]</f>
        <v>0</v>
      </c>
      <c r="O304" s="20">
        <f>1</f>
        <v>1</v>
      </c>
      <c r="P304" s="20">
        <f>1</f>
        <v>1</v>
      </c>
      <c r="Q304" s="20">
        <f>1</f>
        <v>1</v>
      </c>
      <c r="R304" s="20">
        <f>1</f>
        <v>1</v>
      </c>
      <c r="S304" s="20">
        <f>1</f>
        <v>1</v>
      </c>
      <c r="T304" s="20">
        <f>Data[[#This Row],[DUs]]</f>
        <v>606</v>
      </c>
      <c r="U30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4" s="101">
        <f>VLOOKUP(Data[[#This Row],[DEVELOPMENT]],'[2]NYCHA_Development_Data_Book 201'!$B$2:$E$324,3,FALSE)</f>
        <v>141</v>
      </c>
      <c r="Y304" s="20"/>
      <c r="Z304" s="20">
        <f>IFERROR(VLOOKUP(Data[[#This Row],[TDS]],'[7]Static Ext by TDS'!$A$5:$E$120,2,FALSE),0)</f>
        <v>2</v>
      </c>
      <c r="AA304" s="20">
        <f>IFERROR(VLOOKUP(Data[[#This Row],[TDS]],'[7]Static Int by TDS'!$A$6:$O$305,2,FALSE),0)</f>
        <v>5</v>
      </c>
      <c r="AB304" s="20"/>
      <c r="AC304" s="20"/>
      <c r="AD304" s="20">
        <f>IFERROR(VLOOKUP(Data[[#This Row],[TDS]],'[7]Static Ext by TDS'!$A$5:$P$120,3,FALSE)+VLOOKUP(Data[[#This Row],[TDS]],'[7]Static Ext by TDS'!$A$5:$P$120,6,FALSE),0)</f>
        <v>2</v>
      </c>
      <c r="AE304" s="20">
        <f>IFERROR(VLOOKUP(Data[[#This Row],[TDS]],'[7]Static Int by TDS'!$A$6:$O$305,3,FALSE)+VLOOKUP(Data[[#This Row],[TDS]],'[7]Static Int by TDS'!$A$6:$O$305,6,FALSE),0)</f>
        <v>5</v>
      </c>
      <c r="AF304" s="20" t="str">
        <f>VLOOKUP(Data[[#This Row],[DEVELOPMENT]],[8]Developments!$A$2:$A$312,1,FALSE)</f>
        <v>WEBSTER</v>
      </c>
    </row>
    <row r="305" spans="1:32" x14ac:dyDescent="0.25">
      <c r="A305" t="s">
        <v>345</v>
      </c>
      <c r="B305" s="20" t="str">
        <f>VLOOKUP(Data[[#This Row],[DEVELOPMENT]],'[2]NYCHA_Development_Data_Book 201'!$B$2:$AY$324,40,FALSE)</f>
        <v>BROOKLYN</v>
      </c>
      <c r="C305" s="20" t="str">
        <f>VLOOKUP(Data[[#This Row],[DEVELOPMENT]],'[3]Cheat-Sheet'!$D$2:$Q$341,2,FALSE)</f>
        <v>ALBANY</v>
      </c>
      <c r="D305" s="20">
        <f>IF(VLOOKUP(Data[[#This Row],[DEVELOPMENT]],'[4]IC Categories'!$A$2:$G$325,3,FALSE)=0,"",VLOOKUP(Data[[#This Row],[DEVELOPMENT]],'[4]IC Categories'!$A$2:$G$325,3,FALSE))</f>
        <v>2019</v>
      </c>
      <c r="E305" s="20">
        <f>VLOOKUP(Data[[#This Row],[DEVELOPMENT]],'[2]NYCHA_Development_Data_Book 201'!$B$2:$AY$324,21,FALSE)</f>
        <v>2</v>
      </c>
      <c r="F305" s="20">
        <f>VLOOKUP(Data[[#This Row],[DEVELOPMENT]],'[2]NYCHA_Development_Data_Book 201'!$B$2:$AY$324,23,FALSE)</f>
        <v>14</v>
      </c>
      <c r="G305" s="20">
        <f>VLOOKUP(Data[[#This Row],[DEVELOPMENT]],'[2]NYCHA_Development_Data_Book 201'!$B$2:$AY$324,12,FALSE)</f>
        <v>256</v>
      </c>
      <c r="J305">
        <f>IFERROR(VLOOKUP(Data[[#This Row],[DEVELOPMENT]],[5]!Table1[[DEVELOPMENTS]:[Installation Date of Exterior Compactor]],4,FALSE),0)</f>
        <v>0</v>
      </c>
      <c r="K305" s="20">
        <f>IFERROR(VLOOKUP(Data[[#This Row],[DEVELOPMENT]],[5]!Table1[[DEVELOPMENTS]:[Installation Date of Exterior Compactor]],7,FALSE),0)</f>
        <v>0</v>
      </c>
      <c r="L305" s="42" t="str">
        <f>IF(Data[[#This Row],['# Interior Compactors]]=0,"",VLOOKUP(Data[[#This Row],[DEVELOPMENT]],[5]!Table1[[DEVELOPMENTS]:[Installation Date of Exterior Compactor]],5,FALSE))</f>
        <v/>
      </c>
      <c r="M305" s="43" t="str">
        <f>IF(Data[[#This Row],['# Exterior Compactors]]=0,"",VLOOKUP(Data[[#This Row],[DEVELOPMENT]],[5]!Table1[[DEVELOPMENTS]:[Installation Date of Exterior Compactor]],8,FALSE))</f>
        <v/>
      </c>
      <c r="N305" s="20">
        <f>Data[[#This Row],['# Interior Compactors]]</f>
        <v>0</v>
      </c>
      <c r="O305" s="20">
        <f>1</f>
        <v>1</v>
      </c>
      <c r="P305" s="20">
        <f>1</f>
        <v>1</v>
      </c>
      <c r="Q305" s="20">
        <f>1</f>
        <v>1</v>
      </c>
      <c r="R305" s="20">
        <f>1</f>
        <v>1</v>
      </c>
      <c r="S305" s="20">
        <f>1</f>
        <v>1</v>
      </c>
      <c r="T305" s="20">
        <f>Data[[#This Row],[DUs]]</f>
        <v>256</v>
      </c>
      <c r="U30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5" s="101">
        <f>VLOOKUP(Data[[#This Row],[DEVELOPMENT]],'[2]NYCHA_Development_Data_Book 201'!$B$2:$E$324,3,FALSE)</f>
        <v>229</v>
      </c>
      <c r="Y305" s="20" t="s">
        <v>473</v>
      </c>
      <c r="Z305" s="20">
        <f>IFERROR(VLOOKUP(Data[[#This Row],[TDS]],'[7]Static Ext by TDS'!$A$5:$E$120,2,FALSE),0)</f>
        <v>0</v>
      </c>
      <c r="AA305" s="20">
        <f>IFERROR(VLOOKUP(Data[[#This Row],[TDS]],'[7]Static Int by TDS'!$A$6:$O$305,2,FALSE),0)</f>
        <v>0</v>
      </c>
      <c r="AB305" s="20"/>
      <c r="AC305" s="20"/>
      <c r="AD305" s="20">
        <f>IFERROR(VLOOKUP(Data[[#This Row],[TDS]],'[7]Static Ext by TDS'!$A$5:$P$120,3,FALSE)+VLOOKUP(Data[[#This Row],[TDS]],'[7]Static Ext by TDS'!$A$5:$P$120,6,FALSE),0)</f>
        <v>0</v>
      </c>
      <c r="AE305" s="20">
        <f>IFERROR(VLOOKUP(Data[[#This Row],[TDS]],'[7]Static Int by TDS'!$A$6:$O$305,3,FALSE)+VLOOKUP(Data[[#This Row],[TDS]],'[7]Static Int by TDS'!$A$6:$O$305,6,FALSE),0)</f>
        <v>0</v>
      </c>
      <c r="AF305" s="20" t="str">
        <f>VLOOKUP(Data[[#This Row],[DEVELOPMENT]],[8]Developments!$A$2:$A$312,1,FALSE)</f>
        <v>WEEKSVILLE GARDENS</v>
      </c>
    </row>
    <row r="306" spans="1:32" x14ac:dyDescent="0.25">
      <c r="A306" t="s">
        <v>346</v>
      </c>
      <c r="B306" s="20" t="str">
        <f>VLOOKUP(Data[[#This Row],[DEVELOPMENT]],'[2]NYCHA_Development_Data_Book 201'!$B$2:$AY$324,40,FALSE)</f>
        <v>STATEN ISLAND</v>
      </c>
      <c r="C306" s="20" t="str">
        <f>VLOOKUP(Data[[#This Row],[DEVELOPMENT]],'[3]Cheat-Sheet'!$D$2:$Q$341,2,FALSE)</f>
        <v>WEST BRIGHTON I</v>
      </c>
      <c r="D306" s="20" t="str">
        <f>IF(VLOOKUP(Data[[#This Row],[DEVELOPMENT]],'[4]IC Categories'!$A$2:$G$325,3,FALSE)=0,"",VLOOKUP(Data[[#This Row],[DEVELOPMENT]],'[4]IC Categories'!$A$2:$G$325,3,FALSE))</f>
        <v/>
      </c>
      <c r="E306" s="20">
        <f>VLOOKUP(Data[[#This Row],[DEVELOPMENT]],'[2]NYCHA_Development_Data_Book 201'!$B$2:$AY$324,21,FALSE)</f>
        <v>8</v>
      </c>
      <c r="F306" s="20">
        <f>VLOOKUP(Data[[#This Row],[DEVELOPMENT]],'[2]NYCHA_Development_Data_Book 201'!$B$2:$AY$324,23,FALSE)</f>
        <v>9</v>
      </c>
      <c r="G306" s="20">
        <f>VLOOKUP(Data[[#This Row],[DEVELOPMENT]],'[2]NYCHA_Development_Data_Book 201'!$B$2:$AY$324,12,FALSE)</f>
        <v>487</v>
      </c>
      <c r="J306">
        <f>IFERROR(VLOOKUP(Data[[#This Row],[DEVELOPMENT]],[5]!Table1[[DEVELOPMENTS]:[Installation Date of Exterior Compactor]],4,FALSE),0)</f>
        <v>0</v>
      </c>
      <c r="K306" s="20">
        <f>IFERROR(VLOOKUP(Data[[#This Row],[DEVELOPMENT]],[5]!Table1[[DEVELOPMENTS]:[Installation Date of Exterior Compactor]],7,FALSE),0)</f>
        <v>0</v>
      </c>
      <c r="L306" s="42" t="str">
        <f>IF(Data[[#This Row],['# Interior Compactors]]=0,"",VLOOKUP(Data[[#This Row],[DEVELOPMENT]],[5]!Table1[[DEVELOPMENTS]:[Installation Date of Exterior Compactor]],5,FALSE))</f>
        <v/>
      </c>
      <c r="M306" s="43" t="str">
        <f>IF(Data[[#This Row],['# Exterior Compactors]]=0,"",VLOOKUP(Data[[#This Row],[DEVELOPMENT]],[5]!Table1[[DEVELOPMENTS]:[Installation Date of Exterior Compactor]],8,FALSE))</f>
        <v/>
      </c>
      <c r="N306" s="20">
        <f>Data[[#This Row],['# Interior Compactors]]</f>
        <v>0</v>
      </c>
      <c r="O306" s="20">
        <f>1</f>
        <v>1</v>
      </c>
      <c r="P306" s="20">
        <f>1</f>
        <v>1</v>
      </c>
      <c r="Q306" s="20">
        <f>1</f>
        <v>1</v>
      </c>
      <c r="R306" s="20">
        <f>1</f>
        <v>1</v>
      </c>
      <c r="S306" s="20">
        <f>1</f>
        <v>1</v>
      </c>
      <c r="T306" s="20">
        <f>Data[[#This Row],[DUs]]</f>
        <v>487</v>
      </c>
      <c r="U30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6" s="101">
        <f>VLOOKUP(Data[[#This Row],[DEVELOPMENT]],'[2]NYCHA_Development_Data_Book 201'!$B$2:$E$324,3,FALSE)</f>
        <v>116</v>
      </c>
      <c r="Y306" s="20"/>
      <c r="Z306" s="20">
        <f>IFERROR(VLOOKUP(Data[[#This Row],[TDS]],'[7]Static Ext by TDS'!$A$5:$E$120,2,FALSE),0)</f>
        <v>2</v>
      </c>
      <c r="AA306" s="20">
        <f>IFERROR(VLOOKUP(Data[[#This Row],[TDS]],'[7]Static Int by TDS'!$A$6:$O$305,2,FALSE),0)</f>
        <v>8</v>
      </c>
      <c r="AB306" s="20"/>
      <c r="AC306" s="20"/>
      <c r="AD306" s="20">
        <f>IFERROR(VLOOKUP(Data[[#This Row],[TDS]],'[7]Static Ext by TDS'!$A$5:$P$120,3,FALSE)+VLOOKUP(Data[[#This Row],[TDS]],'[7]Static Ext by TDS'!$A$5:$P$120,6,FALSE),0)</f>
        <v>2</v>
      </c>
      <c r="AE306" s="20">
        <f>IFERROR(VLOOKUP(Data[[#This Row],[TDS]],'[7]Static Int by TDS'!$A$6:$O$305,3,FALSE)+VLOOKUP(Data[[#This Row],[TDS]],'[7]Static Int by TDS'!$A$6:$O$305,6,FALSE),0)</f>
        <v>8</v>
      </c>
      <c r="AF306" s="20" t="str">
        <f>VLOOKUP(Data[[#This Row],[DEVELOPMENT]],[8]Developments!$A$2:$A$312,1,FALSE)</f>
        <v>WEST BRIGHTON I</v>
      </c>
    </row>
    <row r="307" spans="1:32" x14ac:dyDescent="0.25">
      <c r="A307" t="s">
        <v>347</v>
      </c>
      <c r="B307" s="20" t="str">
        <f>VLOOKUP(Data[[#This Row],[DEVELOPMENT]],'[2]NYCHA_Development_Data_Book 201'!$B$2:$AY$324,40,FALSE)</f>
        <v>STATEN ISLAND</v>
      </c>
      <c r="C307" s="20" t="str">
        <f>VLOOKUP(Data[[#This Row],[DEVELOPMENT]],'[3]Cheat-Sheet'!$D$2:$Q$341,2,FALSE)</f>
        <v>WEST BRIGHTON I</v>
      </c>
      <c r="D307" s="20" t="str">
        <f>IF(VLOOKUP(Data[[#This Row],[DEVELOPMENT]],'[4]IC Categories'!$A$2:$G$325,3,FALSE)=0,"",VLOOKUP(Data[[#This Row],[DEVELOPMENT]],'[4]IC Categories'!$A$2:$G$325,3,FALSE))</f>
        <v/>
      </c>
      <c r="E307" s="20">
        <f>VLOOKUP(Data[[#This Row],[DEVELOPMENT]],'[2]NYCHA_Development_Data_Book 201'!$B$2:$AY$324,21,FALSE)</f>
        <v>8</v>
      </c>
      <c r="F307" s="20">
        <f>VLOOKUP(Data[[#This Row],[DEVELOPMENT]],'[2]NYCHA_Development_Data_Book 201'!$B$2:$AY$324,23,FALSE)</f>
        <v>8</v>
      </c>
      <c r="G307" s="20">
        <f>VLOOKUP(Data[[#This Row],[DEVELOPMENT]],'[2]NYCHA_Development_Data_Book 201'!$B$2:$AY$324,12,FALSE)</f>
        <v>120</v>
      </c>
      <c r="J307">
        <f>IFERROR(VLOOKUP(Data[[#This Row],[DEVELOPMENT]],[5]!Table1[[DEVELOPMENTS]:[Installation Date of Exterior Compactor]],4,FALSE),0)</f>
        <v>0</v>
      </c>
      <c r="K307" s="20">
        <f>IFERROR(VLOOKUP(Data[[#This Row],[DEVELOPMENT]],[5]!Table1[[DEVELOPMENTS]:[Installation Date of Exterior Compactor]],7,FALSE),0)</f>
        <v>0</v>
      </c>
      <c r="L307" s="42" t="str">
        <f>IF(Data[[#This Row],['# Interior Compactors]]=0,"",VLOOKUP(Data[[#This Row],[DEVELOPMENT]],[5]!Table1[[DEVELOPMENTS]:[Installation Date of Exterior Compactor]],5,FALSE))</f>
        <v/>
      </c>
      <c r="M307" s="43" t="str">
        <f>IF(Data[[#This Row],['# Exterior Compactors]]=0,"",VLOOKUP(Data[[#This Row],[DEVELOPMENT]],[5]!Table1[[DEVELOPMENTS]:[Installation Date of Exterior Compactor]],8,FALSE))</f>
        <v/>
      </c>
      <c r="N307" s="20">
        <f>Data[[#This Row],['# Interior Compactors]]</f>
        <v>0</v>
      </c>
      <c r="O307" s="20">
        <f>1</f>
        <v>1</v>
      </c>
      <c r="P307" s="20">
        <f>1</f>
        <v>1</v>
      </c>
      <c r="Q307" s="20">
        <f>1</f>
        <v>1</v>
      </c>
      <c r="R307" s="20">
        <f>1</f>
        <v>1</v>
      </c>
      <c r="S307" s="20">
        <f>1</f>
        <v>1</v>
      </c>
      <c r="T307" s="20">
        <f>Data[[#This Row],[DUs]]</f>
        <v>120</v>
      </c>
      <c r="U30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7" s="101">
        <f>VLOOKUP(Data[[#This Row],[DEVELOPMENT]],'[2]NYCHA_Development_Data_Book 201'!$B$2:$E$324,3,FALSE)</f>
        <v>175</v>
      </c>
      <c r="Y307" s="20"/>
      <c r="Z307" s="20">
        <f>IFERROR(VLOOKUP(Data[[#This Row],[TDS]],'[7]Static Ext by TDS'!$A$5:$E$120,2,FALSE),0)</f>
        <v>0</v>
      </c>
      <c r="AA307" s="20">
        <f>IFERROR(VLOOKUP(Data[[#This Row],[TDS]],'[7]Static Int by TDS'!$A$6:$O$305,2,FALSE),0)</f>
        <v>0</v>
      </c>
      <c r="AB307" s="20"/>
      <c r="AC307" s="20"/>
      <c r="AD307" s="20">
        <f>IFERROR(VLOOKUP(Data[[#This Row],[TDS]],'[7]Static Ext by TDS'!$A$5:$P$120,3,FALSE)+VLOOKUP(Data[[#This Row],[TDS]],'[7]Static Ext by TDS'!$A$5:$P$120,6,FALSE),0)</f>
        <v>0</v>
      </c>
      <c r="AE307" s="20">
        <f>IFERROR(VLOOKUP(Data[[#This Row],[TDS]],'[7]Static Int by TDS'!$A$6:$O$305,3,FALSE)+VLOOKUP(Data[[#This Row],[TDS]],'[7]Static Int by TDS'!$A$6:$O$305,6,FALSE),0)</f>
        <v>0</v>
      </c>
      <c r="AF307" s="20" t="str">
        <f>VLOOKUP(Data[[#This Row],[DEVELOPMENT]],[8]Developments!$A$2:$A$312,1,FALSE)</f>
        <v>WEST BRIGHTON II</v>
      </c>
    </row>
    <row r="308" spans="1:32" x14ac:dyDescent="0.25">
      <c r="A308" t="s">
        <v>348</v>
      </c>
      <c r="B308" s="20" t="str">
        <f>VLOOKUP(Data[[#This Row],[DEVELOPMENT]],'[2]NYCHA_Development_Data_Book 201'!$B$2:$AY$324,40,FALSE)</f>
        <v>BRONX</v>
      </c>
      <c r="C308" s="20" t="str">
        <f>VLOOKUP(Data[[#This Row],[DEVELOPMENT]],'[3]Cheat-Sheet'!$D$2:$Q$341,2,FALSE)</f>
        <v>BUILDING MANAGEMENT ASSOCIATES (PRIVATE - BX 1)</v>
      </c>
      <c r="D308" s="20" t="str">
        <f>IF(VLOOKUP(Data[[#This Row],[DEVELOPMENT]],'[4]IC Categories'!$A$2:$G$325,3,FALSE)=0,"",VLOOKUP(Data[[#This Row],[DEVELOPMENT]],'[4]IC Categories'!$A$2:$G$325,3,FALSE))</f>
        <v/>
      </c>
      <c r="E308" s="20">
        <f>VLOOKUP(Data[[#This Row],[DEVELOPMENT]],'[2]NYCHA_Development_Data_Book 201'!$B$2:$AY$324,21,FALSE)</f>
        <v>4</v>
      </c>
      <c r="F308" s="20">
        <f>VLOOKUP(Data[[#This Row],[DEVELOPMENT]],'[2]NYCHA_Development_Data_Book 201'!$B$2:$AY$324,23,FALSE)</f>
        <v>7</v>
      </c>
      <c r="G308" s="20">
        <f>VLOOKUP(Data[[#This Row],[DEVELOPMENT]],'[2]NYCHA_Development_Data_Book 201'!$B$2:$AY$324,12,FALSE)</f>
        <v>208</v>
      </c>
      <c r="J308">
        <f>IFERROR(VLOOKUP(Data[[#This Row],[DEVELOPMENT]],[5]!Table1[[DEVELOPMENTS]:[Installation Date of Exterior Compactor]],4,FALSE),0)</f>
        <v>0</v>
      </c>
      <c r="K308" s="20">
        <f>IFERROR(VLOOKUP(Data[[#This Row],[DEVELOPMENT]],[5]!Table1[[DEVELOPMENTS]:[Installation Date of Exterior Compactor]],7,FALSE),0)</f>
        <v>0</v>
      </c>
      <c r="L308" s="42" t="str">
        <f>IF(Data[[#This Row],['# Interior Compactors]]=0,"",VLOOKUP(Data[[#This Row],[DEVELOPMENT]],[5]!Table1[[DEVELOPMENTS]:[Installation Date of Exterior Compactor]],5,FALSE))</f>
        <v/>
      </c>
      <c r="M308" s="43" t="str">
        <f>IF(Data[[#This Row],['# Exterior Compactors]]=0,"",VLOOKUP(Data[[#This Row],[DEVELOPMENT]],[5]!Table1[[DEVELOPMENTS]:[Installation Date of Exterior Compactor]],8,FALSE))</f>
        <v/>
      </c>
      <c r="N308" s="20">
        <f>Data[[#This Row],['# Interior Compactors]]</f>
        <v>0</v>
      </c>
      <c r="O308" s="20">
        <f>1</f>
        <v>1</v>
      </c>
      <c r="P308" s="20">
        <f>1</f>
        <v>1</v>
      </c>
      <c r="Q308" s="20">
        <f>1</f>
        <v>1</v>
      </c>
      <c r="R308" s="20">
        <f>1</f>
        <v>1</v>
      </c>
      <c r="S308" s="20">
        <f>1</f>
        <v>1</v>
      </c>
      <c r="T308" s="20">
        <f>Data[[#This Row],[DUs]]</f>
        <v>208</v>
      </c>
      <c r="U30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8" s="101">
        <f>VLOOKUP(Data[[#This Row],[DEVELOPMENT]],'[2]NYCHA_Development_Data_Book 201'!$B$2:$E$324,3,FALSE)</f>
        <v>360</v>
      </c>
      <c r="Y308" s="20"/>
      <c r="Z308" s="20">
        <f>IFERROR(VLOOKUP(Data[[#This Row],[TDS]],'[7]Static Ext by TDS'!$A$5:$E$120,2,FALSE),0)</f>
        <v>0</v>
      </c>
      <c r="AA308" s="20">
        <f>IFERROR(VLOOKUP(Data[[#This Row],[TDS]],'[7]Static Int by TDS'!$A$6:$O$305,2,FALSE),0)</f>
        <v>7</v>
      </c>
      <c r="AB308" s="20"/>
      <c r="AC308" s="20"/>
      <c r="AD308" s="20">
        <f>IFERROR(VLOOKUP(Data[[#This Row],[TDS]],'[7]Static Ext by TDS'!$A$5:$P$120,3,FALSE)+VLOOKUP(Data[[#This Row],[TDS]],'[7]Static Ext by TDS'!$A$5:$P$120,6,FALSE),0)</f>
        <v>0</v>
      </c>
      <c r="AE308" s="20">
        <f>IFERROR(VLOOKUP(Data[[#This Row],[TDS]],'[7]Static Int by TDS'!$A$6:$O$305,3,FALSE)+VLOOKUP(Data[[#This Row],[TDS]],'[7]Static Int by TDS'!$A$6:$O$305,6,FALSE),0)</f>
        <v>7</v>
      </c>
      <c r="AF308" s="20" t="str">
        <f>VLOOKUP(Data[[#This Row],[DEVELOPMENT]],[8]Developments!$A$2:$A$312,1,FALSE)</f>
        <v>WEST FARMS ROAD REHAB</v>
      </c>
    </row>
    <row r="309" spans="1:32" x14ac:dyDescent="0.25">
      <c r="A309" t="s">
        <v>349</v>
      </c>
      <c r="B309" s="20" t="str">
        <f>VLOOKUP(Data[[#This Row],[DEVELOPMENT]],'[2]NYCHA_Development_Data_Book 201'!$B$2:$AY$324,40,FALSE)</f>
        <v>BRONX</v>
      </c>
      <c r="C309" s="20" t="str">
        <f>VLOOKUP(Data[[#This Row],[DEVELOPMENT]],'[3]Cheat-Sheet'!$D$2:$Q$341,2,FALSE)</f>
        <v>BUILDING MANAGEMENT ASSOCIATES (PRIVATE - BX 1)</v>
      </c>
      <c r="D309" s="20" t="str">
        <f>IF(VLOOKUP(Data[[#This Row],[DEVELOPMENT]],'[4]IC Categories'!$A$2:$G$325,3,FALSE)=0,"",VLOOKUP(Data[[#This Row],[DEVELOPMENT]],'[4]IC Categories'!$A$2:$G$325,3,FALSE))</f>
        <v/>
      </c>
      <c r="E309" s="20">
        <f>VLOOKUP(Data[[#This Row],[DEVELOPMENT]],'[2]NYCHA_Development_Data_Book 201'!$B$2:$AY$324,21,FALSE)</f>
        <v>1</v>
      </c>
      <c r="F309" s="20">
        <f>VLOOKUP(Data[[#This Row],[DEVELOPMENT]],'[2]NYCHA_Development_Data_Book 201'!$B$2:$AY$324,23,FALSE)</f>
        <v>1</v>
      </c>
      <c r="G309" s="20">
        <f>VLOOKUP(Data[[#This Row],[DEVELOPMENT]],'[2]NYCHA_Development_Data_Book 201'!$B$2:$AY$324,12,FALSE)</f>
        <v>20</v>
      </c>
      <c r="J309">
        <f>IFERROR(VLOOKUP(Data[[#This Row],[DEVELOPMENT]],[5]!Table1[[DEVELOPMENTS]:[Installation Date of Exterior Compactor]],4,FALSE),0)</f>
        <v>0</v>
      </c>
      <c r="K309" s="20">
        <f>IFERROR(VLOOKUP(Data[[#This Row],[DEVELOPMENT]],[5]!Table1[[DEVELOPMENTS]:[Installation Date of Exterior Compactor]],7,FALSE),0)</f>
        <v>0</v>
      </c>
      <c r="L309" s="42" t="str">
        <f>IF(Data[[#This Row],['# Interior Compactors]]=0,"",VLOOKUP(Data[[#This Row],[DEVELOPMENT]],[5]!Table1[[DEVELOPMENTS]:[Installation Date of Exterior Compactor]],5,FALSE))</f>
        <v/>
      </c>
      <c r="M309" s="43" t="str">
        <f>IF(Data[[#This Row],['# Exterior Compactors]]=0,"",VLOOKUP(Data[[#This Row],[DEVELOPMENT]],[5]!Table1[[DEVELOPMENTS]:[Installation Date of Exterior Compactor]],8,FALSE))</f>
        <v/>
      </c>
      <c r="N309" s="20">
        <f>Data[[#This Row],['# Interior Compactors]]</f>
        <v>0</v>
      </c>
      <c r="O309" s="20">
        <f>1</f>
        <v>1</v>
      </c>
      <c r="P309" s="20">
        <f>1</f>
        <v>1</v>
      </c>
      <c r="Q309" s="20">
        <f>1</f>
        <v>1</v>
      </c>
      <c r="R309" s="20">
        <f>1</f>
        <v>1</v>
      </c>
      <c r="S309" s="20">
        <f>1</f>
        <v>1</v>
      </c>
      <c r="T309" s="20">
        <f>Data[[#This Row],[DUs]]</f>
        <v>20</v>
      </c>
      <c r="U30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0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0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09" s="101">
        <f>VLOOKUP(Data[[#This Row],[DEVELOPMENT]],'[2]NYCHA_Development_Data_Book 201'!$B$2:$E$324,3,FALSE)</f>
        <v>526</v>
      </c>
      <c r="Y309" s="20"/>
      <c r="Z309" s="20">
        <f>IFERROR(VLOOKUP(Data[[#This Row],[TDS]],'[7]Static Ext by TDS'!$A$5:$E$120,2,FALSE),0)</f>
        <v>0</v>
      </c>
      <c r="AA309" s="20">
        <f>IFERROR(VLOOKUP(Data[[#This Row],[TDS]],'[7]Static Int by TDS'!$A$6:$O$305,2,FALSE),0)</f>
        <v>1</v>
      </c>
      <c r="AB309" s="20"/>
      <c r="AC309" s="20"/>
      <c r="AD309" s="20">
        <f>IFERROR(VLOOKUP(Data[[#This Row],[TDS]],'[7]Static Ext by TDS'!$A$5:$P$120,3,FALSE)+VLOOKUP(Data[[#This Row],[TDS]],'[7]Static Ext by TDS'!$A$5:$P$120,6,FALSE),0)</f>
        <v>0</v>
      </c>
      <c r="AE309" s="20">
        <f>IFERROR(VLOOKUP(Data[[#This Row],[TDS]],'[7]Static Int by TDS'!$A$6:$O$305,3,FALSE)+VLOOKUP(Data[[#This Row],[TDS]],'[7]Static Int by TDS'!$A$6:$O$305,6,FALSE),0)</f>
        <v>1</v>
      </c>
      <c r="AF309" s="20" t="str">
        <f>VLOOKUP(Data[[#This Row],[DEVELOPMENT]],[8]Developments!$A$2:$A$312,1,FALSE)</f>
        <v>WEST FARMS SQUARE CONVENTIONAL</v>
      </c>
    </row>
    <row r="310" spans="1:32" x14ac:dyDescent="0.25">
      <c r="A310" t="s">
        <v>350</v>
      </c>
      <c r="B310" s="20" t="str">
        <f>VLOOKUP(Data[[#This Row],[DEVELOPMENT]],'[2]NYCHA_Development_Data_Book 201'!$B$2:$AY$324,40,FALSE)</f>
        <v>BRONX</v>
      </c>
      <c r="C310" s="20" t="str">
        <f>VLOOKUP(Data[[#This Row],[DEVELOPMENT]],'[3]Cheat-Sheet'!$D$2:$Q$341,2,FALSE)</f>
        <v>SEDGWICK</v>
      </c>
      <c r="D310" s="20" t="str">
        <f>IF(VLOOKUP(Data[[#This Row],[DEVELOPMENT]],'[4]IC Categories'!$A$2:$G$325,3,FALSE)=0,"",VLOOKUP(Data[[#This Row],[DEVELOPMENT]],'[4]IC Categories'!$A$2:$G$325,3,FALSE))</f>
        <v/>
      </c>
      <c r="E310" s="20">
        <f>VLOOKUP(Data[[#This Row],[DEVELOPMENT]],'[2]NYCHA_Development_Data_Book 201'!$B$2:$AY$324,21,FALSE)</f>
        <v>1</v>
      </c>
      <c r="F310" s="20">
        <f>VLOOKUP(Data[[#This Row],[DEVELOPMENT]],'[2]NYCHA_Development_Data_Book 201'!$B$2:$AY$324,23,FALSE)</f>
        <v>1</v>
      </c>
      <c r="G310" s="20">
        <f>VLOOKUP(Data[[#This Row],[DEVELOPMENT]],'[2]NYCHA_Development_Data_Book 201'!$B$2:$AY$324,12,FALSE)</f>
        <v>148</v>
      </c>
      <c r="H310" t="s">
        <v>476</v>
      </c>
      <c r="J310">
        <f>IFERROR(VLOOKUP(Data[[#This Row],[DEVELOPMENT]],[5]!Table1[[DEVELOPMENTS]:[Installation Date of Exterior Compactor]],4,FALSE),0)</f>
        <v>0</v>
      </c>
      <c r="K310" s="20">
        <f>IFERROR(VLOOKUP(Data[[#This Row],[DEVELOPMENT]],[5]!Table1[[DEVELOPMENTS]:[Installation Date of Exterior Compactor]],7,FALSE),0)</f>
        <v>0</v>
      </c>
      <c r="L310" s="42" t="str">
        <f>IF(Data[[#This Row],['# Interior Compactors]]=0,"",VLOOKUP(Data[[#This Row],[DEVELOPMENT]],[5]!Table1[[DEVELOPMENTS]:[Installation Date of Exterior Compactor]],5,FALSE))</f>
        <v/>
      </c>
      <c r="M310" s="43" t="str">
        <f>IF(Data[[#This Row],['# Exterior Compactors]]=0,"",VLOOKUP(Data[[#This Row],[DEVELOPMENT]],[5]!Table1[[DEVELOPMENTS]:[Installation Date of Exterior Compactor]],8,FALSE))</f>
        <v/>
      </c>
      <c r="N310" s="20">
        <f>Data[[#This Row],['# Interior Compactors]]</f>
        <v>0</v>
      </c>
      <c r="O310" s="20">
        <f>1</f>
        <v>1</v>
      </c>
      <c r="P310" s="20">
        <f>1</f>
        <v>1</v>
      </c>
      <c r="Q310" s="20">
        <f>1</f>
        <v>1</v>
      </c>
      <c r="R310" s="20">
        <f>1</f>
        <v>1</v>
      </c>
      <c r="S310" s="20">
        <f>1</f>
        <v>1</v>
      </c>
      <c r="T310" s="20">
        <f>Data[[#This Row],[DUs]]</f>
        <v>148</v>
      </c>
      <c r="U31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0" s="101">
        <f>VLOOKUP(Data[[#This Row],[DEVELOPMENT]],'[2]NYCHA_Development_Data_Book 201'!$B$2:$E$324,3,FALSE)</f>
        <v>246</v>
      </c>
      <c r="Y310" s="20"/>
      <c r="Z310" s="20">
        <f>IFERROR(VLOOKUP(Data[[#This Row],[TDS]],'[7]Static Ext by TDS'!$A$5:$E$120,2,FALSE),0)</f>
        <v>0</v>
      </c>
      <c r="AA310" s="20">
        <f>IFERROR(VLOOKUP(Data[[#This Row],[TDS]],'[7]Static Int by TDS'!$A$6:$O$305,2,FALSE),0)</f>
        <v>1</v>
      </c>
      <c r="AB310" s="20"/>
      <c r="AC310" s="20"/>
      <c r="AD310" s="20">
        <f>IFERROR(VLOOKUP(Data[[#This Row],[TDS]],'[7]Static Ext by TDS'!$A$5:$P$120,3,FALSE)+VLOOKUP(Data[[#This Row],[TDS]],'[7]Static Ext by TDS'!$A$5:$P$120,6,FALSE),0)</f>
        <v>0</v>
      </c>
      <c r="AE310" s="20">
        <f>IFERROR(VLOOKUP(Data[[#This Row],[TDS]],'[7]Static Int by TDS'!$A$6:$O$305,3,FALSE)+VLOOKUP(Data[[#This Row],[TDS]],'[7]Static Int by TDS'!$A$6:$O$305,6,FALSE),0)</f>
        <v>1</v>
      </c>
      <c r="AF310" s="20" t="str">
        <f>VLOOKUP(Data[[#This Row],[DEVELOPMENT]],[8]Developments!$A$2:$A$312,1,FALSE)</f>
        <v>WEST TREMONT AVENUE-SEDGWICK AVENUE AREA</v>
      </c>
    </row>
    <row r="311" spans="1:32" x14ac:dyDescent="0.25">
      <c r="A311" t="s">
        <v>102</v>
      </c>
      <c r="B311" t="str">
        <f>VLOOKUP(Data[[#This Row],[DEVELOPMENT]],'[2]NYCHA_Development_Data_Book 201'!$B$2:$AY$324,40,FALSE)</f>
        <v>MANHATTAN</v>
      </c>
      <c r="C311" t="str">
        <f>VLOOKUP(Data[[#This Row],[DEVELOPMENT]],'[3]Cheat-Sheet'!$D$2:$Q$341,2,FALSE)</f>
        <v>WILSON</v>
      </c>
      <c r="D311" t="str">
        <f>IF(VLOOKUP(Data[[#This Row],[DEVELOPMENT]],'[4]IC Categories'!$A$2:$G$325,3,FALSE)=0,"",VLOOKUP(Data[[#This Row],[DEVELOPMENT]],'[4]IC Categories'!$A$2:$G$325,3,FALSE))</f>
        <v/>
      </c>
      <c r="E311">
        <f>VLOOKUP(Data[[#This Row],[DEVELOPMENT]],'[2]NYCHA_Development_Data_Book 201'!$B$2:$AY$324,21,FALSE)</f>
        <v>1</v>
      </c>
      <c r="F311">
        <f>VLOOKUP(Data[[#This Row],[DEVELOPMENT]],'[2]NYCHA_Development_Data_Book 201'!$B$2:$AY$324,23,FALSE)</f>
        <v>1</v>
      </c>
      <c r="G311">
        <f>VLOOKUP(Data[[#This Row],[DEVELOPMENT]],'[2]NYCHA_Development_Data_Book 201'!$B$2:$AY$324,12,FALSE)</f>
        <v>246</v>
      </c>
      <c r="H311" t="s">
        <v>470</v>
      </c>
      <c r="I311" t="s">
        <v>471</v>
      </c>
      <c r="J311">
        <f>IFERROR(VLOOKUP(Data[[#This Row],[DEVELOPMENT]],[5]!Table1[[DEVELOPMENTS]:[Installation Date of Exterior Compactor]],4,FALSE),0)</f>
        <v>0</v>
      </c>
      <c r="K311" s="20">
        <f>IFERROR(VLOOKUP(Data[[#This Row],[DEVELOPMENT]],[5]!Table1[[DEVELOPMENTS]:[Installation Date of Exterior Compactor]],7,FALSE),0)</f>
        <v>0</v>
      </c>
      <c r="L311" s="42" t="str">
        <f>IF(Data[[#This Row],['# Interior Compactors]]=0,"",VLOOKUP(Data[[#This Row],[DEVELOPMENT]],[5]!Table1[[DEVELOPMENTS]:[Installation Date of Exterior Compactor]],5,FALSE))</f>
        <v/>
      </c>
      <c r="M311" s="43" t="str">
        <f>IF(Data[[#This Row],['# Exterior Compactors]]=0,"",VLOOKUP(Data[[#This Row],[DEVELOPMENT]],[5]!Table1[[DEVELOPMENTS]:[Installation Date of Exterior Compactor]],8,FALSE))</f>
        <v/>
      </c>
      <c r="N311">
        <f>Data[[#This Row],['# Interior Compactors]]</f>
        <v>0</v>
      </c>
      <c r="O311" s="20">
        <f>1</f>
        <v>1</v>
      </c>
      <c r="P311" s="20">
        <f>1</f>
        <v>1</v>
      </c>
      <c r="Q311" s="20">
        <f>1</f>
        <v>1</v>
      </c>
      <c r="R311" s="20">
        <f>1</f>
        <v>1</v>
      </c>
      <c r="S311" s="20">
        <f>1</f>
        <v>1</v>
      </c>
      <c r="T311" s="20">
        <f>Data[[#This Row],[DUs]]</f>
        <v>246</v>
      </c>
      <c r="U31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1" s="101">
        <f>VLOOKUP(Data[[#This Row],[DEVELOPMENT]],'[2]NYCHA_Development_Data_Book 201'!$B$2:$E$324,3,FALSE)</f>
        <v>124</v>
      </c>
      <c r="Y311" s="20"/>
      <c r="Z311" s="20">
        <f>IFERROR(VLOOKUP(Data[[#This Row],[TDS]],'[7]Static Ext by TDS'!$A$5:$E$120,2,FALSE),0)</f>
        <v>0</v>
      </c>
      <c r="AA311" s="20">
        <f>IFERROR(VLOOKUP(Data[[#This Row],[TDS]],'[7]Static Int by TDS'!$A$6:$O$305,2,FALSE),0)</f>
        <v>2</v>
      </c>
      <c r="AB311" s="20"/>
      <c r="AC311" s="20"/>
      <c r="AD311" s="20">
        <f>IFERROR(VLOOKUP(Data[[#This Row],[TDS]],'[7]Static Ext by TDS'!$A$5:$P$120,3,FALSE)+VLOOKUP(Data[[#This Row],[TDS]],'[7]Static Ext by TDS'!$A$5:$P$120,6,FALSE),0)</f>
        <v>0</v>
      </c>
      <c r="AE311" s="20">
        <f>IFERROR(VLOOKUP(Data[[#This Row],[TDS]],'[7]Static Int by TDS'!$A$6:$O$305,3,FALSE)+VLOOKUP(Data[[#This Row],[TDS]],'[7]Static Int by TDS'!$A$6:$O$305,6,FALSE),0)</f>
        <v>2</v>
      </c>
      <c r="AF311" s="20" t="str">
        <f>VLOOKUP(Data[[#This Row],[DEVELOPMENT]],[8]Developments!$A$2:$A$312,1,FALSE)</f>
        <v>WHITE</v>
      </c>
    </row>
    <row r="312" spans="1:32" x14ac:dyDescent="0.25">
      <c r="A312" t="s">
        <v>351</v>
      </c>
      <c r="B312" s="20" t="str">
        <f>VLOOKUP(Data[[#This Row],[DEVELOPMENT]],'[2]NYCHA_Development_Data_Book 201'!$B$2:$AY$324,40,FALSE)</f>
        <v>BROOKLYN</v>
      </c>
      <c r="C312" s="20" t="str">
        <f>VLOOKUP(Data[[#This Row],[DEVELOPMENT]],'[3]Cheat-Sheet'!$D$2:$Q$341,2,FALSE)</f>
        <v>WHITMAN</v>
      </c>
      <c r="D312" s="20" t="str">
        <f>IF(VLOOKUP(Data[[#This Row],[DEVELOPMENT]],'[4]IC Categories'!$A$2:$G$325,3,FALSE)=0,"",VLOOKUP(Data[[#This Row],[DEVELOPMENT]],'[4]IC Categories'!$A$2:$G$325,3,FALSE))</f>
        <v/>
      </c>
      <c r="E312" s="20">
        <f>VLOOKUP(Data[[#This Row],[DEVELOPMENT]],'[2]NYCHA_Development_Data_Book 201'!$B$2:$AY$324,21,FALSE)</f>
        <v>15</v>
      </c>
      <c r="F312" s="20">
        <f>VLOOKUP(Data[[#This Row],[DEVELOPMENT]],'[2]NYCHA_Development_Data_Book 201'!$B$2:$AY$324,23,FALSE)</f>
        <v>48</v>
      </c>
      <c r="G312" s="20">
        <f>VLOOKUP(Data[[#This Row],[DEVELOPMENT]],'[2]NYCHA_Development_Data_Book 201'!$B$2:$AY$324,12,FALSE)</f>
        <v>1651</v>
      </c>
      <c r="J312">
        <f>IFERROR(VLOOKUP(Data[[#This Row],[DEVELOPMENT]],[5]!Table1[[DEVELOPMENTS]:[Installation Date of Exterior Compactor]],4,FALSE),0)</f>
        <v>0</v>
      </c>
      <c r="K312" s="20">
        <f>IFERROR(VLOOKUP(Data[[#This Row],[DEVELOPMENT]],[5]!Table1[[DEVELOPMENTS]:[Installation Date of Exterior Compactor]],7,FALSE),0)</f>
        <v>0</v>
      </c>
      <c r="L312" s="42" t="str">
        <f>IF(Data[[#This Row],['# Interior Compactors]]=0,"",VLOOKUP(Data[[#This Row],[DEVELOPMENT]],[5]!Table1[[DEVELOPMENTS]:[Installation Date of Exterior Compactor]],5,FALSE))</f>
        <v/>
      </c>
      <c r="M312" s="43" t="str">
        <f>IF(Data[[#This Row],['# Exterior Compactors]]=0,"",VLOOKUP(Data[[#This Row],[DEVELOPMENT]],[5]!Table1[[DEVELOPMENTS]:[Installation Date of Exterior Compactor]],8,FALSE))</f>
        <v/>
      </c>
      <c r="N312" s="20">
        <f>Data[[#This Row],['# Interior Compactors]]</f>
        <v>0</v>
      </c>
      <c r="O312" s="20">
        <f>1</f>
        <v>1</v>
      </c>
      <c r="P312" s="20">
        <f>1</f>
        <v>1</v>
      </c>
      <c r="Q312" s="20">
        <f>1</f>
        <v>1</v>
      </c>
      <c r="R312" s="20">
        <f>1</f>
        <v>1</v>
      </c>
      <c r="S312" s="20">
        <f>1</f>
        <v>1</v>
      </c>
      <c r="T312" s="20">
        <f>Data[[#This Row],[DUs]]</f>
        <v>1651</v>
      </c>
      <c r="U31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2" s="101">
        <f>VLOOKUP(Data[[#This Row],[DEVELOPMENT]],'[2]NYCHA_Development_Data_Book 201'!$B$2:$E$324,3,FALSE)</f>
        <v>514</v>
      </c>
      <c r="Y312" s="20" t="s">
        <v>473</v>
      </c>
      <c r="Z312" s="20">
        <f>IFERROR(VLOOKUP(Data[[#This Row],[TDS]],'[7]Static Ext by TDS'!$A$5:$E$120,2,FALSE),0)</f>
        <v>3</v>
      </c>
      <c r="AA312" s="20">
        <f>IFERROR(VLOOKUP(Data[[#This Row],[TDS]],'[7]Static Int by TDS'!$A$6:$O$305,2,FALSE),0)</f>
        <v>32</v>
      </c>
      <c r="AB312" s="20"/>
      <c r="AC312" s="20"/>
      <c r="AD312" s="20">
        <f>IFERROR(VLOOKUP(Data[[#This Row],[TDS]],'[7]Static Ext by TDS'!$A$5:$P$120,3,FALSE)+VLOOKUP(Data[[#This Row],[TDS]],'[7]Static Ext by TDS'!$A$5:$P$120,6,FALSE),0)</f>
        <v>3</v>
      </c>
      <c r="AE312" s="20">
        <f>IFERROR(VLOOKUP(Data[[#This Row],[TDS]],'[7]Static Int by TDS'!$A$6:$O$305,3,FALSE)+VLOOKUP(Data[[#This Row],[TDS]],'[7]Static Int by TDS'!$A$6:$O$305,6,FALSE),0)</f>
        <v>32</v>
      </c>
      <c r="AF312" s="20" t="str">
        <f>VLOOKUP(Data[[#This Row],[DEVELOPMENT]],[8]Developments!$A$2:$A$312,1,FALSE)</f>
        <v>WHITMAN</v>
      </c>
    </row>
    <row r="313" spans="1:32" x14ac:dyDescent="0.25">
      <c r="A313" t="s">
        <v>352</v>
      </c>
      <c r="B313" s="20" t="str">
        <f>VLOOKUP(Data[[#This Row],[DEVELOPMENT]],'[2]NYCHA_Development_Data_Book 201'!$B$2:$AY$324,40,FALSE)</f>
        <v>BROOKLYN</v>
      </c>
      <c r="C313" s="20" t="str">
        <f>VLOOKUP(Data[[#This Row],[DEVELOPMENT]],'[3]Cheat-Sheet'!$D$2:$Q$341,2,FALSE)</f>
        <v>WILLIAMS PLAZA</v>
      </c>
      <c r="D313" s="20">
        <f>IF(VLOOKUP(Data[[#This Row],[DEVELOPMENT]],'[4]IC Categories'!$A$2:$G$325,3,FALSE)=0,"",VLOOKUP(Data[[#This Row],[DEVELOPMENT]],'[4]IC Categories'!$A$2:$G$325,3,FALSE))</f>
        <v>2019</v>
      </c>
      <c r="E313" s="20">
        <f>VLOOKUP(Data[[#This Row],[DEVELOPMENT]],'[2]NYCHA_Development_Data_Book 201'!$B$2:$AY$324,21,FALSE)</f>
        <v>5</v>
      </c>
      <c r="F313" s="20">
        <f>VLOOKUP(Data[[#This Row],[DEVELOPMENT]],'[2]NYCHA_Development_Data_Book 201'!$B$2:$AY$324,23,FALSE)</f>
        <v>5</v>
      </c>
      <c r="G313" s="20">
        <f>VLOOKUP(Data[[#This Row],[DEVELOPMENT]],'[2]NYCHA_Development_Data_Book 201'!$B$2:$AY$324,12,FALSE)</f>
        <v>577</v>
      </c>
      <c r="J313">
        <f>IFERROR(VLOOKUP(Data[[#This Row],[DEVELOPMENT]],[5]!Table1[[DEVELOPMENTS]:[Installation Date of Exterior Compactor]],4,FALSE),0)</f>
        <v>0</v>
      </c>
      <c r="K313" s="20">
        <f>IFERROR(VLOOKUP(Data[[#This Row],[DEVELOPMENT]],[5]!Table1[[DEVELOPMENTS]:[Installation Date of Exterior Compactor]],7,FALSE),0)</f>
        <v>0</v>
      </c>
      <c r="L313" s="42" t="str">
        <f>IF(Data[[#This Row],['# Interior Compactors]]=0,"",VLOOKUP(Data[[#This Row],[DEVELOPMENT]],[5]!Table1[[DEVELOPMENTS]:[Installation Date of Exterior Compactor]],5,FALSE))</f>
        <v/>
      </c>
      <c r="M313" s="43" t="str">
        <f>IF(Data[[#This Row],['# Exterior Compactors]]=0,"",VLOOKUP(Data[[#This Row],[DEVELOPMENT]],[5]!Table1[[DEVELOPMENTS]:[Installation Date of Exterior Compactor]],8,FALSE))</f>
        <v/>
      </c>
      <c r="N313" s="20">
        <f>Data[[#This Row],['# Interior Compactors]]</f>
        <v>0</v>
      </c>
      <c r="O313" s="20">
        <f>1</f>
        <v>1</v>
      </c>
      <c r="P313" s="20">
        <f>1</f>
        <v>1</v>
      </c>
      <c r="Q313" s="20">
        <f>1</f>
        <v>1</v>
      </c>
      <c r="R313" s="20">
        <f>1</f>
        <v>1</v>
      </c>
      <c r="S313" s="20">
        <f>1</f>
        <v>1</v>
      </c>
      <c r="T313" s="20">
        <f>Data[[#This Row],[DUs]]</f>
        <v>577</v>
      </c>
      <c r="U31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3" s="101">
        <f>VLOOKUP(Data[[#This Row],[DEVELOPMENT]],'[2]NYCHA_Development_Data_Book 201'!$B$2:$E$324,3,FALSE)</f>
        <v>128</v>
      </c>
      <c r="Y313" s="20" t="s">
        <v>473</v>
      </c>
      <c r="Z313" s="20">
        <f>IFERROR(VLOOKUP(Data[[#This Row],[TDS]],'[7]Static Ext by TDS'!$A$5:$E$120,2,FALSE),0)</f>
        <v>0</v>
      </c>
      <c r="AA313" s="20">
        <f>IFERROR(VLOOKUP(Data[[#This Row],[TDS]],'[7]Static Int by TDS'!$A$6:$O$305,2,FALSE),0)</f>
        <v>5</v>
      </c>
      <c r="AB313" s="20">
        <v>1</v>
      </c>
      <c r="AC313" s="20"/>
      <c r="AD313" s="20">
        <f>IFERROR(VLOOKUP(Data[[#This Row],[TDS]],'[7]Static Ext by TDS'!$A$5:$P$120,3,FALSE)+VLOOKUP(Data[[#This Row],[TDS]],'[7]Static Ext by TDS'!$A$5:$P$120,6,FALSE),0)</f>
        <v>0</v>
      </c>
      <c r="AE313" s="20">
        <f>IFERROR(VLOOKUP(Data[[#This Row],[TDS]],'[7]Static Int by TDS'!$A$6:$O$305,3,FALSE)+VLOOKUP(Data[[#This Row],[TDS]],'[7]Static Int by TDS'!$A$6:$O$305,6,FALSE),0)</f>
        <v>5</v>
      </c>
      <c r="AF313" s="20" t="str">
        <f>VLOOKUP(Data[[#This Row],[DEVELOPMENT]],[8]Developments!$A$2:$A$312,1,FALSE)</f>
        <v>WILLIAMS PLAZA</v>
      </c>
    </row>
    <row r="314" spans="1:32" x14ac:dyDescent="0.25">
      <c r="A314" t="s">
        <v>353</v>
      </c>
      <c r="B314" s="20" t="str">
        <f>VLOOKUP(Data[[#This Row],[DEVELOPMENT]],'[2]NYCHA_Development_Data_Book 201'!$B$2:$AY$324,40,FALSE)</f>
        <v>BROOKLYN</v>
      </c>
      <c r="C314" s="20" t="str">
        <f>VLOOKUP(Data[[#This Row],[DEVELOPMENT]],'[3]Cheat-Sheet'!$D$2:$Q$341,2,FALSE)</f>
        <v>WILLIAMSBURG</v>
      </c>
      <c r="D314" s="20">
        <f>IF(VLOOKUP(Data[[#This Row],[DEVELOPMENT]],'[4]IC Categories'!$A$2:$G$325,3,FALSE)=0,"",VLOOKUP(Data[[#This Row],[DEVELOPMENT]],'[4]IC Categories'!$A$2:$G$325,3,FALSE))</f>
        <v>2020</v>
      </c>
      <c r="E314" s="20">
        <f>VLOOKUP(Data[[#This Row],[DEVELOPMENT]],'[2]NYCHA_Development_Data_Book 201'!$B$2:$AY$324,21,FALSE)</f>
        <v>20</v>
      </c>
      <c r="F314" s="20">
        <f>VLOOKUP(Data[[#This Row],[DEVELOPMENT]],'[2]NYCHA_Development_Data_Book 201'!$B$2:$AY$324,23,FALSE)</f>
        <v>137</v>
      </c>
      <c r="G314" s="20">
        <f>VLOOKUP(Data[[#This Row],[DEVELOPMENT]],'[2]NYCHA_Development_Data_Book 201'!$B$2:$AY$324,12,FALSE)</f>
        <v>1627</v>
      </c>
      <c r="J314">
        <f>IFERROR(VLOOKUP(Data[[#This Row],[DEVELOPMENT]],[5]!Table1[[DEVELOPMENTS]:[Installation Date of Exterior Compactor]],4,FALSE),0)</f>
        <v>0</v>
      </c>
      <c r="K314" s="20">
        <f>IFERROR(VLOOKUP(Data[[#This Row],[DEVELOPMENT]],[5]!Table1[[DEVELOPMENTS]:[Installation Date of Exterior Compactor]],7,FALSE),0)</f>
        <v>0</v>
      </c>
      <c r="L314" s="42" t="str">
        <f>IF(Data[[#This Row],['# Interior Compactors]]=0,"",VLOOKUP(Data[[#This Row],[DEVELOPMENT]],[5]!Table1[[DEVELOPMENTS]:[Installation Date of Exterior Compactor]],5,FALSE))</f>
        <v/>
      </c>
      <c r="M314" s="43" t="str">
        <f>IF(Data[[#This Row],['# Exterior Compactors]]=0,"",VLOOKUP(Data[[#This Row],[DEVELOPMENT]],[5]!Table1[[DEVELOPMENTS]:[Installation Date of Exterior Compactor]],8,FALSE))</f>
        <v/>
      </c>
      <c r="N314" s="20">
        <f>Data[[#This Row],['# Interior Compactors]]</f>
        <v>0</v>
      </c>
      <c r="O314" s="20">
        <f>1</f>
        <v>1</v>
      </c>
      <c r="P314" s="20">
        <f>1</f>
        <v>1</v>
      </c>
      <c r="Q314" s="20">
        <f>1</f>
        <v>1</v>
      </c>
      <c r="R314" s="20">
        <f>1</f>
        <v>1</v>
      </c>
      <c r="S314" s="20">
        <f>1</f>
        <v>1</v>
      </c>
      <c r="T314" s="20">
        <f>Data[[#This Row],[DUs]]</f>
        <v>1627</v>
      </c>
      <c r="U314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4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4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4" s="101">
        <f>VLOOKUP(Data[[#This Row],[DEVELOPMENT]],'[2]NYCHA_Development_Data_Book 201'!$B$2:$E$324,3,FALSE)</f>
        <v>2</v>
      </c>
      <c r="Y314" s="20" t="s">
        <v>473</v>
      </c>
      <c r="Z314" s="20">
        <f>IFERROR(VLOOKUP(Data[[#This Row],[TDS]],'[7]Static Ext by TDS'!$A$5:$E$120,2,FALSE),0)</f>
        <v>0</v>
      </c>
      <c r="AA314" s="20">
        <f>IFERROR(VLOOKUP(Data[[#This Row],[TDS]],'[7]Static Int by TDS'!$A$6:$O$305,2,FALSE),0)</f>
        <v>134</v>
      </c>
      <c r="AB314" s="20"/>
      <c r="AC314" s="20"/>
      <c r="AD314" s="20">
        <f>IFERROR(VLOOKUP(Data[[#This Row],[TDS]],'[7]Static Ext by TDS'!$A$5:$P$120,3,FALSE)+VLOOKUP(Data[[#This Row],[TDS]],'[7]Static Ext by TDS'!$A$5:$P$120,6,FALSE),0)</f>
        <v>0</v>
      </c>
      <c r="AE314" s="20">
        <f>IFERROR(VLOOKUP(Data[[#This Row],[TDS]],'[7]Static Int by TDS'!$A$6:$O$305,3,FALSE)+VLOOKUP(Data[[#This Row],[TDS]],'[7]Static Int by TDS'!$A$6:$O$305,6,FALSE),0)</f>
        <v>134</v>
      </c>
      <c r="AF314" s="20" t="str">
        <f>VLOOKUP(Data[[#This Row],[DEVELOPMENT]],[8]Developments!$A$2:$A$312,1,FALSE)</f>
        <v>WILLIAMSBURG</v>
      </c>
    </row>
    <row r="315" spans="1:32" x14ac:dyDescent="0.25">
      <c r="A315" t="s">
        <v>116</v>
      </c>
      <c r="B315" t="str">
        <f>VLOOKUP(Data[[#This Row],[DEVELOPMENT]],'[2]NYCHA_Development_Data_Book 201'!$B$2:$AY$324,40,FALSE)</f>
        <v>MANHATTAN</v>
      </c>
      <c r="C315" t="str">
        <f>VLOOKUP(Data[[#This Row],[DEVELOPMENT]],'[3]Cheat-Sheet'!$D$2:$Q$341,2,FALSE)</f>
        <v>WILSON</v>
      </c>
      <c r="D315" t="str">
        <f>IF(VLOOKUP(Data[[#This Row],[DEVELOPMENT]],'[4]IC Categories'!$A$2:$G$325,3,FALSE)=0,"",VLOOKUP(Data[[#This Row],[DEVELOPMENT]],'[4]IC Categories'!$A$2:$G$325,3,FALSE))</f>
        <v/>
      </c>
      <c r="E315">
        <f>VLOOKUP(Data[[#This Row],[DEVELOPMENT]],'[2]NYCHA_Development_Data_Book 201'!$B$2:$AY$324,21,FALSE)</f>
        <v>3</v>
      </c>
      <c r="F315">
        <f>VLOOKUP(Data[[#This Row],[DEVELOPMENT]],'[2]NYCHA_Development_Data_Book 201'!$B$2:$AY$324,23,FALSE)</f>
        <v>3</v>
      </c>
      <c r="G315">
        <f>VLOOKUP(Data[[#This Row],[DEVELOPMENT]],'[2]NYCHA_Development_Data_Book 201'!$B$2:$AY$324,12,FALSE)</f>
        <v>398</v>
      </c>
      <c r="H315" t="s">
        <v>470</v>
      </c>
      <c r="I315" t="s">
        <v>471</v>
      </c>
      <c r="J315">
        <f>IFERROR(VLOOKUP(Data[[#This Row],[DEVELOPMENT]],[5]!Table1[[DEVELOPMENTS]:[Installation Date of Exterior Compactor]],4,FALSE),0)</f>
        <v>0</v>
      </c>
      <c r="K315" s="20">
        <f>IFERROR(VLOOKUP(Data[[#This Row],[DEVELOPMENT]],[5]!Table1[[DEVELOPMENTS]:[Installation Date of Exterior Compactor]],7,FALSE),0)</f>
        <v>0</v>
      </c>
      <c r="L315" s="42" t="str">
        <f>IF(Data[[#This Row],['# Interior Compactors]]=0,"",VLOOKUP(Data[[#This Row],[DEVELOPMENT]],[5]!Table1[[DEVELOPMENTS]:[Installation Date of Exterior Compactor]],5,FALSE))</f>
        <v/>
      </c>
      <c r="M315" s="43" t="str">
        <f>IF(Data[[#This Row],['# Exterior Compactors]]=0,"",VLOOKUP(Data[[#This Row],[DEVELOPMENT]],[5]!Table1[[DEVELOPMENTS]:[Installation Date of Exterior Compactor]],8,FALSE))</f>
        <v/>
      </c>
      <c r="N315">
        <f>Data[[#This Row],['# Interior Compactors]]</f>
        <v>0</v>
      </c>
      <c r="O315" s="20">
        <f>1</f>
        <v>1</v>
      </c>
      <c r="P315" s="20">
        <f>1</f>
        <v>1</v>
      </c>
      <c r="Q315" s="20">
        <f>1</f>
        <v>1</v>
      </c>
      <c r="R315" s="20">
        <f>1</f>
        <v>1</v>
      </c>
      <c r="S315" s="20">
        <f>1</f>
        <v>1</v>
      </c>
      <c r="T315" s="20">
        <f>Data[[#This Row],[DUs]]</f>
        <v>398</v>
      </c>
      <c r="U315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5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5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5" s="101">
        <f>VLOOKUP(Data[[#This Row],[DEVELOPMENT]],'[2]NYCHA_Development_Data_Book 201'!$B$2:$E$324,3,FALSE)</f>
        <v>112</v>
      </c>
      <c r="Y315" s="20"/>
      <c r="Z315" s="20">
        <f>IFERROR(VLOOKUP(Data[[#This Row],[TDS]],'[7]Static Ext by TDS'!$A$5:$E$120,2,FALSE),0)</f>
        <v>2</v>
      </c>
      <c r="AA315" s="20">
        <f>IFERROR(VLOOKUP(Data[[#This Row],[TDS]],'[7]Static Int by TDS'!$A$6:$O$305,2,FALSE),0)</f>
        <v>5</v>
      </c>
      <c r="AB315" s="20"/>
      <c r="AC315" s="20"/>
      <c r="AD315" s="20">
        <f>IFERROR(VLOOKUP(Data[[#This Row],[TDS]],'[7]Static Ext by TDS'!$A$5:$P$120,3,FALSE)+VLOOKUP(Data[[#This Row],[TDS]],'[7]Static Ext by TDS'!$A$5:$P$120,6,FALSE),0)</f>
        <v>2</v>
      </c>
      <c r="AE315" s="20">
        <f>IFERROR(VLOOKUP(Data[[#This Row],[TDS]],'[7]Static Int by TDS'!$A$6:$O$305,3,FALSE)+VLOOKUP(Data[[#This Row],[TDS]],'[7]Static Int by TDS'!$A$6:$O$305,6,FALSE),0)</f>
        <v>5</v>
      </c>
      <c r="AF315" s="20" t="str">
        <f>VLOOKUP(Data[[#This Row],[DEVELOPMENT]],[8]Developments!$A$2:$A$312,1,FALSE)</f>
        <v>WILSON</v>
      </c>
    </row>
    <row r="316" spans="1:32" x14ac:dyDescent="0.25">
      <c r="A316" t="s">
        <v>354</v>
      </c>
      <c r="B316" s="20" t="str">
        <f>VLOOKUP(Data[[#This Row],[DEVELOPMENT]],'[2]NYCHA_Development_Data_Book 201'!$B$2:$AY$324,40,FALSE)</f>
        <v>MANHATTAN</v>
      </c>
      <c r="C316" s="20" t="str">
        <f>VLOOKUP(Data[[#This Row],[DEVELOPMENT]],'[3]Cheat-Sheet'!$D$2:$Q$341,2,FALSE)</f>
        <v>WISE TOWERS</v>
      </c>
      <c r="D316" s="20">
        <f>IF(VLOOKUP(Data[[#This Row],[DEVELOPMENT]],'[4]IC Categories'!$A$2:$G$325,3,FALSE)=0,"",VLOOKUP(Data[[#This Row],[DEVELOPMENT]],'[4]IC Categories'!$A$2:$G$325,3,FALSE))</f>
        <v>2019</v>
      </c>
      <c r="E316" s="20">
        <f>VLOOKUP(Data[[#This Row],[DEVELOPMENT]],'[2]NYCHA_Development_Data_Book 201'!$B$2:$AY$324,21,FALSE)</f>
        <v>2</v>
      </c>
      <c r="F316" s="20">
        <f>VLOOKUP(Data[[#This Row],[DEVELOPMENT]],'[2]NYCHA_Development_Data_Book 201'!$B$2:$AY$324,23,FALSE)</f>
        <v>5</v>
      </c>
      <c r="G316" s="20">
        <f>VLOOKUP(Data[[#This Row],[DEVELOPMENT]],'[2]NYCHA_Development_Data_Book 201'!$B$2:$AY$324,12,FALSE)</f>
        <v>397</v>
      </c>
      <c r="H316" t="s">
        <v>476</v>
      </c>
      <c r="J316">
        <f>IFERROR(VLOOKUP(Data[[#This Row],[DEVELOPMENT]],[5]!Table1[[DEVELOPMENTS]:[Installation Date of Exterior Compactor]],4,FALSE),0)</f>
        <v>0</v>
      </c>
      <c r="K316" s="20">
        <f>IFERROR(VLOOKUP(Data[[#This Row],[DEVELOPMENT]],[5]!Table1[[DEVELOPMENTS]:[Installation Date of Exterior Compactor]],7,FALSE),0)</f>
        <v>0</v>
      </c>
      <c r="L316" s="42" t="str">
        <f>IF(Data[[#This Row],['# Interior Compactors]]=0,"",VLOOKUP(Data[[#This Row],[DEVELOPMENT]],[5]!Table1[[DEVELOPMENTS]:[Installation Date of Exterior Compactor]],5,FALSE))</f>
        <v/>
      </c>
      <c r="M316" s="43" t="str">
        <f>IF(Data[[#This Row],['# Exterior Compactors]]=0,"",VLOOKUP(Data[[#This Row],[DEVELOPMENT]],[5]!Table1[[DEVELOPMENTS]:[Installation Date of Exterior Compactor]],8,FALSE))</f>
        <v/>
      </c>
      <c r="N316" s="20">
        <f>Data[[#This Row],['# Interior Compactors]]</f>
        <v>0</v>
      </c>
      <c r="O316" s="20">
        <f>1</f>
        <v>1</v>
      </c>
      <c r="P316" s="20">
        <f>1</f>
        <v>1</v>
      </c>
      <c r="Q316" s="20">
        <f>1</f>
        <v>1</v>
      </c>
      <c r="R316" s="20">
        <f>1</f>
        <v>1</v>
      </c>
      <c r="S316" s="20">
        <f>1</f>
        <v>1</v>
      </c>
      <c r="T316" s="20">
        <f>Data[[#This Row],[DUs]]</f>
        <v>397</v>
      </c>
      <c r="U316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6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6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6" s="101">
        <f>VLOOKUP(Data[[#This Row],[DEVELOPMENT]],'[2]NYCHA_Development_Data_Book 201'!$B$2:$E$324,3,FALSE)</f>
        <v>127</v>
      </c>
      <c r="Y316" s="20"/>
      <c r="Z316" s="20">
        <f>IFERROR(VLOOKUP(Data[[#This Row],[TDS]],'[7]Static Ext by TDS'!$A$5:$E$120,2,FALSE),0)</f>
        <v>0</v>
      </c>
      <c r="AA316" s="20">
        <f>IFERROR(VLOOKUP(Data[[#This Row],[TDS]],'[7]Static Int by TDS'!$A$6:$O$305,2,FALSE),0)</f>
        <v>4</v>
      </c>
      <c r="AB316" s="20"/>
      <c r="AC316" s="20"/>
      <c r="AD316" s="20">
        <f>IFERROR(VLOOKUP(Data[[#This Row],[TDS]],'[7]Static Ext by TDS'!$A$5:$P$120,3,FALSE)+VLOOKUP(Data[[#This Row],[TDS]],'[7]Static Ext by TDS'!$A$5:$P$120,6,FALSE),0)</f>
        <v>0</v>
      </c>
      <c r="AE316" s="20">
        <f>IFERROR(VLOOKUP(Data[[#This Row],[TDS]],'[7]Static Int by TDS'!$A$6:$O$305,3,FALSE)+VLOOKUP(Data[[#This Row],[TDS]],'[7]Static Int by TDS'!$A$6:$O$305,6,FALSE),0)</f>
        <v>4</v>
      </c>
      <c r="AF316" s="20" t="str">
        <f>VLOOKUP(Data[[#This Row],[DEVELOPMENT]],[8]Developments!$A$2:$A$312,1,FALSE)</f>
        <v>WISE TOWERS</v>
      </c>
    </row>
    <row r="317" spans="1:32" x14ac:dyDescent="0.25">
      <c r="A317" t="s">
        <v>355</v>
      </c>
      <c r="B317" s="20" t="str">
        <f>VLOOKUP(Data[[#This Row],[DEVELOPMENT]],'[2]NYCHA_Development_Data_Book 201'!$B$2:$AY$324,40,FALSE)</f>
        <v>QUEENS</v>
      </c>
      <c r="C317" s="20" t="str">
        <f>VLOOKUP(Data[[#This Row],[DEVELOPMENT]],'[3]Cheat-Sheet'!$D$2:$Q$341,2,FALSE)</f>
        <v>WOODSIDE</v>
      </c>
      <c r="D317" s="20" t="str">
        <f>IF(VLOOKUP(Data[[#This Row],[DEVELOPMENT]],'[4]IC Categories'!$A$2:$G$325,3,FALSE)=0,"",VLOOKUP(Data[[#This Row],[DEVELOPMENT]],'[4]IC Categories'!$A$2:$G$325,3,FALSE))</f>
        <v/>
      </c>
      <c r="E317" s="20">
        <f>VLOOKUP(Data[[#This Row],[DEVELOPMENT]],'[2]NYCHA_Development_Data_Book 201'!$B$2:$AY$324,21,FALSE)</f>
        <v>20</v>
      </c>
      <c r="F317" s="20">
        <f>VLOOKUP(Data[[#This Row],[DEVELOPMENT]],'[2]NYCHA_Development_Data_Book 201'!$B$2:$AY$324,23,FALSE)</f>
        <v>55</v>
      </c>
      <c r="G317" s="20">
        <f>VLOOKUP(Data[[#This Row],[DEVELOPMENT]],'[2]NYCHA_Development_Data_Book 201'!$B$2:$AY$324,12,FALSE)</f>
        <v>1355</v>
      </c>
      <c r="J317">
        <f>IFERROR(VLOOKUP(Data[[#This Row],[DEVELOPMENT]],[5]!Table1[[DEVELOPMENTS]:[Installation Date of Exterior Compactor]],4,FALSE),0)</f>
        <v>0</v>
      </c>
      <c r="K317" s="20">
        <f>IFERROR(VLOOKUP(Data[[#This Row],[DEVELOPMENT]],[5]!Table1[[DEVELOPMENTS]:[Installation Date of Exterior Compactor]],7,FALSE),0)</f>
        <v>0</v>
      </c>
      <c r="L317" s="42" t="str">
        <f>IF(Data[[#This Row],['# Interior Compactors]]=0,"",VLOOKUP(Data[[#This Row],[DEVELOPMENT]],[5]!Table1[[DEVELOPMENTS]:[Installation Date of Exterior Compactor]],5,FALSE))</f>
        <v/>
      </c>
      <c r="M317" s="43" t="str">
        <f>IF(Data[[#This Row],['# Exterior Compactors]]=0,"",VLOOKUP(Data[[#This Row],[DEVELOPMENT]],[5]!Table1[[DEVELOPMENTS]:[Installation Date of Exterior Compactor]],8,FALSE))</f>
        <v/>
      </c>
      <c r="N317" s="20">
        <f>Data[[#This Row],['# Interior Compactors]]</f>
        <v>0</v>
      </c>
      <c r="O317" s="20">
        <f>1</f>
        <v>1</v>
      </c>
      <c r="P317" s="20">
        <f>1</f>
        <v>1</v>
      </c>
      <c r="Q317" s="20">
        <f>1</f>
        <v>1</v>
      </c>
      <c r="R317" s="20">
        <f>1</f>
        <v>1</v>
      </c>
      <c r="S317" s="20">
        <f>1</f>
        <v>1</v>
      </c>
      <c r="T317" s="20">
        <f>Data[[#This Row],[DUs]]</f>
        <v>1355</v>
      </c>
      <c r="U317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7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7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7" s="101">
        <f>VLOOKUP(Data[[#This Row],[DEVELOPMENT]],'[2]NYCHA_Development_Data_Book 201'!$B$2:$E$324,3,FALSE)</f>
        <v>33</v>
      </c>
      <c r="Y317" s="20"/>
      <c r="Z317" s="20">
        <f>IFERROR(VLOOKUP(Data[[#This Row],[TDS]],'[7]Static Ext by TDS'!$A$5:$E$120,2,FALSE),0)</f>
        <v>3</v>
      </c>
      <c r="AA317" s="20">
        <f>IFERROR(VLOOKUP(Data[[#This Row],[TDS]],'[7]Static Int by TDS'!$A$6:$O$305,2,FALSE),0)</f>
        <v>56</v>
      </c>
      <c r="AB317" s="20"/>
      <c r="AC317" s="20"/>
      <c r="AD317" s="20">
        <f>IFERROR(VLOOKUP(Data[[#This Row],[TDS]],'[7]Static Ext by TDS'!$A$5:$P$120,3,FALSE)+VLOOKUP(Data[[#This Row],[TDS]],'[7]Static Ext by TDS'!$A$5:$P$120,6,FALSE),0)</f>
        <v>3</v>
      </c>
      <c r="AE317" s="20">
        <f>IFERROR(VLOOKUP(Data[[#This Row],[TDS]],'[7]Static Int by TDS'!$A$6:$O$305,3,FALSE)+VLOOKUP(Data[[#This Row],[TDS]],'[7]Static Int by TDS'!$A$6:$O$305,6,FALSE),0)</f>
        <v>56</v>
      </c>
      <c r="AF317" s="20" t="str">
        <f>VLOOKUP(Data[[#This Row],[DEVELOPMENT]],[8]Developments!$A$2:$A$312,1,FALSE)</f>
        <v>WOODSIDE</v>
      </c>
    </row>
    <row r="318" spans="1:32" x14ac:dyDescent="0.25">
      <c r="A318" t="s">
        <v>356</v>
      </c>
      <c r="B318" s="20" t="str">
        <f>VLOOKUP(Data[[#This Row],[DEVELOPMENT]],'[2]NYCHA_Development_Data_Book 201'!$B$2:$AY$324,40,FALSE)</f>
        <v>BROOKLYN</v>
      </c>
      <c r="C318" s="20" t="str">
        <f>VLOOKUP(Data[[#This Row],[DEVELOPMENT]],'[3]Cheat-Sheet'!$D$2:$Q$341,2,FALSE)</f>
        <v>WOODSON</v>
      </c>
      <c r="D318" s="20" t="str">
        <f>IF(VLOOKUP(Data[[#This Row],[DEVELOPMENT]],'[4]IC Categories'!$A$2:$G$325,3,FALSE)=0,"",VLOOKUP(Data[[#This Row],[DEVELOPMENT]],'[4]IC Categories'!$A$2:$G$325,3,FALSE))</f>
        <v/>
      </c>
      <c r="E318" s="20">
        <f>VLOOKUP(Data[[#This Row],[DEVELOPMENT]],'[2]NYCHA_Development_Data_Book 201'!$B$2:$AY$324,21,FALSE)</f>
        <v>2</v>
      </c>
      <c r="F318" s="20">
        <f>VLOOKUP(Data[[#This Row],[DEVELOPMENT]],'[2]NYCHA_Development_Data_Book 201'!$B$2:$AY$324,23,FALSE)</f>
        <v>2</v>
      </c>
      <c r="G318" s="20">
        <f>VLOOKUP(Data[[#This Row],[DEVELOPMENT]],'[2]NYCHA_Development_Data_Book 201'!$B$2:$AY$324,12,FALSE)</f>
        <v>407</v>
      </c>
      <c r="J318">
        <f>IFERROR(VLOOKUP(Data[[#This Row],[DEVELOPMENT]],[5]!Table1[[DEVELOPMENTS]:[Installation Date of Exterior Compactor]],4,FALSE),0)</f>
        <v>0</v>
      </c>
      <c r="K318" s="20">
        <f>IFERROR(VLOOKUP(Data[[#This Row],[DEVELOPMENT]],[5]!Table1[[DEVELOPMENTS]:[Installation Date of Exterior Compactor]],7,FALSE),0)</f>
        <v>0</v>
      </c>
      <c r="L318" s="42" t="str">
        <f>IF(Data[[#This Row],['# Interior Compactors]]=0,"",VLOOKUP(Data[[#This Row],[DEVELOPMENT]],[5]!Table1[[DEVELOPMENTS]:[Installation Date of Exterior Compactor]],5,FALSE))</f>
        <v/>
      </c>
      <c r="M318" s="43" t="str">
        <f>IF(Data[[#This Row],['# Exterior Compactors]]=0,"",VLOOKUP(Data[[#This Row],[DEVELOPMENT]],[5]!Table1[[DEVELOPMENTS]:[Installation Date of Exterior Compactor]],8,FALSE))</f>
        <v/>
      </c>
      <c r="N318" s="20">
        <f>Data[[#This Row],['# Interior Compactors]]</f>
        <v>0</v>
      </c>
      <c r="O318" s="20">
        <f>1</f>
        <v>1</v>
      </c>
      <c r="P318" s="20">
        <f>1</f>
        <v>1</v>
      </c>
      <c r="Q318" s="20">
        <f>1</f>
        <v>1</v>
      </c>
      <c r="R318" s="20">
        <f>1</f>
        <v>1</v>
      </c>
      <c r="S318" s="20">
        <f>1</f>
        <v>1</v>
      </c>
      <c r="T318" s="20">
        <f>Data[[#This Row],[DUs]]</f>
        <v>407</v>
      </c>
      <c r="U318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8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8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8" s="101">
        <f>VLOOKUP(Data[[#This Row],[DEVELOPMENT]],'[2]NYCHA_Development_Data_Book 201'!$B$2:$E$324,3,FALSE)</f>
        <v>182</v>
      </c>
      <c r="Y318" s="20"/>
      <c r="Z318" s="20">
        <f>IFERROR(VLOOKUP(Data[[#This Row],[TDS]],'[7]Static Ext by TDS'!$A$5:$E$120,2,FALSE),0)</f>
        <v>0</v>
      </c>
      <c r="AA318" s="20">
        <f>IFERROR(VLOOKUP(Data[[#This Row],[TDS]],'[7]Static Int by TDS'!$A$6:$O$305,2,FALSE),0)</f>
        <v>2</v>
      </c>
      <c r="AB318" s="20"/>
      <c r="AC318" s="20"/>
      <c r="AD318" s="20">
        <f>IFERROR(VLOOKUP(Data[[#This Row],[TDS]],'[7]Static Ext by TDS'!$A$5:$P$120,3,FALSE)+VLOOKUP(Data[[#This Row],[TDS]],'[7]Static Ext by TDS'!$A$5:$P$120,6,FALSE),0)</f>
        <v>0</v>
      </c>
      <c r="AE318" s="20">
        <f>IFERROR(VLOOKUP(Data[[#This Row],[TDS]],'[7]Static Int by TDS'!$A$6:$O$305,3,FALSE)+VLOOKUP(Data[[#This Row],[TDS]],'[7]Static Int by TDS'!$A$6:$O$305,6,FALSE),0)</f>
        <v>2</v>
      </c>
      <c r="AF318" s="20" t="str">
        <f>VLOOKUP(Data[[#This Row],[DEVELOPMENT]],[8]Developments!$A$2:$A$312,1,FALSE)</f>
        <v>WOODSON</v>
      </c>
    </row>
    <row r="319" spans="1:32" x14ac:dyDescent="0.25">
      <c r="A319" t="s">
        <v>357</v>
      </c>
      <c r="B319" s="20" t="str">
        <f>VLOOKUP(Data[[#This Row],[DEVELOPMENT]],'[2]NYCHA_Development_Data_Book 201'!$B$2:$AY$324,40,FALSE)</f>
        <v>MANHATTAN</v>
      </c>
      <c r="C319" s="20" t="str">
        <f>VLOOKUP(Data[[#This Row],[DEVELOPMENT]],'[3]Cheat-Sheet'!$D$2:$Q$341,2,FALSE)</f>
        <v>WISE TOWERS</v>
      </c>
      <c r="D319" s="20" t="str">
        <f>IF(VLOOKUP(Data[[#This Row],[DEVELOPMENT]],'[4]IC Categories'!$A$2:$G$325,3,FALSE)=0,"",VLOOKUP(Data[[#This Row],[DEVELOPMENT]],'[4]IC Categories'!$A$2:$G$325,3,FALSE))</f>
        <v/>
      </c>
      <c r="E319" s="20">
        <f>VLOOKUP(Data[[#This Row],[DEVELOPMENT]],'[2]NYCHA_Development_Data_Book 201'!$B$2:$AY$324,21,FALSE)</f>
        <v>36</v>
      </c>
      <c r="F319" s="20">
        <f>VLOOKUP(Data[[#This Row],[DEVELOPMENT]],'[2]NYCHA_Development_Data_Book 201'!$B$2:$AY$324,23,FALSE)</f>
        <v>36</v>
      </c>
      <c r="G319" s="20">
        <f>VLOOKUP(Data[[#This Row],[DEVELOPMENT]],'[2]NYCHA_Development_Data_Book 201'!$B$2:$AY$324,12,FALSE)</f>
        <v>236</v>
      </c>
      <c r="H319" t="s">
        <v>476</v>
      </c>
      <c r="J319">
        <f>IFERROR(VLOOKUP(Data[[#This Row],[DEVELOPMENT]],[5]!Table1[[DEVELOPMENTS]:[Installation Date of Exterior Compactor]],4,FALSE),0)</f>
        <v>0</v>
      </c>
      <c r="K319" s="20">
        <f>IFERROR(VLOOKUP(Data[[#This Row],[DEVELOPMENT]],[5]!Table1[[DEVELOPMENTS]:[Installation Date of Exterior Compactor]],7,FALSE),0)</f>
        <v>0</v>
      </c>
      <c r="L319" s="42" t="str">
        <f>IF(Data[[#This Row],['# Interior Compactors]]=0,"",VLOOKUP(Data[[#This Row],[DEVELOPMENT]],[5]!Table1[[DEVELOPMENTS]:[Installation Date of Exterior Compactor]],5,FALSE))</f>
        <v/>
      </c>
      <c r="M319" s="43" t="str">
        <f>IF(Data[[#This Row],['# Exterior Compactors]]=0,"",VLOOKUP(Data[[#This Row],[DEVELOPMENT]],[5]!Table1[[DEVELOPMENTS]:[Installation Date of Exterior Compactor]],8,FALSE))</f>
        <v/>
      </c>
      <c r="N319" s="20">
        <f>Data[[#This Row],['# Interior Compactors]]</f>
        <v>0</v>
      </c>
      <c r="O319" s="20">
        <f>1</f>
        <v>1</v>
      </c>
      <c r="P319" s="20">
        <f>1</f>
        <v>1</v>
      </c>
      <c r="Q319" s="20">
        <f>1</f>
        <v>1</v>
      </c>
      <c r="R319" s="20">
        <f>1</f>
        <v>1</v>
      </c>
      <c r="S319" s="20">
        <f>1</f>
        <v>1</v>
      </c>
      <c r="T319" s="20">
        <f>Data[[#This Row],[DUs]]</f>
        <v>236</v>
      </c>
      <c r="U319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19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19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19" s="101">
        <f>VLOOKUP(Data[[#This Row],[DEVELOPMENT]],'[2]NYCHA_Development_Data_Book 201'!$B$2:$E$324,3,FALSE)</f>
        <v>178</v>
      </c>
      <c r="Y319" s="20"/>
      <c r="Z319" s="20">
        <f>IFERROR(VLOOKUP(Data[[#This Row],[TDS]],'[7]Static Ext by TDS'!$A$5:$E$120,2,FALSE),0)</f>
        <v>0</v>
      </c>
      <c r="AA319" s="20">
        <f>IFERROR(VLOOKUP(Data[[#This Row],[TDS]],'[7]Static Int by TDS'!$A$6:$O$305,2,FALSE),0)</f>
        <v>0</v>
      </c>
      <c r="AB319" s="20"/>
      <c r="AC319" s="20"/>
      <c r="AD319" s="20">
        <f>IFERROR(VLOOKUP(Data[[#This Row],[TDS]],'[7]Static Ext by TDS'!$A$5:$P$120,3,FALSE)+VLOOKUP(Data[[#This Row],[TDS]],'[7]Static Ext by TDS'!$A$5:$P$120,6,FALSE),0)</f>
        <v>0</v>
      </c>
      <c r="AE319" s="20">
        <f>IFERROR(VLOOKUP(Data[[#This Row],[TDS]],'[7]Static Int by TDS'!$A$6:$O$305,3,FALSE)+VLOOKUP(Data[[#This Row],[TDS]],'[7]Static Int by TDS'!$A$6:$O$305,6,FALSE),0)</f>
        <v>0</v>
      </c>
      <c r="AF319" s="20" t="str">
        <f>VLOOKUP(Data[[#This Row],[DEVELOPMENT]],[8]Developments!$A$2:$A$312,1,FALSE)</f>
        <v>WSUR (BROWNSTONES)</v>
      </c>
    </row>
    <row r="320" spans="1:32" x14ac:dyDescent="0.25">
      <c r="A320" t="s">
        <v>358</v>
      </c>
      <c r="B320" s="20" t="str">
        <f>VLOOKUP(Data[[#This Row],[DEVELOPMENT]],'[2]NYCHA_Development_Data_Book 201'!$B$2:$AY$324,40,FALSE)</f>
        <v>MANHATTAN</v>
      </c>
      <c r="C320" s="20" t="str">
        <f>VLOOKUP(Data[[#This Row],[DEVELOPMENT]],'[3]Cheat-Sheet'!$D$2:$Q$341,2,FALSE)</f>
        <v>WISE TOWERS</v>
      </c>
      <c r="D320" s="20" t="str">
        <f>IF(VLOOKUP(Data[[#This Row],[DEVELOPMENT]],'[4]IC Categories'!$A$2:$G$325,3,FALSE)=0,"",VLOOKUP(Data[[#This Row],[DEVELOPMENT]],'[4]IC Categories'!$A$2:$G$325,3,FALSE))</f>
        <v/>
      </c>
      <c r="E320" s="20">
        <f>VLOOKUP(Data[[#This Row],[DEVELOPMENT]],'[2]NYCHA_Development_Data_Book 201'!$B$2:$AY$324,21,FALSE)</f>
        <v>1</v>
      </c>
      <c r="F320" s="20">
        <f>VLOOKUP(Data[[#This Row],[DEVELOPMENT]],'[2]NYCHA_Development_Data_Book 201'!$B$2:$AY$324,23,FALSE)</f>
        <v>1</v>
      </c>
      <c r="G320" s="20">
        <f>VLOOKUP(Data[[#This Row],[DEVELOPMENT]],'[2]NYCHA_Development_Data_Book 201'!$B$2:$AY$324,12,FALSE)</f>
        <v>69</v>
      </c>
      <c r="H320" t="s">
        <v>476</v>
      </c>
      <c r="J320">
        <f>IFERROR(VLOOKUP(Data[[#This Row],[DEVELOPMENT]],[5]!Table1[[DEVELOPMENTS]:[Installation Date of Exterior Compactor]],4,FALSE),0)</f>
        <v>0</v>
      </c>
      <c r="K320" s="20">
        <f>IFERROR(VLOOKUP(Data[[#This Row],[DEVELOPMENT]],[5]!Table1[[DEVELOPMENTS]:[Installation Date of Exterior Compactor]],7,FALSE),0)</f>
        <v>0</v>
      </c>
      <c r="L320" s="42" t="str">
        <f>IF(Data[[#This Row],['# Interior Compactors]]=0,"",VLOOKUP(Data[[#This Row],[DEVELOPMENT]],[5]!Table1[[DEVELOPMENTS]:[Installation Date of Exterior Compactor]],5,FALSE))</f>
        <v/>
      </c>
      <c r="M320" s="43" t="str">
        <f>IF(Data[[#This Row],['# Exterior Compactors]]=0,"",VLOOKUP(Data[[#This Row],[DEVELOPMENT]],[5]!Table1[[DEVELOPMENTS]:[Installation Date of Exterior Compactor]],8,FALSE))</f>
        <v/>
      </c>
      <c r="N320" s="20">
        <f>Data[[#This Row],['# Interior Compactors]]</f>
        <v>0</v>
      </c>
      <c r="O320" s="20">
        <f>1</f>
        <v>1</v>
      </c>
      <c r="P320" s="20">
        <f>1</f>
        <v>1</v>
      </c>
      <c r="Q320" s="20">
        <f>1</f>
        <v>1</v>
      </c>
      <c r="R320" s="20">
        <f>1</f>
        <v>1</v>
      </c>
      <c r="S320" s="20">
        <f>1</f>
        <v>1</v>
      </c>
      <c r="T320" s="20">
        <f>Data[[#This Row],[DUs]]</f>
        <v>69</v>
      </c>
      <c r="U320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20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20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20" s="101">
        <f>VLOOKUP(Data[[#This Row],[DEVELOPMENT]],'[2]NYCHA_Development_Data_Book 201'!$B$2:$E$324,3,FALSE)</f>
        <v>151</v>
      </c>
      <c r="Y320" s="20"/>
      <c r="Z320" s="20">
        <f>IFERROR(VLOOKUP(Data[[#This Row],[TDS]],'[7]Static Ext by TDS'!$A$5:$E$120,2,FALSE),0)</f>
        <v>0</v>
      </c>
      <c r="AA320" s="20">
        <f>IFERROR(VLOOKUP(Data[[#This Row],[TDS]],'[7]Static Int by TDS'!$A$6:$O$305,2,FALSE),0)</f>
        <v>1</v>
      </c>
      <c r="AB320" s="20"/>
      <c r="AC320" s="20"/>
      <c r="AD320" s="20">
        <f>IFERROR(VLOOKUP(Data[[#This Row],[TDS]],'[7]Static Ext by TDS'!$A$5:$P$120,3,FALSE)+VLOOKUP(Data[[#This Row],[TDS]],'[7]Static Ext by TDS'!$A$5:$P$120,6,FALSE),0)</f>
        <v>0</v>
      </c>
      <c r="AE320" s="20">
        <f>IFERROR(VLOOKUP(Data[[#This Row],[TDS]],'[7]Static Int by TDS'!$A$6:$O$305,3,FALSE)+VLOOKUP(Data[[#This Row],[TDS]],'[7]Static Int by TDS'!$A$6:$O$305,6,FALSE),0)</f>
        <v>1</v>
      </c>
      <c r="AF320" s="20" t="str">
        <f>VLOOKUP(Data[[#This Row],[DEVELOPMENT]],[8]Developments!$A$2:$A$312,1,FALSE)</f>
        <v>WSUR (SITE A) 120 WEST 94TH STREET</v>
      </c>
    </row>
    <row r="321" spans="1:32" x14ac:dyDescent="0.25">
      <c r="A321" t="s">
        <v>359</v>
      </c>
      <c r="B321" s="20" t="str">
        <f>VLOOKUP(Data[[#This Row],[DEVELOPMENT]],'[2]NYCHA_Development_Data_Book 201'!$B$2:$AY$324,40,FALSE)</f>
        <v>MANHATTAN</v>
      </c>
      <c r="C321" s="20" t="str">
        <f>VLOOKUP(Data[[#This Row],[DEVELOPMENT]],'[3]Cheat-Sheet'!$D$2:$Q$341,2,FALSE)</f>
        <v>WISE TOWERS</v>
      </c>
      <c r="D321" s="20" t="str">
        <f>IF(VLOOKUP(Data[[#This Row],[DEVELOPMENT]],'[4]IC Categories'!$A$2:$G$325,3,FALSE)=0,"",VLOOKUP(Data[[#This Row],[DEVELOPMENT]],'[4]IC Categories'!$A$2:$G$325,3,FALSE))</f>
        <v/>
      </c>
      <c r="E321" s="20">
        <f>VLOOKUP(Data[[#This Row],[DEVELOPMENT]],'[2]NYCHA_Development_Data_Book 201'!$B$2:$AY$324,21,FALSE)</f>
        <v>1</v>
      </c>
      <c r="F321" s="20">
        <f>VLOOKUP(Data[[#This Row],[DEVELOPMENT]],'[2]NYCHA_Development_Data_Book 201'!$B$2:$AY$324,23,FALSE)</f>
        <v>1</v>
      </c>
      <c r="G321" s="20">
        <f>VLOOKUP(Data[[#This Row],[DEVELOPMENT]],'[2]NYCHA_Development_Data_Book 201'!$B$2:$AY$324,12,FALSE)</f>
        <v>168</v>
      </c>
      <c r="H321" t="s">
        <v>476</v>
      </c>
      <c r="J321">
        <f>IFERROR(VLOOKUP(Data[[#This Row],[DEVELOPMENT]],[5]!Table1[[DEVELOPMENTS]:[Installation Date of Exterior Compactor]],4,FALSE),0)</f>
        <v>0</v>
      </c>
      <c r="K321" s="20">
        <f>IFERROR(VLOOKUP(Data[[#This Row],[DEVELOPMENT]],[5]!Table1[[DEVELOPMENTS]:[Installation Date of Exterior Compactor]],7,FALSE),0)</f>
        <v>0</v>
      </c>
      <c r="L321" s="42" t="str">
        <f>IF(Data[[#This Row],['# Interior Compactors]]=0,"",VLOOKUP(Data[[#This Row],[DEVELOPMENT]],[5]!Table1[[DEVELOPMENTS]:[Installation Date of Exterior Compactor]],5,FALSE))</f>
        <v/>
      </c>
      <c r="M321" s="43" t="str">
        <f>IF(Data[[#This Row],['# Exterior Compactors]]=0,"",VLOOKUP(Data[[#This Row],[DEVELOPMENT]],[5]!Table1[[DEVELOPMENTS]:[Installation Date of Exterior Compactor]],8,FALSE))</f>
        <v/>
      </c>
      <c r="N321" s="20">
        <f>Data[[#This Row],['# Interior Compactors]]</f>
        <v>0</v>
      </c>
      <c r="O321" s="20">
        <f>1</f>
        <v>1</v>
      </c>
      <c r="P321" s="20">
        <f>1</f>
        <v>1</v>
      </c>
      <c r="Q321" s="20">
        <f>1</f>
        <v>1</v>
      </c>
      <c r="R321" s="20">
        <f>1</f>
        <v>1</v>
      </c>
      <c r="S321" s="20">
        <f>1</f>
        <v>1</v>
      </c>
      <c r="T321" s="20">
        <f>Data[[#This Row],[DUs]]</f>
        <v>168</v>
      </c>
      <c r="U321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21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21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21" s="101">
        <f>VLOOKUP(Data[[#This Row],[DEVELOPMENT]],'[2]NYCHA_Development_Data_Book 201'!$B$2:$E$324,3,FALSE)</f>
        <v>173</v>
      </c>
      <c r="Y321" s="20"/>
      <c r="Z321" s="20">
        <f>IFERROR(VLOOKUP(Data[[#This Row],[TDS]],'[7]Static Ext by TDS'!$A$5:$E$120,2,FALSE),0)</f>
        <v>0</v>
      </c>
      <c r="AA321" s="20">
        <f>IFERROR(VLOOKUP(Data[[#This Row],[TDS]],'[7]Static Int by TDS'!$A$6:$O$305,2,FALSE),0)</f>
        <v>2</v>
      </c>
      <c r="AB321" s="20"/>
      <c r="AC321" s="20"/>
      <c r="AD321" s="20">
        <f>IFERROR(VLOOKUP(Data[[#This Row],[TDS]],'[7]Static Ext by TDS'!$A$5:$P$120,3,FALSE)+VLOOKUP(Data[[#This Row],[TDS]],'[7]Static Ext by TDS'!$A$5:$P$120,6,FALSE),0)</f>
        <v>0</v>
      </c>
      <c r="AE321" s="20">
        <f>IFERROR(VLOOKUP(Data[[#This Row],[TDS]],'[7]Static Int by TDS'!$A$6:$O$305,3,FALSE)+VLOOKUP(Data[[#This Row],[TDS]],'[7]Static Int by TDS'!$A$6:$O$305,6,FALSE),0)</f>
        <v>2</v>
      </c>
      <c r="AF321" s="20" t="str">
        <f>VLOOKUP(Data[[#This Row],[DEVELOPMENT]],[8]Developments!$A$2:$A$312,1,FALSE)</f>
        <v>WSUR (SITE B) 74 WEST 92ND STREET</v>
      </c>
    </row>
    <row r="322" spans="1:32" x14ac:dyDescent="0.25">
      <c r="A322" t="s">
        <v>360</v>
      </c>
      <c r="B322" s="20" t="str">
        <f>VLOOKUP(Data[[#This Row],[DEVELOPMENT]],'[2]NYCHA_Development_Data_Book 201'!$B$2:$AY$324,40,FALSE)</f>
        <v>MANHATTAN</v>
      </c>
      <c r="C322" s="20" t="str">
        <f>VLOOKUP(Data[[#This Row],[DEVELOPMENT]],'[3]Cheat-Sheet'!$D$2:$Q$341,2,FALSE)</f>
        <v>WISE TOWERS</v>
      </c>
      <c r="D322" s="20" t="str">
        <f>IF(VLOOKUP(Data[[#This Row],[DEVELOPMENT]],'[4]IC Categories'!$A$2:$G$325,3,FALSE)=0,"",VLOOKUP(Data[[#This Row],[DEVELOPMENT]],'[4]IC Categories'!$A$2:$G$325,3,FALSE))</f>
        <v/>
      </c>
      <c r="E322" s="20">
        <f>VLOOKUP(Data[[#This Row],[DEVELOPMENT]],'[2]NYCHA_Development_Data_Book 201'!$B$2:$AY$324,21,FALSE)</f>
        <v>1</v>
      </c>
      <c r="F322" s="20">
        <f>VLOOKUP(Data[[#This Row],[DEVELOPMENT]],'[2]NYCHA_Development_Data_Book 201'!$B$2:$AY$324,23,FALSE)</f>
        <v>1</v>
      </c>
      <c r="G322" s="20">
        <f>VLOOKUP(Data[[#This Row],[DEVELOPMENT]],'[2]NYCHA_Development_Data_Book 201'!$B$2:$AY$324,12,FALSE)</f>
        <v>158</v>
      </c>
      <c r="J322">
        <f>IFERROR(VLOOKUP(Data[[#This Row],[DEVELOPMENT]],[5]!Table1[[DEVELOPMENTS]:[Installation Date of Exterior Compactor]],4,FALSE),0)</f>
        <v>0</v>
      </c>
      <c r="K322" s="20">
        <f>IFERROR(VLOOKUP(Data[[#This Row],[DEVELOPMENT]],[5]!Table1[[DEVELOPMENTS]:[Installation Date of Exterior Compactor]],7,FALSE),0)</f>
        <v>0</v>
      </c>
      <c r="L322" s="42" t="str">
        <f>IF(Data[[#This Row],['# Interior Compactors]]=0,"",VLOOKUP(Data[[#This Row],[DEVELOPMENT]],[5]!Table1[[DEVELOPMENTS]:[Installation Date of Exterior Compactor]],5,FALSE))</f>
        <v/>
      </c>
      <c r="M322" s="43" t="str">
        <f>IF(Data[[#This Row],['# Exterior Compactors]]=0,"",VLOOKUP(Data[[#This Row],[DEVELOPMENT]],[5]!Table1[[DEVELOPMENTS]:[Installation Date of Exterior Compactor]],8,FALSE))</f>
        <v/>
      </c>
      <c r="N322" s="20">
        <f>Data[[#This Row],['# Interior Compactors]]</f>
        <v>0</v>
      </c>
      <c r="O322" s="20">
        <f>1</f>
        <v>1</v>
      </c>
      <c r="P322" s="20">
        <f>1</f>
        <v>1</v>
      </c>
      <c r="Q322" s="20">
        <f>1</f>
        <v>1</v>
      </c>
      <c r="R322" s="20">
        <f>1</f>
        <v>1</v>
      </c>
      <c r="S322" s="20">
        <f>1</f>
        <v>1</v>
      </c>
      <c r="T322" s="20">
        <f>Data[[#This Row],[DUs]]</f>
        <v>158</v>
      </c>
      <c r="U322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22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22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22" s="101">
        <f>VLOOKUP(Data[[#This Row],[DEVELOPMENT]],'[2]NYCHA_Development_Data_Book 201'!$B$2:$E$324,3,FALSE)</f>
        <v>174</v>
      </c>
      <c r="Y322" s="20"/>
      <c r="Z322" s="20">
        <f>IFERROR(VLOOKUP(Data[[#This Row],[TDS]],'[7]Static Ext by TDS'!$A$5:$E$120,2,FALSE),0)</f>
        <v>0</v>
      </c>
      <c r="AA322" s="20">
        <f>IFERROR(VLOOKUP(Data[[#This Row],[TDS]],'[7]Static Int by TDS'!$A$6:$O$305,2,FALSE),0)</f>
        <v>2</v>
      </c>
      <c r="AB322" s="20"/>
      <c r="AC322" s="20"/>
      <c r="AD322" s="20">
        <f>IFERROR(VLOOKUP(Data[[#This Row],[TDS]],'[7]Static Ext by TDS'!$A$5:$P$120,3,FALSE)+VLOOKUP(Data[[#This Row],[TDS]],'[7]Static Ext by TDS'!$A$5:$P$120,6,FALSE),0)</f>
        <v>0</v>
      </c>
      <c r="AE322" s="20">
        <f>IFERROR(VLOOKUP(Data[[#This Row],[TDS]],'[7]Static Int by TDS'!$A$6:$O$305,3,FALSE)+VLOOKUP(Data[[#This Row],[TDS]],'[7]Static Int by TDS'!$A$6:$O$305,6,FALSE),0)</f>
        <v>2</v>
      </c>
      <c r="AF322" s="20" t="str">
        <f>VLOOKUP(Data[[#This Row],[DEVELOPMENT]],[8]Developments!$A$2:$A$312,1,FALSE)</f>
        <v>WSUR (SITE C) 589 AMSTERDAM AVENUE</v>
      </c>
    </row>
    <row r="323" spans="1:32" x14ac:dyDescent="0.25">
      <c r="A323" t="s">
        <v>361</v>
      </c>
      <c r="B323" s="20" t="str">
        <f>VLOOKUP(Data[[#This Row],[DEVELOPMENT]],'[2]NYCHA_Development_Data_Book 201'!$B$2:$AY$324,40,FALSE)</f>
        <v>BROOKLYN</v>
      </c>
      <c r="C323" s="20" t="str">
        <f>VLOOKUP(Data[[#This Row],[DEVELOPMENT]],'[3]Cheat-Sheet'!$D$2:$Q$341,2,FALSE)</f>
        <v>WYCKOFF GARDENS</v>
      </c>
      <c r="D323" s="20" t="str">
        <f>IF(VLOOKUP(Data[[#This Row],[DEVELOPMENT]],'[4]IC Categories'!$A$2:$G$325,3,FALSE)=0,"",VLOOKUP(Data[[#This Row],[DEVELOPMENT]],'[4]IC Categories'!$A$2:$G$325,3,FALSE))</f>
        <v/>
      </c>
      <c r="E323" s="20">
        <f>VLOOKUP(Data[[#This Row],[DEVELOPMENT]],'[2]NYCHA_Development_Data_Book 201'!$B$2:$AY$324,21,FALSE)</f>
        <v>3</v>
      </c>
      <c r="F323" s="20">
        <f>VLOOKUP(Data[[#This Row],[DEVELOPMENT]],'[2]NYCHA_Development_Data_Book 201'!$B$2:$AY$324,23,FALSE)</f>
        <v>3</v>
      </c>
      <c r="G323" s="20">
        <f>VLOOKUP(Data[[#This Row],[DEVELOPMENT]],'[2]NYCHA_Development_Data_Book 201'!$B$2:$AY$324,12,FALSE)</f>
        <v>528</v>
      </c>
      <c r="J323">
        <f>IFERROR(VLOOKUP(Data[[#This Row],[DEVELOPMENT]],[5]!Table1[[DEVELOPMENTS]:[Installation Date of Exterior Compactor]],4,FALSE),0)</f>
        <v>0</v>
      </c>
      <c r="K323" s="20">
        <f>IFERROR(VLOOKUP(Data[[#This Row],[DEVELOPMENT]],[5]!Table1[[DEVELOPMENTS]:[Installation Date of Exterior Compactor]],7,FALSE),0)</f>
        <v>0</v>
      </c>
      <c r="L323" s="42" t="str">
        <f>IF(Data[[#This Row],['# Interior Compactors]]=0,"",VLOOKUP(Data[[#This Row],[DEVELOPMENT]],[5]!Table1[[DEVELOPMENTS]:[Installation Date of Exterior Compactor]],5,FALSE))</f>
        <v/>
      </c>
      <c r="M323" s="43" t="str">
        <f>IF(Data[[#This Row],['# Exterior Compactors]]=0,"",VLOOKUP(Data[[#This Row],[DEVELOPMENT]],[5]!Table1[[DEVELOPMENTS]:[Installation Date of Exterior Compactor]],8,FALSE))</f>
        <v/>
      </c>
      <c r="N323" s="20">
        <f>Data[[#This Row],['# Interior Compactors]]</f>
        <v>0</v>
      </c>
      <c r="O323" s="20">
        <f>1</f>
        <v>1</v>
      </c>
      <c r="P323" s="20">
        <f>1</f>
        <v>1</v>
      </c>
      <c r="Q323" s="20">
        <f>1</f>
        <v>1</v>
      </c>
      <c r="R323" s="20">
        <f>1</f>
        <v>1</v>
      </c>
      <c r="S323" s="20">
        <f>1</f>
        <v>1</v>
      </c>
      <c r="T323" s="20">
        <f>Data[[#This Row],[DUs]]</f>
        <v>528</v>
      </c>
      <c r="U323" s="20" t="str">
        <f>IF(AND(Data[[#This Row],['# Exterior Compactors]]=0,ISERROR(VLOOKUP(Data[[#This Row],[DEVELOPMENT]],[6]!Table1[[Development]:[Notes]],6,FALSE))),"",VLOOKUP(Data[[#This Row],[DEVELOPMENT]],[6]!Table1[[Development]:[Notes]],6,FALSE))</f>
        <v/>
      </c>
      <c r="V323" s="20" t="str">
        <f>IF(AND(Data[[#This Row],['# Exterior Compactors]]=0,ISERROR(VLOOKUP(Data[[#This Row],[DEVELOPMENT]],[6]!Table1[[Development]:[Notes]],5,FALSE))),"",VLOOKUP(Data[[#This Row],[DEVELOPMENT]],[6]!Table1[[Development]:[Notes]],5,FALSE))</f>
        <v/>
      </c>
      <c r="W323" s="20" t="str">
        <f>IF(AND(Data[[#This Row],['# Exterior Compactors]]=0,ISERROR(VLOOKUP(Data[[#This Row],[DEVELOPMENT]],[6]!Table1[[Development]:[Notes]],8,FALSE))),"",VLOOKUP(Data[[#This Row],[DEVELOPMENT]],[6]!Table1[[Development]:[Notes]],8,FALSE))</f>
        <v/>
      </c>
      <c r="X323" s="101">
        <f>VLOOKUP(Data[[#This Row],[DEVELOPMENT]],'[2]NYCHA_Development_Data_Book 201'!$B$2:$E$324,3,FALSE)</f>
        <v>163</v>
      </c>
      <c r="Y323" s="20"/>
      <c r="Z323" s="20">
        <f>IFERROR(VLOOKUP(Data[[#This Row],[TDS]],'[7]Static Ext by TDS'!$A$5:$E$120,2,FALSE),0)</f>
        <v>0</v>
      </c>
      <c r="AA323" s="20">
        <f>IFERROR(VLOOKUP(Data[[#This Row],[TDS]],'[7]Static Int by TDS'!$A$6:$O$305,2,FALSE),0)</f>
        <v>6</v>
      </c>
      <c r="AB323" s="20"/>
      <c r="AC323" s="20"/>
      <c r="AD323" s="20">
        <f>IFERROR(VLOOKUP(Data[[#This Row],[TDS]],'[7]Static Ext by TDS'!$A$5:$P$120,3,FALSE)+VLOOKUP(Data[[#This Row],[TDS]],'[7]Static Ext by TDS'!$A$5:$P$120,6,FALSE),0)</f>
        <v>0</v>
      </c>
      <c r="AE323" s="20">
        <f>IFERROR(VLOOKUP(Data[[#This Row],[TDS]],'[7]Static Int by TDS'!$A$6:$O$305,3,FALSE)+VLOOKUP(Data[[#This Row],[TDS]],'[7]Static Int by TDS'!$A$6:$O$305,6,FALSE),0)</f>
        <v>6</v>
      </c>
      <c r="AF323" s="20" t="str">
        <f>VLOOKUP(Data[[#This Row],[DEVELOPMENT]],[8]Developments!$A$2:$A$312,1,FALSE)</f>
        <v>WYCKOFF GARDENS</v>
      </c>
    </row>
    <row r="331" spans="1:32" x14ac:dyDescent="0.25">
      <c r="A331" s="19"/>
    </row>
    <row r="332" spans="1:32" x14ac:dyDescent="0.25">
      <c r="A332" s="19"/>
    </row>
    <row r="333" spans="1:32" x14ac:dyDescent="0.25">
      <c r="A333" s="19"/>
    </row>
    <row r="334" spans="1:32" x14ac:dyDescent="0.25">
      <c r="A334" s="19"/>
    </row>
    <row r="335" spans="1:32" x14ac:dyDescent="0.25">
      <c r="A335" s="19"/>
    </row>
    <row r="336" spans="1:32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</sheetData>
  <conditionalFormatting sqref="A1:XFD1048576">
    <cfRule type="containsErrors" dxfId="2" priority="3">
      <formula>ISERROR(A1)</formula>
    </cfRule>
  </conditionalFormatting>
  <conditionalFormatting sqref="A1:A1048576 C1 E1 G1 I1 K1 M1 O1 Q1 S1 U1 W1 Y1 AA1 AC1 AE1">
    <cfRule type="duplicateValues" dxfId="1" priority="15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852E-29CD-4129-81E3-2D95572F6C4A}">
  <dimension ref="A1:B6"/>
  <sheetViews>
    <sheetView workbookViewId="0">
      <selection activeCell="B28" sqref="B28"/>
    </sheetView>
  </sheetViews>
  <sheetFormatPr defaultRowHeight="15" x14ac:dyDescent="0.25"/>
  <cols>
    <col min="1" max="1" width="35.140625" bestFit="1" customWidth="1"/>
    <col min="2" max="2" width="107.5703125" customWidth="1"/>
  </cols>
  <sheetData>
    <row r="1" spans="1:2" x14ac:dyDescent="0.25">
      <c r="A1" s="49" t="s">
        <v>479</v>
      </c>
      <c r="B1" s="49" t="s">
        <v>480</v>
      </c>
    </row>
    <row r="2" spans="1:2" x14ac:dyDescent="0.25">
      <c r="A2" t="s">
        <v>481</v>
      </c>
      <c r="B2" t="s">
        <v>482</v>
      </c>
    </row>
    <row r="3" spans="1:2" x14ac:dyDescent="0.25">
      <c r="A3" t="s">
        <v>483</v>
      </c>
    </row>
    <row r="4" spans="1:2" x14ac:dyDescent="0.25">
      <c r="A4" t="s">
        <v>484</v>
      </c>
    </row>
    <row r="5" spans="1:2" x14ac:dyDescent="0.25">
      <c r="A5" t="s">
        <v>485</v>
      </c>
    </row>
    <row r="6" spans="1:2" x14ac:dyDescent="0.25">
      <c r="A6" t="s">
        <v>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7635-E6F1-4269-9221-AB847278E35C}">
  <dimension ref="A1:W314"/>
  <sheetViews>
    <sheetView topLeftCell="I1" workbookViewId="0">
      <selection activeCell="U1" sqref="D1:U1048576"/>
    </sheetView>
  </sheetViews>
  <sheetFormatPr defaultRowHeight="15" x14ac:dyDescent="0.25"/>
  <cols>
    <col min="1" max="1" width="6.5703125" style="101" bestFit="1" customWidth="1"/>
    <col min="2" max="2" width="57" bestFit="1" customWidth="1"/>
    <col min="3" max="3" width="14.7109375" bestFit="1" customWidth="1"/>
    <col min="4" max="4" width="14.7109375" customWidth="1"/>
    <col min="5" max="5" width="7" bestFit="1" customWidth="1"/>
    <col min="6" max="6" width="9.85546875" bestFit="1" customWidth="1"/>
    <col min="7" max="7" width="10.28515625" bestFit="1" customWidth="1"/>
    <col min="8" max="8" width="14.28515625" bestFit="1" customWidth="1"/>
    <col min="9" max="9" width="6.85546875" bestFit="1" customWidth="1"/>
    <col min="10" max="10" width="25.42578125" bestFit="1" customWidth="1"/>
    <col min="11" max="11" width="12.85546875" bestFit="1" customWidth="1"/>
    <col min="12" max="12" width="13.7109375" bestFit="1" customWidth="1"/>
    <col min="13" max="13" width="22.5703125" bestFit="1" customWidth="1"/>
    <col min="14" max="14" width="13.7109375" bestFit="1" customWidth="1"/>
    <col min="15" max="15" width="21.85546875" customWidth="1"/>
    <col min="16" max="16" width="11" bestFit="1" customWidth="1"/>
    <col min="17" max="17" width="16.85546875" bestFit="1" customWidth="1"/>
    <col min="18" max="18" width="15.5703125" customWidth="1"/>
    <col min="19" max="19" width="15" bestFit="1" customWidth="1"/>
    <col min="20" max="20" width="20.28515625" bestFit="1" customWidth="1"/>
    <col min="21" max="21" width="14.28515625" bestFit="1" customWidth="1"/>
    <col min="22" max="22" width="16.28515625" bestFit="1" customWidth="1"/>
  </cols>
  <sheetData>
    <row r="1" spans="1:23" x14ac:dyDescent="0.25">
      <c r="V1" s="22">
        <f ca="1">SUM(all[SUM per Development])</f>
        <v>520345101.23086661</v>
      </c>
    </row>
    <row r="2" spans="1:23" x14ac:dyDescent="0.25">
      <c r="B2" s="136" t="s">
        <v>362</v>
      </c>
      <c r="C2" s="77">
        <v>2</v>
      </c>
      <c r="D2" s="77">
        <v>2</v>
      </c>
      <c r="E2" s="77">
        <v>2</v>
      </c>
      <c r="F2" s="77">
        <v>2</v>
      </c>
      <c r="G2" s="130">
        <v>1</v>
      </c>
      <c r="H2" s="130">
        <v>1</v>
      </c>
      <c r="I2" s="130">
        <v>1</v>
      </c>
      <c r="J2" s="130">
        <v>8</v>
      </c>
      <c r="K2" s="130">
        <v>1</v>
      </c>
      <c r="L2" s="130">
        <v>6</v>
      </c>
      <c r="M2" s="130">
        <v>6</v>
      </c>
      <c r="N2" s="77">
        <v>3</v>
      </c>
      <c r="O2" s="77">
        <v>3</v>
      </c>
      <c r="P2" s="77"/>
      <c r="Q2" s="77">
        <v>5</v>
      </c>
      <c r="R2" s="77" t="s">
        <v>363</v>
      </c>
      <c r="S2" s="77" t="s">
        <v>364</v>
      </c>
      <c r="T2" s="77" t="s">
        <v>364</v>
      </c>
      <c r="U2" s="77" t="s">
        <v>364</v>
      </c>
      <c r="V2" s="77"/>
      <c r="W2" s="77">
        <v>7</v>
      </c>
    </row>
    <row r="3" spans="1:23" s="134" customFormat="1" ht="30" x14ac:dyDescent="0.25">
      <c r="A3" s="132" t="s">
        <v>365</v>
      </c>
      <c r="B3" s="133" t="s">
        <v>7</v>
      </c>
      <c r="C3" s="133" t="s">
        <v>5</v>
      </c>
      <c r="D3" s="133" t="s">
        <v>487</v>
      </c>
      <c r="E3" s="133" t="s">
        <v>8</v>
      </c>
      <c r="F3" s="133" t="s">
        <v>9</v>
      </c>
      <c r="G3" s="133" t="s">
        <v>10</v>
      </c>
      <c r="H3" s="133" t="s">
        <v>152</v>
      </c>
      <c r="I3" s="133" t="s">
        <v>366</v>
      </c>
      <c r="J3" s="133" t="s">
        <v>488</v>
      </c>
      <c r="K3" s="133" t="s">
        <v>367</v>
      </c>
      <c r="L3" s="133" t="s">
        <v>368</v>
      </c>
      <c r="M3" s="133" t="s">
        <v>369</v>
      </c>
      <c r="N3" s="133" t="s">
        <v>370</v>
      </c>
      <c r="O3" s="133" t="s">
        <v>371</v>
      </c>
      <c r="P3" s="133" t="s">
        <v>372</v>
      </c>
      <c r="Q3" s="133" t="s">
        <v>373</v>
      </c>
      <c r="R3" s="133" t="s">
        <v>153</v>
      </c>
      <c r="S3" s="133" t="s">
        <v>154</v>
      </c>
      <c r="T3" s="133" t="s">
        <v>155</v>
      </c>
      <c r="U3" s="133" t="s">
        <v>156</v>
      </c>
      <c r="V3" s="133" t="s">
        <v>157</v>
      </c>
      <c r="W3" s="133" t="s">
        <v>24</v>
      </c>
    </row>
    <row r="4" spans="1:23" x14ac:dyDescent="0.25">
      <c r="A4" s="131">
        <f>VLOOKUP(B4,Data[],24,FALSE)</f>
        <v>180</v>
      </c>
      <c r="B4" t="s">
        <v>158</v>
      </c>
      <c r="C4" t="str">
        <f>VLOOKUP(B4,Data[],2,FALSE)</f>
        <v>BRONX</v>
      </c>
      <c r="D4" t="str">
        <f>VLOOKUP(all[[#This Row],[DEVELOPMENT]],Data[],3,FALSE)</f>
        <v>MURPHY</v>
      </c>
      <c r="E4">
        <f>VLOOKUP(B4,Data[],8,FALSE)</f>
        <v>0</v>
      </c>
      <c r="F4">
        <f>VLOOKUP(B4,Data[],9,FALSE)</f>
        <v>0</v>
      </c>
      <c r="G4" t="str">
        <f>IFERROR(VLOOKUP(B4,Data[],4,FALSE),"")</f>
        <v/>
      </c>
      <c r="H4" t="str">
        <f ca="1">IF(G4="","",IF((G4-YEAR(TODAY()))&lt;=5,"Yes",""))</f>
        <v/>
      </c>
      <c r="I4">
        <f>VLOOKUP(all[[#This Row],[DEVELOPMENT]],Data[],7,FALSE)</f>
        <v>218</v>
      </c>
      <c r="J4">
        <f>VLOOKUP(all[[#This Row],[DEVELOPMENT]],Data[],25,FALSE)</f>
        <v>0</v>
      </c>
      <c r="K4" s="135">
        <f>VLOOKUP(all[[#This Row],[DEVELOPMENT]],Data[],5,FALSE)</f>
        <v>1</v>
      </c>
      <c r="L4">
        <f>VLOOKUP(all[[#This Row],[DEVELOPMENT]],Data[],27,FALSE)</f>
        <v>1</v>
      </c>
      <c r="M4">
        <f>VLOOKUP(all[[#This Row],[DEVELOPMENT]],Data[],31,FALSE)</f>
        <v>1</v>
      </c>
      <c r="N4">
        <f>VLOOKUP(all[[#This Row],[DEVELOPMENT]],Data[],26,FALSE)</f>
        <v>0</v>
      </c>
      <c r="O4">
        <f>VLOOKUP(all[[#This Row],[DEVELOPMENT]],Data[],30,FALSE)</f>
        <v>0</v>
      </c>
      <c r="P4">
        <f>VLOOKUP(all[[#This Row],[DEVELOPMENT]],Data[],28,FALSE)</f>
        <v>0</v>
      </c>
      <c r="Q4">
        <f>IF(all[[#This Row],['# Bulk Crushers]]=0,1,0)</f>
        <v>1</v>
      </c>
      <c r="R4" s="5">
        <f>IFERROR(INDEX(FWD[],MATCH($B4,FWD[DEVELOPMENT],0),MATCH("ESTIMATE",FWD[#Headers],0)),0)</f>
        <v>0</v>
      </c>
      <c r="S4" s="5">
        <f>IFERROR(INDEX(EHD[],MATCH($B4,EHD[DEVELOPMENT],0),MATCH("ESTIMATE",EHD[#Headers],0)),0)</f>
        <v>7435.6435000000001</v>
      </c>
      <c r="T4" s="5">
        <f ca="1">IFERROR(INDEX(IntComp[],MATCH($B4,IntComp[DEVELOPMENT],0),MATCH("ESTIMATE",IntComp[#Headers],0)),0)</f>
        <v>73653.394499999995</v>
      </c>
      <c r="U4" s="5">
        <f>IFERROR(INDEX(Yards[],MATCH($B4,Yards[DEVELOPMENT],0),MATCH("ESTIMATE",Yards[#Headers],0)),0)</f>
        <v>1159792.78</v>
      </c>
      <c r="V4" s="128">
        <f ca="1">SUM(R4:U4)</f>
        <v>1240881.818</v>
      </c>
      <c r="W4" s="5"/>
    </row>
    <row r="5" spans="1:23" x14ac:dyDescent="0.25">
      <c r="A5" s="131">
        <f>VLOOKUP(B5,Data[],24,FALSE)</f>
        <v>242</v>
      </c>
      <c r="B5" t="s">
        <v>159</v>
      </c>
      <c r="C5" t="str">
        <f>VLOOKUP(B5,Data[],2,FALSE)</f>
        <v>BROOKLYN</v>
      </c>
      <c r="D5" t="str">
        <f>VLOOKUP(all[[#This Row],[DEVELOPMENT]],Data[],3,FALSE)</f>
        <v>REID APARTMENTS</v>
      </c>
      <c r="E5">
        <f>VLOOKUP(B5,Data[],8,FALSE)</f>
        <v>0</v>
      </c>
      <c r="F5">
        <f>VLOOKUP(B5,Data[],9,FALSE)</f>
        <v>0</v>
      </c>
      <c r="G5">
        <f>IFERROR(VLOOKUP(B5,Data[],4,FALSE),"")</f>
        <v>2021</v>
      </c>
      <c r="H5" t="str">
        <f ca="1">IF(G5="","",IF((G5-YEAR(TODAY()))&lt;=5,"Yes",""))</f>
        <v>Yes</v>
      </c>
      <c r="I5">
        <f>VLOOKUP(all[[#This Row],[DEVELOPMENT]],Data[],7,FALSE)</f>
        <v>30</v>
      </c>
      <c r="J5">
        <f>VLOOKUP(all[[#This Row],[DEVELOPMENT]],Data[],25,FALSE)</f>
        <v>0</v>
      </c>
      <c r="K5">
        <f>VLOOKUP(all[[#This Row],[DEVELOPMENT]],Data[],5,FALSE)</f>
        <v>1</v>
      </c>
      <c r="L5">
        <f>VLOOKUP(all[[#This Row],[DEVELOPMENT]],Data[],27,FALSE)</f>
        <v>2</v>
      </c>
      <c r="M5">
        <f>VLOOKUP(all[[#This Row],[DEVELOPMENT]],Data[],31,FALSE)</f>
        <v>2</v>
      </c>
      <c r="N5">
        <f>VLOOKUP(all[[#This Row],[DEVELOPMENT]],Data[],26,FALSE)</f>
        <v>0</v>
      </c>
      <c r="O5">
        <f>VLOOKUP(all[[#This Row],[DEVELOPMENT]],Data[],30,FALSE)</f>
        <v>0</v>
      </c>
      <c r="P5">
        <f>VLOOKUP(all[[#This Row],[DEVELOPMENT]],Data[],28,FALSE)</f>
        <v>0</v>
      </c>
      <c r="Q5">
        <f>IF(all[[#This Row],['# Bulk Crushers]]=0,1,0)</f>
        <v>1</v>
      </c>
      <c r="R5" s="5">
        <f>IFERROR(INDEX(FWD[],MATCH($B5,FWD[DEVELOPMENT],0),MATCH("ESTIMATE",FWD[#Headers],0)),0)</f>
        <v>0</v>
      </c>
      <c r="S5" s="5">
        <f>IFERROR(INDEX(EHD[],MATCH($B5,EHD[DEVELOPMENT],0),MATCH("ESTIMATE",EHD[#Headers],0)),0)</f>
        <v>14871.287</v>
      </c>
      <c r="T5" s="5">
        <f ca="1">IFERROR(INDEX(IntComp[],MATCH($B5,IntComp[DEVELOPMENT],0),MATCH("ESTIMATE",IntComp[#Headers],0)),0)</f>
        <v>0</v>
      </c>
      <c r="U5" s="5">
        <f>IFERROR(INDEX(Yards[],MATCH($B5,Yards[DEVELOPMENT],0),MATCH("ESTIMATE",Yards[#Headers],0)),0)</f>
        <v>0</v>
      </c>
      <c r="V5" s="128">
        <f ca="1">SUM(R5:U5)</f>
        <v>14871.287</v>
      </c>
      <c r="W5" s="5"/>
    </row>
    <row r="6" spans="1:23" x14ac:dyDescent="0.25">
      <c r="A6" s="131">
        <f>VLOOKUP(B6,Data[],24,FALSE)</f>
        <v>233</v>
      </c>
      <c r="B6" t="s">
        <v>160</v>
      </c>
      <c r="C6" t="str">
        <f>VLOOKUP(B6,Data[],2,FALSE)</f>
        <v>BRONX</v>
      </c>
      <c r="D6" t="str">
        <f>VLOOKUP(all[[#This Row],[DEVELOPMENT]],Data[],3,FALSE)</f>
        <v>CLAREMONT CONSOLIDATED</v>
      </c>
      <c r="E6">
        <f>VLOOKUP(B6,Data[],8,FALSE)</f>
        <v>0</v>
      </c>
      <c r="F6">
        <f>VLOOKUP(B6,Data[],9,FALSE)</f>
        <v>0</v>
      </c>
      <c r="G6">
        <f>IFERROR(VLOOKUP(B6,Data[],4,FALSE),"")</f>
        <v>2025</v>
      </c>
      <c r="H6" t="str">
        <f ca="1">IF(G6="","",IF((G6-YEAR(TODAY()))&lt;=5,"Yes",""))</f>
        <v/>
      </c>
      <c r="I6">
        <f>VLOOKUP(all[[#This Row],[DEVELOPMENT]],Data[],7,FALSE)</f>
        <v>65</v>
      </c>
      <c r="J6">
        <f>VLOOKUP(all[[#This Row],[DEVELOPMENT]],Data[],25,FALSE)</f>
        <v>0</v>
      </c>
      <c r="K6">
        <f>VLOOKUP(all[[#This Row],[DEVELOPMENT]],Data[],5,FALSE)</f>
        <v>1</v>
      </c>
      <c r="L6">
        <f>VLOOKUP(all[[#This Row],[DEVELOPMENT]],Data[],27,FALSE)</f>
        <v>1</v>
      </c>
      <c r="M6">
        <f>VLOOKUP(all[[#This Row],[DEVELOPMENT]],Data[],31,FALSE)</f>
        <v>1</v>
      </c>
      <c r="N6">
        <f>VLOOKUP(all[[#This Row],[DEVELOPMENT]],Data[],26,FALSE)</f>
        <v>0</v>
      </c>
      <c r="O6">
        <f>VLOOKUP(all[[#This Row],[DEVELOPMENT]],Data[],30,FALSE)</f>
        <v>0</v>
      </c>
      <c r="P6">
        <f>VLOOKUP(all[[#This Row],[DEVELOPMENT]],Data[],28,FALSE)</f>
        <v>0</v>
      </c>
      <c r="Q6">
        <f>IF(all[[#This Row],['# Bulk Crushers]]=0,1,0)</f>
        <v>1</v>
      </c>
      <c r="R6" s="5">
        <f>IFERROR(INDEX(FWD[],MATCH($B6,FWD[DEVELOPMENT],0),MATCH("ESTIMATE",FWD[#Headers],0)),0)</f>
        <v>0</v>
      </c>
      <c r="S6" s="5">
        <f>IFERROR(INDEX(EHD[],MATCH($B6,EHD[DEVELOPMENT],0),MATCH("ESTIMATE",EHD[#Headers],0)),0)</f>
        <v>7435.6435000000001</v>
      </c>
      <c r="T6" s="5">
        <f ca="1">IFERROR(INDEX(IntComp[],MATCH($B6,IntComp[DEVELOPMENT],0),MATCH("ESTIMATE",IntComp[#Headers],0)),0)</f>
        <v>0</v>
      </c>
      <c r="U6" s="5">
        <f>IFERROR(INDEX(Yards[],MATCH($B6,Yards[DEVELOPMENT],0),MATCH("ESTIMATE",Yards[#Headers],0)),0)</f>
        <v>0</v>
      </c>
      <c r="V6" s="128">
        <f ca="1">SUM(R6:U6)</f>
        <v>7435.6435000000001</v>
      </c>
      <c r="W6" s="5"/>
    </row>
    <row r="7" spans="1:23" x14ac:dyDescent="0.25">
      <c r="A7" s="131">
        <f>VLOOKUP(B7,Data[],24,FALSE)</f>
        <v>154</v>
      </c>
      <c r="B7" t="s">
        <v>67</v>
      </c>
      <c r="C7" t="str">
        <f>VLOOKUP(B7,Data[],2,FALSE)</f>
        <v>MANHATTAN</v>
      </c>
      <c r="D7" t="str">
        <f>VLOOKUP(all[[#This Row],[DEVELOPMENT]],Data[],3,FALSE)</f>
        <v>TAFT</v>
      </c>
      <c r="E7" t="str">
        <f>VLOOKUP(B7,Data[],8,FALSE)</f>
        <v>Zone 2</v>
      </c>
      <c r="F7" t="str">
        <f>VLOOKUP(B7,Data[],9,FALSE)</f>
        <v>$</v>
      </c>
      <c r="G7" t="str">
        <f>IFERROR(VLOOKUP(B7,Data[],4,FALSE),"")</f>
        <v/>
      </c>
      <c r="H7" t="str">
        <f ca="1">IF(G7="","",IF((G7-YEAR(TODAY()))&lt;=5,"Yes",""))</f>
        <v/>
      </c>
      <c r="I7">
        <f>VLOOKUP(all[[#This Row],[DEVELOPMENT]],Data[],7,FALSE)</f>
        <v>98</v>
      </c>
      <c r="J7">
        <f>VLOOKUP(all[[#This Row],[DEVELOPMENT]],Data[],25,FALSE)</f>
        <v>0</v>
      </c>
      <c r="K7">
        <f>VLOOKUP(all[[#This Row],[DEVELOPMENT]],Data[],5,FALSE)</f>
        <v>1</v>
      </c>
      <c r="L7">
        <f>VLOOKUP(all[[#This Row],[DEVELOPMENT]],Data[],27,FALSE)</f>
        <v>1</v>
      </c>
      <c r="M7">
        <f>VLOOKUP(all[[#This Row],[DEVELOPMENT]],Data[],31,FALSE)</f>
        <v>1</v>
      </c>
      <c r="N7">
        <f>VLOOKUP(all[[#This Row],[DEVELOPMENT]],Data[],26,FALSE)</f>
        <v>0</v>
      </c>
      <c r="O7">
        <f>VLOOKUP(all[[#This Row],[DEVELOPMENT]],Data[],30,FALSE)</f>
        <v>0</v>
      </c>
      <c r="P7">
        <f>VLOOKUP(all[[#This Row],[DEVELOPMENT]],Data[],28,FALSE)</f>
        <v>0</v>
      </c>
      <c r="Q7">
        <f>IF(all[[#This Row],['# Bulk Crushers]]=0,1,0)</f>
        <v>1</v>
      </c>
      <c r="R7" s="5">
        <f>IFERROR(INDEX(FWD[],MATCH($B7,FWD[DEVELOPMENT],0),MATCH("ESTIMATE",FWD[#Headers],0)),0)</f>
        <v>0</v>
      </c>
      <c r="S7" s="5">
        <f>IFERROR(INDEX(EHD[],MATCH($B7,EHD[DEVELOPMENT],0),MATCH("ESTIMATE",EHD[#Headers],0)),0)</f>
        <v>7435.6435000000001</v>
      </c>
      <c r="T7" s="5">
        <f ca="1">IFERROR(INDEX(IntComp[],MATCH($B7,IntComp[DEVELOPMENT],0),MATCH("ESTIMATE",IntComp[#Headers],0)),0)</f>
        <v>73653.394499999995</v>
      </c>
      <c r="U7" s="5">
        <f>IFERROR(INDEX(Yards[],MATCH($B7,Yards[DEVELOPMENT],0),MATCH("ESTIMATE",Yards[#Headers],0)),0)</f>
        <v>1159792.78</v>
      </c>
      <c r="V7" s="128">
        <f ca="1">SUM(R7:U7)</f>
        <v>1240881.818</v>
      </c>
      <c r="W7" s="5"/>
    </row>
    <row r="8" spans="1:23" x14ac:dyDescent="0.25">
      <c r="A8" s="131">
        <f>VLOOKUP(B8,Data[],24,FALSE)</f>
        <v>214</v>
      </c>
      <c r="B8" t="s">
        <v>161</v>
      </c>
      <c r="C8" t="str">
        <f>VLOOKUP(B8,Data[],2,FALSE)</f>
        <v>BRONX</v>
      </c>
      <c r="D8" t="str">
        <f>VLOOKUP(all[[#This Row],[DEVELOPMENT]],Data[],3,FALSE)</f>
        <v>SOTOMAYOR HOUSES</v>
      </c>
      <c r="E8">
        <f>VLOOKUP(B8,Data[],8,FALSE)</f>
        <v>0</v>
      </c>
      <c r="F8">
        <f>VLOOKUP(B8,Data[],9,FALSE)</f>
        <v>0</v>
      </c>
      <c r="G8">
        <f>IFERROR(VLOOKUP(B8,Data[],4,FALSE),"")</f>
        <v>2021</v>
      </c>
      <c r="H8" t="str">
        <f ca="1">IF(G8="","",IF((G8-YEAR(TODAY()))&lt;=5,"Yes",""))</f>
        <v>Yes</v>
      </c>
      <c r="I8">
        <f>VLOOKUP(all[[#This Row],[DEVELOPMENT]],Data[],7,FALSE)</f>
        <v>96</v>
      </c>
      <c r="J8">
        <f>VLOOKUP(all[[#This Row],[DEVELOPMENT]],Data[],25,FALSE)</f>
        <v>0</v>
      </c>
      <c r="K8">
        <f>VLOOKUP(all[[#This Row],[DEVELOPMENT]],Data[],5,FALSE)</f>
        <v>1</v>
      </c>
      <c r="L8">
        <f>VLOOKUP(all[[#This Row],[DEVELOPMENT]],Data[],27,FALSE)</f>
        <v>2</v>
      </c>
      <c r="M8">
        <f>VLOOKUP(all[[#This Row],[DEVELOPMENT]],Data[],31,FALSE)</f>
        <v>2</v>
      </c>
      <c r="N8">
        <f>VLOOKUP(all[[#This Row],[DEVELOPMENT]],Data[],26,FALSE)</f>
        <v>0</v>
      </c>
      <c r="O8">
        <f>VLOOKUP(all[[#This Row],[DEVELOPMENT]],Data[],30,FALSE)</f>
        <v>0</v>
      </c>
      <c r="P8">
        <f>VLOOKUP(all[[#This Row],[DEVELOPMENT]],Data[],28,FALSE)</f>
        <v>0</v>
      </c>
      <c r="Q8">
        <f>IF(all[[#This Row],['# Bulk Crushers]]=0,1,0)</f>
        <v>1</v>
      </c>
      <c r="R8" s="5">
        <f>IFERROR(INDEX(FWD[],MATCH($B8,FWD[DEVELOPMENT],0),MATCH("ESTIMATE",FWD[#Headers],0)),0)</f>
        <v>0</v>
      </c>
      <c r="S8" s="5">
        <f>IFERROR(INDEX(EHD[],MATCH($B8,EHD[DEVELOPMENT],0),MATCH("ESTIMATE",EHD[#Headers],0)),0)</f>
        <v>14871.287</v>
      </c>
      <c r="T8" s="5">
        <f ca="1">IFERROR(INDEX(IntComp[],MATCH($B8,IntComp[DEVELOPMENT],0),MATCH("ESTIMATE",IntComp[#Headers],0)),0)</f>
        <v>0</v>
      </c>
      <c r="U8" s="5">
        <f>IFERROR(INDEX(Yards[],MATCH($B8,Yards[DEVELOPMENT],0),MATCH("ESTIMATE",Yards[#Headers],0)),0)</f>
        <v>0</v>
      </c>
      <c r="V8" s="128">
        <f ca="1">SUM(R8:U8)</f>
        <v>14871.287</v>
      </c>
      <c r="W8" s="5"/>
    </row>
    <row r="9" spans="1:23" x14ac:dyDescent="0.25">
      <c r="A9" s="131">
        <f>VLOOKUP(B9,Data[],24,FALSE)</f>
        <v>359</v>
      </c>
      <c r="B9" t="s">
        <v>162</v>
      </c>
      <c r="C9" t="str">
        <f>VLOOKUP(B9,Data[],2,FALSE)</f>
        <v>MANHATTAN</v>
      </c>
      <c r="D9" t="str">
        <f>VLOOKUP(all[[#This Row],[DEVELOPMENT]],Data[],3,FALSE)</f>
        <v>KRAUS MANAGEMENT (PRIVATE - M/B 1)</v>
      </c>
      <c r="E9">
        <f>VLOOKUP(B9,Data[],8,FALSE)</f>
        <v>0</v>
      </c>
      <c r="F9">
        <f>VLOOKUP(B9,Data[],9,FALSE)</f>
        <v>0</v>
      </c>
      <c r="G9" t="str">
        <f>IFERROR(VLOOKUP(B9,Data[],4,FALSE),"")</f>
        <v/>
      </c>
      <c r="H9" t="str">
        <f ca="1">IF(G9="","",IF((G9-YEAR(TODAY()))&lt;=5,"Yes",""))</f>
        <v/>
      </c>
      <c r="I9">
        <f>VLOOKUP(all[[#This Row],[DEVELOPMENT]],Data[],7,FALSE)</f>
        <v>35</v>
      </c>
      <c r="J9">
        <f>VLOOKUP(all[[#This Row],[DEVELOPMENT]],Data[],25,FALSE)</f>
        <v>0</v>
      </c>
      <c r="K9">
        <f>VLOOKUP(all[[#This Row],[DEVELOPMENT]],Data[],5,FALSE)</f>
        <v>1</v>
      </c>
      <c r="L9">
        <f>VLOOKUP(all[[#This Row],[DEVELOPMENT]],Data[],27,FALSE)</f>
        <v>1</v>
      </c>
      <c r="M9">
        <f>VLOOKUP(all[[#This Row],[DEVELOPMENT]],Data[],31,FALSE)</f>
        <v>1</v>
      </c>
      <c r="N9">
        <f>VLOOKUP(all[[#This Row],[DEVELOPMENT]],Data[],26,FALSE)</f>
        <v>0</v>
      </c>
      <c r="O9">
        <f>VLOOKUP(all[[#This Row],[DEVELOPMENT]],Data[],30,FALSE)</f>
        <v>0</v>
      </c>
      <c r="P9">
        <f>VLOOKUP(all[[#This Row],[DEVELOPMENT]],Data[],28,FALSE)</f>
        <v>0</v>
      </c>
      <c r="Q9">
        <f>IF(all[[#This Row],['# Bulk Crushers]]=0,1,0)</f>
        <v>1</v>
      </c>
      <c r="R9" s="5">
        <f>IFERROR(INDEX(FWD[],MATCH($B9,FWD[DEVELOPMENT],0),MATCH("ESTIMATE",FWD[#Headers],0)),0)</f>
        <v>0</v>
      </c>
      <c r="S9" s="5">
        <f>IFERROR(INDEX(EHD[],MATCH($B9,EHD[DEVELOPMENT],0),MATCH("ESTIMATE",EHD[#Headers],0)),0)</f>
        <v>7435.6435000000001</v>
      </c>
      <c r="T9" s="5">
        <f ca="1">IFERROR(INDEX(IntComp[],MATCH($B9,IntComp[DEVELOPMENT],0),MATCH("ESTIMATE",IntComp[#Headers],0)),0)</f>
        <v>73653.394499999995</v>
      </c>
      <c r="U9" s="5">
        <f>IFERROR(INDEX(Yards[],MATCH($B9,Yards[DEVELOPMENT],0),MATCH("ESTIMATE",Yards[#Headers],0)),0)</f>
        <v>1159792.78</v>
      </c>
      <c r="V9" s="128">
        <f ca="1">SUM(R9:U9)</f>
        <v>1240881.818</v>
      </c>
      <c r="W9" s="5"/>
    </row>
    <row r="10" spans="1:23" x14ac:dyDescent="0.25">
      <c r="A10" s="131">
        <f>VLOOKUP(B10,Data[],24,FALSE)</f>
        <v>156</v>
      </c>
      <c r="B10" t="s">
        <v>118</v>
      </c>
      <c r="C10" t="str">
        <f>VLOOKUP(B10,Data[],2,FALSE)</f>
        <v>BROOKLYN</v>
      </c>
      <c r="D10" t="str">
        <f>VLOOKUP(all[[#This Row],[DEVELOPMENT]],Data[],3,FALSE)</f>
        <v>SUMNER</v>
      </c>
      <c r="E10" t="str">
        <f>VLOOKUP(B10,Data[],8,FALSE)</f>
        <v>Zone 1</v>
      </c>
      <c r="F10" t="str">
        <f>VLOOKUP(B10,Data[],9,FALSE)</f>
        <v>$</v>
      </c>
      <c r="G10" t="str">
        <f>IFERROR(VLOOKUP(B10,Data[],4,FALSE),"")</f>
        <v/>
      </c>
      <c r="H10" t="str">
        <f ca="1">IF(G10="","",IF((G10-YEAR(TODAY()))&lt;=5,"Yes",""))</f>
        <v/>
      </c>
      <c r="I10">
        <f>VLOOKUP(all[[#This Row],[DEVELOPMENT]],Data[],7,FALSE)</f>
        <v>234</v>
      </c>
      <c r="J10" t="str">
        <f>VLOOKUP(all[[#This Row],[DEVELOPMENT]],Data[],25,FALSE)</f>
        <v>Yes</v>
      </c>
      <c r="K10">
        <f>VLOOKUP(all[[#This Row],[DEVELOPMENT]],Data[],5,FALSE)</f>
        <v>1</v>
      </c>
      <c r="L10">
        <f>VLOOKUP(all[[#This Row],[DEVELOPMENT]],Data[],27,FALSE)</f>
        <v>2</v>
      </c>
      <c r="M10">
        <f>VLOOKUP(all[[#This Row],[DEVELOPMENT]],Data[],31,FALSE)</f>
        <v>2</v>
      </c>
      <c r="N10">
        <f>VLOOKUP(all[[#This Row],[DEVELOPMENT]],Data[],26,FALSE)</f>
        <v>0</v>
      </c>
      <c r="O10">
        <f>VLOOKUP(all[[#This Row],[DEVELOPMENT]],Data[],30,FALSE)</f>
        <v>0</v>
      </c>
      <c r="P10">
        <f>VLOOKUP(all[[#This Row],[DEVELOPMENT]],Data[],28,FALSE)</f>
        <v>0</v>
      </c>
      <c r="Q10">
        <f>IF(all[[#This Row],['# Bulk Crushers]]=0,1,0)</f>
        <v>1</v>
      </c>
      <c r="R10" s="5">
        <f>IFERROR(INDEX(FWD[],MATCH($B10,FWD[DEVELOPMENT],0),MATCH("ESTIMATE",FWD[#Headers],0)),0)</f>
        <v>402184.21169026551</v>
      </c>
      <c r="S10" s="5">
        <f>IFERROR(INDEX(EHD[],MATCH($B10,EHD[DEVELOPMENT],0),MATCH("ESTIMATE",EHD[#Headers],0)),0)</f>
        <v>14871.287</v>
      </c>
      <c r="T10" s="5">
        <f ca="1">IFERROR(INDEX(IntComp[],MATCH($B10,IntComp[DEVELOPMENT],0),MATCH("ESTIMATE",IntComp[#Headers],0)),0)</f>
        <v>147306.78899999999</v>
      </c>
      <c r="U10" s="5">
        <f>IFERROR(INDEX(Yards[],MATCH($B10,Yards[DEVELOPMENT],0),MATCH("ESTIMATE",Yards[#Headers],0)),0)</f>
        <v>1159792.78</v>
      </c>
      <c r="V10" s="128">
        <f ca="1">SUM(R10:U10)</f>
        <v>1724155.0676902656</v>
      </c>
      <c r="W10" s="5"/>
    </row>
    <row r="11" spans="1:23" x14ac:dyDescent="0.25">
      <c r="A11" s="131">
        <f>VLOOKUP(B11,Data[],24,FALSE)</f>
        <v>203</v>
      </c>
      <c r="B11" t="s">
        <v>69</v>
      </c>
      <c r="C11" t="str">
        <f>VLOOKUP(B11,Data[],2,FALSE)</f>
        <v>MANHATTAN</v>
      </c>
      <c r="D11" t="str">
        <f>VLOOKUP(all[[#This Row],[DEVELOPMENT]],Data[],3,FALSE)</f>
        <v>JEFFERSON</v>
      </c>
      <c r="E11" t="str">
        <f>VLOOKUP(B11,Data[],8,FALSE)</f>
        <v>Zone 3</v>
      </c>
      <c r="F11" t="str">
        <f>VLOOKUP(B11,Data[],9,FALSE)</f>
        <v>$</v>
      </c>
      <c r="G11" t="str">
        <f>IFERROR(VLOOKUP(B11,Data[],4,FALSE),"")</f>
        <v/>
      </c>
      <c r="H11" t="str">
        <f ca="1">IF(G11="","",IF((G11-YEAR(TODAY()))&lt;=5,"Yes",""))</f>
        <v/>
      </c>
      <c r="I11">
        <f>VLOOKUP(all[[#This Row],[DEVELOPMENT]],Data[],7,FALSE)</f>
        <v>66</v>
      </c>
      <c r="J11">
        <f>VLOOKUP(all[[#This Row],[DEVELOPMENT]],Data[],25,FALSE)</f>
        <v>0</v>
      </c>
      <c r="K11">
        <f>VLOOKUP(all[[#This Row],[DEVELOPMENT]],Data[],5,FALSE)</f>
        <v>1</v>
      </c>
      <c r="L11">
        <f>VLOOKUP(all[[#This Row],[DEVELOPMENT]],Data[],27,FALSE)</f>
        <v>1</v>
      </c>
      <c r="M11">
        <f>VLOOKUP(all[[#This Row],[DEVELOPMENT]],Data[],31,FALSE)</f>
        <v>1</v>
      </c>
      <c r="N11">
        <f>VLOOKUP(all[[#This Row],[DEVELOPMENT]],Data[],26,FALSE)</f>
        <v>0</v>
      </c>
      <c r="O11">
        <f>VLOOKUP(all[[#This Row],[DEVELOPMENT]],Data[],30,FALSE)</f>
        <v>0</v>
      </c>
      <c r="P11">
        <f>VLOOKUP(all[[#This Row],[DEVELOPMENT]],Data[],28,FALSE)</f>
        <v>0</v>
      </c>
      <c r="Q11">
        <f>IF(all[[#This Row],['# Bulk Crushers]]=0,1,0)</f>
        <v>1</v>
      </c>
      <c r="R11" s="5">
        <f>IFERROR(INDEX(FWD[],MATCH($B11,FWD[DEVELOPMENT],0),MATCH("ESTIMATE",FWD[#Headers],0)),0)</f>
        <v>0</v>
      </c>
      <c r="S11" s="5">
        <f>IFERROR(INDEX(EHD[],MATCH($B11,EHD[DEVELOPMENT],0),MATCH("ESTIMATE",EHD[#Headers],0)),0)</f>
        <v>7435.6435000000001</v>
      </c>
      <c r="T11" s="5">
        <f ca="1">IFERROR(INDEX(IntComp[],MATCH($B11,IntComp[DEVELOPMENT],0),MATCH("ESTIMATE",IntComp[#Headers],0)),0)</f>
        <v>73653.394499999995</v>
      </c>
      <c r="U11" s="5">
        <f>IFERROR(INDEX(Yards[],MATCH($B11,Yards[DEVELOPMENT],0),MATCH("ESTIMATE",Yards[#Headers],0)),0)</f>
        <v>1159792.78</v>
      </c>
      <c r="V11" s="128">
        <f ca="1">SUM(R11:U11)</f>
        <v>1240881.818</v>
      </c>
      <c r="W11" s="5"/>
    </row>
    <row r="12" spans="1:23" x14ac:dyDescent="0.25">
      <c r="A12" s="131">
        <f>VLOOKUP(B12,Data[],24,FALSE)</f>
        <v>185</v>
      </c>
      <c r="B12" t="s">
        <v>163</v>
      </c>
      <c r="C12" t="str">
        <f>VLOOKUP(B12,Data[],2,FALSE)</f>
        <v>MANHATTAN</v>
      </c>
      <c r="D12" t="str">
        <f>VLOOKUP(all[[#This Row],[DEVELOPMENT]],Data[],3,FALSE)</f>
        <v>STRAUS</v>
      </c>
      <c r="E12">
        <f>VLOOKUP(B12,Data[],8,FALSE)</f>
        <v>0</v>
      </c>
      <c r="F12">
        <f>VLOOKUP(B12,Data[],9,FALSE)</f>
        <v>0</v>
      </c>
      <c r="G12" t="str">
        <f>IFERROR(VLOOKUP(B12,Data[],4,FALSE),"")</f>
        <v/>
      </c>
      <c r="H12" t="str">
        <f ca="1">IF(G12="","",IF((G12-YEAR(TODAY()))&lt;=5,"Yes",""))</f>
        <v/>
      </c>
      <c r="I12">
        <f>VLOOKUP(all[[#This Row],[DEVELOPMENT]],Data[],7,FALSE)</f>
        <v>225</v>
      </c>
      <c r="J12" t="str">
        <f>VLOOKUP(all[[#This Row],[DEVELOPMENT]],Data[],25,FALSE)</f>
        <v>Yes</v>
      </c>
      <c r="K12">
        <f>VLOOKUP(all[[#This Row],[DEVELOPMENT]],Data[],5,FALSE)</f>
        <v>1</v>
      </c>
      <c r="L12">
        <f>VLOOKUP(all[[#This Row],[DEVELOPMENT]],Data[],27,FALSE)</f>
        <v>1</v>
      </c>
      <c r="M12">
        <f>VLOOKUP(all[[#This Row],[DEVELOPMENT]],Data[],31,FALSE)</f>
        <v>1</v>
      </c>
      <c r="N12">
        <f>VLOOKUP(all[[#This Row],[DEVELOPMENT]],Data[],26,FALSE)</f>
        <v>0</v>
      </c>
      <c r="O12">
        <f>VLOOKUP(all[[#This Row],[DEVELOPMENT]],Data[],30,FALSE)</f>
        <v>0</v>
      </c>
      <c r="P12">
        <f>VLOOKUP(all[[#This Row],[DEVELOPMENT]],Data[],28,FALSE)</f>
        <v>0</v>
      </c>
      <c r="Q12">
        <f>IF(all[[#This Row],['# Bulk Crushers]]=0,1,0)</f>
        <v>1</v>
      </c>
      <c r="R12" s="5">
        <f>IFERROR(INDEX(FWD[],MATCH($B12,FWD[DEVELOPMENT],0),MATCH("ESTIMATE",FWD[#Headers],0)),0)</f>
        <v>386715.58816371683</v>
      </c>
      <c r="S12" s="5">
        <f>IFERROR(INDEX(EHD[],MATCH($B12,EHD[DEVELOPMENT],0),MATCH("ESTIMATE",EHD[#Headers],0)),0)</f>
        <v>7435.6435000000001</v>
      </c>
      <c r="T12" s="5">
        <f ca="1">IFERROR(INDEX(IntComp[],MATCH($B12,IntComp[DEVELOPMENT],0),MATCH("ESTIMATE",IntComp[#Headers],0)),0)</f>
        <v>73653.394499999995</v>
      </c>
      <c r="U12" s="5">
        <f>IFERROR(INDEX(Yards[],MATCH($B12,Yards[DEVELOPMENT],0),MATCH("ESTIMATE",Yards[#Headers],0)),0)</f>
        <v>1159792.78</v>
      </c>
      <c r="V12" s="128">
        <f ca="1">SUM(R12:U12)</f>
        <v>1627597.4061637169</v>
      </c>
      <c r="W12" s="5"/>
    </row>
    <row r="13" spans="1:23" x14ac:dyDescent="0.25">
      <c r="A13" s="131">
        <f>VLOOKUP(B13,Data[],24,FALSE)</f>
        <v>265</v>
      </c>
      <c r="B13" t="s">
        <v>57</v>
      </c>
      <c r="C13" t="str">
        <f>VLOOKUP(B13,Data[],2,FALSE)</f>
        <v>MANHATTAN</v>
      </c>
      <c r="D13" t="str">
        <f>VLOOKUP(all[[#This Row],[DEVELOPMENT]],Data[],3,FALSE)</f>
        <v>GOMPERS</v>
      </c>
      <c r="E13" t="str">
        <f>VLOOKUP(B13,Data[],8,FALSE)</f>
        <v>Zone 1</v>
      </c>
      <c r="F13" t="str">
        <f>VLOOKUP(B13,Data[],9,FALSE)</f>
        <v>$$</v>
      </c>
      <c r="G13" t="str">
        <f>IFERROR(VLOOKUP(B13,Data[],4,FALSE),"")</f>
        <v/>
      </c>
      <c r="H13" t="str">
        <f ca="1">IF(G13="","",IF((G13-YEAR(TODAY()))&lt;=5,"Yes",""))</f>
        <v/>
      </c>
      <c r="I13">
        <f>VLOOKUP(all[[#This Row],[DEVELOPMENT]],Data[],7,FALSE)</f>
        <v>107</v>
      </c>
      <c r="J13" t="str">
        <f>VLOOKUP(all[[#This Row],[DEVELOPMENT]],Data[],25,FALSE)</f>
        <v>Yes</v>
      </c>
      <c r="K13">
        <f>VLOOKUP(all[[#This Row],[DEVELOPMENT]],Data[],5,FALSE)</f>
        <v>1</v>
      </c>
      <c r="L13">
        <f>VLOOKUP(all[[#This Row],[DEVELOPMENT]],Data[],27,FALSE)</f>
        <v>1</v>
      </c>
      <c r="M13">
        <f>VLOOKUP(all[[#This Row],[DEVELOPMENT]],Data[],31,FALSE)</f>
        <v>1</v>
      </c>
      <c r="N13">
        <f>VLOOKUP(all[[#This Row],[DEVELOPMENT]],Data[],26,FALSE)</f>
        <v>0</v>
      </c>
      <c r="O13">
        <f>VLOOKUP(all[[#This Row],[DEVELOPMENT]],Data[],30,FALSE)</f>
        <v>0</v>
      </c>
      <c r="P13">
        <f>VLOOKUP(all[[#This Row],[DEVELOPMENT]],Data[],28,FALSE)</f>
        <v>0</v>
      </c>
      <c r="Q13">
        <f>IF(all[[#This Row],['# Bulk Crushers]]=0,1,0)</f>
        <v>1</v>
      </c>
      <c r="R13" s="5">
        <f>IFERROR(INDEX(FWD[],MATCH($B13,FWD[DEVELOPMENT],0),MATCH("ESTIMATE",FWD[#Headers],0)),0)</f>
        <v>183904.74637118977</v>
      </c>
      <c r="S13" s="5">
        <f>IFERROR(INDEX(EHD[],MATCH($B13,EHD[DEVELOPMENT],0),MATCH("ESTIMATE",EHD[#Headers],0)),0)</f>
        <v>7435.6435000000001</v>
      </c>
      <c r="T13" s="5">
        <f ca="1">IFERROR(INDEX(IntComp[],MATCH($B13,IntComp[DEVELOPMENT],0),MATCH("ESTIMATE",IntComp[#Headers],0)),0)</f>
        <v>73653.394499999995</v>
      </c>
      <c r="U13" s="5">
        <f>IFERROR(INDEX(Yards[],MATCH($B13,Yards[DEVELOPMENT],0),MATCH("ESTIMATE",Yards[#Headers],0)),0)</f>
        <v>1159792.78</v>
      </c>
      <c r="V13" s="128">
        <f ca="1">SUM(R13:U13)</f>
        <v>1424786.5643711898</v>
      </c>
      <c r="W13" s="5"/>
    </row>
    <row r="14" spans="1:23" x14ac:dyDescent="0.25">
      <c r="A14" s="131">
        <f>VLOOKUP(B14,Data[],24,FALSE)</f>
        <v>196</v>
      </c>
      <c r="B14" t="s">
        <v>164</v>
      </c>
      <c r="C14" t="str">
        <f>VLOOKUP(B14,Data[],2,FALSE)</f>
        <v>BROOKLYN</v>
      </c>
      <c r="D14" t="str">
        <f>VLOOKUP(all[[#This Row],[DEVELOPMENT]],Data[],3,FALSE)</f>
        <v>WYCKOFF GARDENS</v>
      </c>
      <c r="E14">
        <f>VLOOKUP(B14,Data[],8,FALSE)</f>
        <v>0</v>
      </c>
      <c r="F14">
        <f>VLOOKUP(B14,Data[],9,FALSE)</f>
        <v>0</v>
      </c>
      <c r="G14" t="str">
        <f>IFERROR(VLOOKUP(B14,Data[],4,FALSE),"")</f>
        <v/>
      </c>
      <c r="H14" t="str">
        <f ca="1">IF(G14="","",IF((G14-YEAR(TODAY()))&lt;=5,"Yes",""))</f>
        <v/>
      </c>
      <c r="I14">
        <f>VLOOKUP(all[[#This Row],[DEVELOPMENT]],Data[],7,FALSE)</f>
        <v>200</v>
      </c>
      <c r="J14">
        <f>VLOOKUP(all[[#This Row],[DEVELOPMENT]],Data[],25,FALSE)</f>
        <v>0</v>
      </c>
      <c r="K14">
        <f>VLOOKUP(all[[#This Row],[DEVELOPMENT]],Data[],5,FALSE)</f>
        <v>1</v>
      </c>
      <c r="L14">
        <f>VLOOKUP(all[[#This Row],[DEVELOPMENT]],Data[],27,FALSE)</f>
        <v>2</v>
      </c>
      <c r="M14">
        <f>VLOOKUP(all[[#This Row],[DEVELOPMENT]],Data[],31,FALSE)</f>
        <v>2</v>
      </c>
      <c r="N14">
        <f>VLOOKUP(all[[#This Row],[DEVELOPMENT]],Data[],26,FALSE)</f>
        <v>0</v>
      </c>
      <c r="O14">
        <f>VLOOKUP(all[[#This Row],[DEVELOPMENT]],Data[],30,FALSE)</f>
        <v>0</v>
      </c>
      <c r="P14">
        <f>VLOOKUP(all[[#This Row],[DEVELOPMENT]],Data[],28,FALSE)</f>
        <v>0</v>
      </c>
      <c r="Q14">
        <f>IF(all[[#This Row],['# Bulk Crushers]]=0,1,0)</f>
        <v>1</v>
      </c>
      <c r="R14" s="5">
        <f>IFERROR(INDEX(FWD[],MATCH($B14,FWD[DEVELOPMENT],0),MATCH("ESTIMATE",FWD[#Headers],0)),0)</f>
        <v>0</v>
      </c>
      <c r="S14" s="5">
        <f>IFERROR(INDEX(EHD[],MATCH($B14,EHD[DEVELOPMENT],0),MATCH("ESTIMATE",EHD[#Headers],0)),0)</f>
        <v>14871.287</v>
      </c>
      <c r="T14" s="5">
        <f ca="1">IFERROR(INDEX(IntComp[],MATCH($B14,IntComp[DEVELOPMENT],0),MATCH("ESTIMATE",IntComp[#Headers],0)),0)</f>
        <v>147306.78899999999</v>
      </c>
      <c r="U14" s="5">
        <f>IFERROR(INDEX(Yards[],MATCH($B14,Yards[DEVELOPMENT],0),MATCH("ESTIMATE",Yards[#Headers],0)),0)</f>
        <v>1159792.78</v>
      </c>
      <c r="V14" s="128">
        <f ca="1">SUM(R14:U14)</f>
        <v>1321970.8560000001</v>
      </c>
      <c r="W14" s="5"/>
    </row>
    <row r="15" spans="1:23" x14ac:dyDescent="0.25">
      <c r="A15" s="131">
        <f>VLOOKUP(B15,Data[],24,FALSE)</f>
        <v>150</v>
      </c>
      <c r="B15" t="s">
        <v>165</v>
      </c>
      <c r="C15" t="str">
        <f>VLOOKUP(B15,Data[],2,FALSE)</f>
        <v>MANHATTAN</v>
      </c>
      <c r="D15" t="str">
        <f>VLOOKUP(all[[#This Row],[DEVELOPMENT]],Data[],3,FALSE)</f>
        <v>DOUGLASS</v>
      </c>
      <c r="E15">
        <f>VLOOKUP(B15,Data[],8,FALSE)</f>
        <v>0</v>
      </c>
      <c r="F15">
        <f>VLOOKUP(B15,Data[],9,FALSE)</f>
        <v>0</v>
      </c>
      <c r="G15" t="str">
        <f>IFERROR(VLOOKUP(B15,Data[],4,FALSE),"")</f>
        <v/>
      </c>
      <c r="H15" t="str">
        <f ca="1">IF(G15="","",IF((G15-YEAR(TODAY()))&lt;=5,"Yes",""))</f>
        <v/>
      </c>
      <c r="I15">
        <f>VLOOKUP(all[[#This Row],[DEVELOPMENT]],Data[],7,FALSE)</f>
        <v>158</v>
      </c>
      <c r="J15">
        <f>VLOOKUP(all[[#This Row],[DEVELOPMENT]],Data[],25,FALSE)</f>
        <v>0</v>
      </c>
      <c r="K15">
        <f>VLOOKUP(all[[#This Row],[DEVELOPMENT]],Data[],5,FALSE)</f>
        <v>1</v>
      </c>
      <c r="L15">
        <f>VLOOKUP(all[[#This Row],[DEVELOPMENT]],Data[],27,FALSE)</f>
        <v>2</v>
      </c>
      <c r="M15">
        <f>VLOOKUP(all[[#This Row],[DEVELOPMENT]],Data[],31,FALSE)</f>
        <v>2</v>
      </c>
      <c r="N15">
        <f>VLOOKUP(all[[#This Row],[DEVELOPMENT]],Data[],26,FALSE)</f>
        <v>0</v>
      </c>
      <c r="O15">
        <f>VLOOKUP(all[[#This Row],[DEVELOPMENT]],Data[],30,FALSE)</f>
        <v>0</v>
      </c>
      <c r="P15">
        <f>VLOOKUP(all[[#This Row],[DEVELOPMENT]],Data[],28,FALSE)</f>
        <v>0</v>
      </c>
      <c r="Q15">
        <f>IF(all[[#This Row],['# Bulk Crushers]]=0,1,0)</f>
        <v>1</v>
      </c>
      <c r="R15" s="5">
        <f>IFERROR(INDEX(FWD[],MATCH($B15,FWD[DEVELOPMENT],0),MATCH("ESTIMATE",FWD[#Headers],0)),0)</f>
        <v>0</v>
      </c>
      <c r="S15" s="5">
        <f>IFERROR(INDEX(EHD[],MATCH($B15,EHD[DEVELOPMENT],0),MATCH("ESTIMATE",EHD[#Headers],0)),0)</f>
        <v>14871.287</v>
      </c>
      <c r="T15" s="5">
        <f ca="1">IFERROR(INDEX(IntComp[],MATCH($B15,IntComp[DEVELOPMENT],0),MATCH("ESTIMATE",IntComp[#Headers],0)),0)</f>
        <v>147306.78899999999</v>
      </c>
      <c r="U15" s="5">
        <f>IFERROR(INDEX(Yards[],MATCH($B15,Yards[DEVELOPMENT],0),MATCH("ESTIMATE",Yards[#Headers],0)),0)</f>
        <v>1159792.78</v>
      </c>
      <c r="V15" s="128">
        <f ca="1">SUM(R15:U15)</f>
        <v>1321970.8560000001</v>
      </c>
      <c r="W15" s="5"/>
    </row>
    <row r="16" spans="1:23" x14ac:dyDescent="0.25">
      <c r="A16" s="131">
        <f>VLOOKUP(B16,Data[],24,FALSE)</f>
        <v>118</v>
      </c>
      <c r="B16" t="s">
        <v>166</v>
      </c>
      <c r="C16" t="str">
        <f>VLOOKUP(B16,Data[],2,FALSE)</f>
        <v>BRONX</v>
      </c>
      <c r="D16" t="str">
        <f>VLOOKUP(all[[#This Row],[DEVELOPMENT]],Data[],3,FALSE)</f>
        <v>ADAMS</v>
      </c>
      <c r="E16">
        <f>VLOOKUP(B16,Data[],8,FALSE)</f>
        <v>0</v>
      </c>
      <c r="F16">
        <f>VLOOKUP(B16,Data[],9,FALSE)</f>
        <v>0</v>
      </c>
      <c r="G16" t="str">
        <f>IFERROR(VLOOKUP(B16,Data[],4,FALSE),"")</f>
        <v/>
      </c>
      <c r="H16" t="str">
        <f ca="1">IF(G16="","",IF((G16-YEAR(TODAY()))&lt;=5,"Yes",""))</f>
        <v/>
      </c>
      <c r="I16">
        <f>VLOOKUP(all[[#This Row],[DEVELOPMENT]],Data[],7,FALSE)</f>
        <v>924</v>
      </c>
      <c r="J16">
        <f>VLOOKUP(all[[#This Row],[DEVELOPMENT]],Data[],25,FALSE)</f>
        <v>0</v>
      </c>
      <c r="K16">
        <f>VLOOKUP(all[[#This Row],[DEVELOPMENT]],Data[],5,FALSE)</f>
        <v>7</v>
      </c>
      <c r="L16">
        <f>VLOOKUP(all[[#This Row],[DEVELOPMENT]],Data[],27,FALSE)</f>
        <v>7</v>
      </c>
      <c r="M16">
        <f>VLOOKUP(all[[#This Row],[DEVELOPMENT]],Data[],31,FALSE)</f>
        <v>7</v>
      </c>
      <c r="N16">
        <f>VLOOKUP(all[[#This Row],[DEVELOPMENT]],Data[],26,FALSE)</f>
        <v>2</v>
      </c>
      <c r="O16">
        <f>VLOOKUP(all[[#This Row],[DEVELOPMENT]],Data[],30,FALSE)</f>
        <v>2</v>
      </c>
      <c r="P16">
        <f>VLOOKUP(all[[#This Row],[DEVELOPMENT]],Data[],28,FALSE)</f>
        <v>0</v>
      </c>
      <c r="Q16">
        <f>IF(all[[#This Row],['# Bulk Crushers]]=0,1,0)</f>
        <v>1</v>
      </c>
      <c r="R16" s="5">
        <f>IFERROR(INDEX(FWD[],MATCH($B16,FWD[DEVELOPMENT],0),MATCH("ESTIMATE",FWD[#Headers],0)),0)</f>
        <v>0</v>
      </c>
      <c r="S16" s="5">
        <f>IFERROR(INDEX(EHD[],MATCH($B16,EHD[DEVELOPMENT],0),MATCH("ESTIMATE",EHD[#Headers],0)),0)</f>
        <v>52049.504500000003</v>
      </c>
      <c r="T16" s="5">
        <f ca="1">IFERROR(INDEX(IntComp[],MATCH($B16,IntComp[DEVELOPMENT],0),MATCH("ESTIMATE",IntComp[#Headers],0)),0)</f>
        <v>515573.76149999991</v>
      </c>
      <c r="U16" s="5">
        <f ca="1">IFERROR(INDEX(Yards[],MATCH($B16,Yards[DEVELOPMENT],0),MATCH("ESTIMATE",Yards[#Headers],0)),0)</f>
        <v>1591050.0199999998</v>
      </c>
      <c r="V16" s="128">
        <f ca="1">SUM(R16:U16)</f>
        <v>2158673.2859999998</v>
      </c>
      <c r="W16" s="5"/>
    </row>
    <row r="17" spans="1:23" x14ac:dyDescent="0.25">
      <c r="A17" s="131">
        <f>VLOOKUP(B17,Data[],24,FALSE)</f>
        <v>31</v>
      </c>
      <c r="B17" t="s">
        <v>167</v>
      </c>
      <c r="C17" t="str">
        <f>VLOOKUP(B17,Data[],2,FALSE)</f>
        <v>BROOKLYN</v>
      </c>
      <c r="D17" t="str">
        <f>VLOOKUP(all[[#This Row],[DEVELOPMENT]],Data[],3,FALSE)</f>
        <v>ALBANY</v>
      </c>
      <c r="E17">
        <f>VLOOKUP(B17,Data[],8,FALSE)</f>
        <v>0</v>
      </c>
      <c r="F17">
        <f>VLOOKUP(B17,Data[],9,FALSE)</f>
        <v>0</v>
      </c>
      <c r="G17">
        <f>IFERROR(VLOOKUP(B17,Data[],4,FALSE),"")</f>
        <v>2025</v>
      </c>
      <c r="H17" t="str">
        <f ca="1">IF(G17="","",IF((G17-YEAR(TODAY()))&lt;=5,"Yes",""))</f>
        <v/>
      </c>
      <c r="I17">
        <f>VLOOKUP(all[[#This Row],[DEVELOPMENT]],Data[],7,FALSE)</f>
        <v>823</v>
      </c>
      <c r="J17" t="str">
        <f>VLOOKUP(all[[#This Row],[DEVELOPMENT]],Data[],25,FALSE)</f>
        <v>Yes</v>
      </c>
      <c r="K17">
        <f>VLOOKUP(all[[#This Row],[DEVELOPMENT]],Data[],5,FALSE)</f>
        <v>6</v>
      </c>
      <c r="L17">
        <f>VLOOKUP(all[[#This Row],[DEVELOPMENT]],Data[],27,FALSE)</f>
        <v>6</v>
      </c>
      <c r="M17">
        <f>VLOOKUP(all[[#This Row],[DEVELOPMENT]],Data[],31,FALSE)</f>
        <v>6</v>
      </c>
      <c r="N17">
        <f>VLOOKUP(all[[#This Row],[DEVELOPMENT]],Data[],26,FALSE)</f>
        <v>0</v>
      </c>
      <c r="O17">
        <f>VLOOKUP(all[[#This Row],[DEVELOPMENT]],Data[],30,FALSE)</f>
        <v>0</v>
      </c>
      <c r="P17">
        <f>VLOOKUP(all[[#This Row],[DEVELOPMENT]],Data[],28,FALSE)</f>
        <v>0</v>
      </c>
      <c r="Q17">
        <f>IF(all[[#This Row],['# Bulk Crushers]]=0,1,0)</f>
        <v>1</v>
      </c>
      <c r="R17" s="5">
        <f>IFERROR(INDEX(FWD[],MATCH($B17,FWD[DEVELOPMENT],0),MATCH("ESTIMATE",FWD[#Headers],0)),0)</f>
        <v>1414519.6847055065</v>
      </c>
      <c r="S17" s="5">
        <f>IFERROR(INDEX(EHD[],MATCH($B17,EHD[DEVELOPMENT],0),MATCH("ESTIMATE",EHD[#Headers],0)),0)</f>
        <v>44613.861000000004</v>
      </c>
      <c r="T17" s="5">
        <f ca="1">IFERROR(INDEX(IntComp[],MATCH($B17,IntComp[DEVELOPMENT],0),MATCH("ESTIMATE",IntComp[#Headers],0)),0)</f>
        <v>0</v>
      </c>
      <c r="U17" s="5">
        <f>IFERROR(INDEX(Yards[],MATCH($B17,Yards[DEVELOPMENT],0),MATCH("ESTIMATE",Yards[#Headers],0)),0)</f>
        <v>0</v>
      </c>
      <c r="V17" s="128">
        <f ca="1">SUM(R17:U17)</f>
        <v>1459133.5457055066</v>
      </c>
      <c r="W17" s="5"/>
    </row>
    <row r="18" spans="1:23" x14ac:dyDescent="0.25">
      <c r="A18" s="131">
        <f>VLOOKUP(B18,Data[],24,FALSE)</f>
        <v>85</v>
      </c>
      <c r="B18" t="s">
        <v>168</v>
      </c>
      <c r="C18" t="str">
        <f>VLOOKUP(B18,Data[],2,FALSE)</f>
        <v>BROOKLYN</v>
      </c>
      <c r="D18" t="str">
        <f>VLOOKUP(all[[#This Row],[DEVELOPMENT]],Data[],3,FALSE)</f>
        <v>ALBANY</v>
      </c>
      <c r="E18">
        <f>VLOOKUP(B18,Data[],8,FALSE)</f>
        <v>0</v>
      </c>
      <c r="F18">
        <f>VLOOKUP(B18,Data[],9,FALSE)</f>
        <v>0</v>
      </c>
      <c r="G18">
        <f>IFERROR(VLOOKUP(B18,Data[],4,FALSE),"")</f>
        <v>2025</v>
      </c>
      <c r="H18" t="str">
        <f ca="1">IF(G18="","",IF((G18-YEAR(TODAY()))&lt;=5,"Yes",""))</f>
        <v/>
      </c>
      <c r="I18">
        <f>VLOOKUP(all[[#This Row],[DEVELOPMENT]],Data[],7,FALSE)</f>
        <v>400</v>
      </c>
      <c r="J18" t="str">
        <f>VLOOKUP(all[[#This Row],[DEVELOPMENT]],Data[],25,FALSE)</f>
        <v>Yes</v>
      </c>
      <c r="K18">
        <f>VLOOKUP(all[[#This Row],[DEVELOPMENT]],Data[],5,FALSE)</f>
        <v>3</v>
      </c>
      <c r="L18">
        <f>VLOOKUP(all[[#This Row],[DEVELOPMENT]],Data[],27,FALSE)</f>
        <v>3</v>
      </c>
      <c r="M18">
        <f>VLOOKUP(all[[#This Row],[DEVELOPMENT]],Data[],31,FALSE)</f>
        <v>3</v>
      </c>
      <c r="N18">
        <f>VLOOKUP(all[[#This Row],[DEVELOPMENT]],Data[],26,FALSE)</f>
        <v>3</v>
      </c>
      <c r="O18">
        <f>VLOOKUP(all[[#This Row],[DEVELOPMENT]],Data[],30,FALSE)</f>
        <v>3</v>
      </c>
      <c r="P18">
        <f>VLOOKUP(all[[#This Row],[DEVELOPMENT]],Data[],28,FALSE)</f>
        <v>0</v>
      </c>
      <c r="Q18">
        <f>IF(all[[#This Row],['# Bulk Crushers]]=0,1,0)</f>
        <v>1</v>
      </c>
      <c r="R18" s="5">
        <f>IFERROR(INDEX(FWD[],MATCH($B18,FWD[DEVELOPMENT],0),MATCH("ESTIMATE",FWD[#Headers],0)),0)</f>
        <v>687494.37895771884</v>
      </c>
      <c r="S18" s="5">
        <f>IFERROR(INDEX(EHD[],MATCH($B18,EHD[DEVELOPMENT],0),MATCH("ESTIMATE",EHD[#Headers],0)),0)</f>
        <v>22306.930500000002</v>
      </c>
      <c r="T18" s="5">
        <f ca="1">IFERROR(INDEX(IntComp[],MATCH($B18,IntComp[DEVELOPMENT],0),MATCH("ESTIMATE",IntComp[#Headers],0)),0)</f>
        <v>0</v>
      </c>
      <c r="U18" s="5">
        <f>IFERROR(INDEX(Yards[],MATCH($B18,Yards[DEVELOPMENT],0),MATCH("ESTIMATE",Yards[#Headers],0)),0)</f>
        <v>0</v>
      </c>
      <c r="V18" s="128">
        <f ca="1">SUM(R18:U18)</f>
        <v>709801.30945771886</v>
      </c>
      <c r="W18" s="5"/>
    </row>
    <row r="19" spans="1:23" x14ac:dyDescent="0.25">
      <c r="A19" s="131">
        <f>VLOOKUP(B19,Data[],24,FALSE)</f>
        <v>22</v>
      </c>
      <c r="B19" t="s">
        <v>169</v>
      </c>
      <c r="C19" t="str">
        <f>VLOOKUP(B19,Data[],2,FALSE)</f>
        <v>MANHATTAN</v>
      </c>
      <c r="D19" t="str">
        <f>VLOOKUP(all[[#This Row],[DEVELOPMENT]],Data[],3,FALSE)</f>
        <v>AMSTERDAM</v>
      </c>
      <c r="E19" t="str">
        <f>VLOOKUP(B19,Data[],8,FALSE)</f>
        <v>Zone 4</v>
      </c>
      <c r="F19">
        <f>VLOOKUP(B19,Data[],9,FALSE)</f>
        <v>0</v>
      </c>
      <c r="G19" t="str">
        <f>IFERROR(VLOOKUP(B19,Data[],4,FALSE),"")</f>
        <v/>
      </c>
      <c r="H19" t="str">
        <f ca="1">IF(G19="","",IF((G19-YEAR(TODAY()))&lt;=5,"Yes",""))</f>
        <v/>
      </c>
      <c r="I19">
        <f>VLOOKUP(all[[#This Row],[DEVELOPMENT]],Data[],7,FALSE)</f>
        <v>1084</v>
      </c>
      <c r="J19">
        <f>VLOOKUP(all[[#This Row],[DEVELOPMENT]],Data[],25,FALSE)</f>
        <v>0</v>
      </c>
      <c r="K19">
        <f>VLOOKUP(all[[#This Row],[DEVELOPMENT]],Data[],5,FALSE)</f>
        <v>13</v>
      </c>
      <c r="L19">
        <f>VLOOKUP(all[[#This Row],[DEVELOPMENT]],Data[],27,FALSE)</f>
        <v>24</v>
      </c>
      <c r="M19">
        <f>VLOOKUP(all[[#This Row],[DEVELOPMENT]],Data[],31,FALSE)</f>
        <v>24</v>
      </c>
      <c r="N19">
        <f>VLOOKUP(all[[#This Row],[DEVELOPMENT]],Data[],26,FALSE)</f>
        <v>3</v>
      </c>
      <c r="O19">
        <f>VLOOKUP(all[[#This Row],[DEVELOPMENT]],Data[],30,FALSE)</f>
        <v>3</v>
      </c>
      <c r="P19">
        <f>VLOOKUP(all[[#This Row],[DEVELOPMENT]],Data[],28,FALSE)</f>
        <v>0</v>
      </c>
      <c r="Q19">
        <f>IF(all[[#This Row],['# Bulk Crushers]]=0,1,0)</f>
        <v>1</v>
      </c>
      <c r="R19" s="5">
        <f>IFERROR(INDEX(FWD[],MATCH($B19,FWD[DEVELOPMENT],0),MATCH("ESTIMATE",FWD[#Headers],0)),0)</f>
        <v>0</v>
      </c>
      <c r="S19" s="5">
        <f>IFERROR(INDEX(EHD[],MATCH($B19,EHD[DEVELOPMENT],0),MATCH("ESTIMATE",EHD[#Headers],0)),0)</f>
        <v>178455.44400000002</v>
      </c>
      <c r="T19" s="5">
        <f ca="1">IFERROR(INDEX(IntComp[],MATCH($B19,IntComp[DEVELOPMENT],0),MATCH("ESTIMATE",IntComp[#Headers],0)),0)</f>
        <v>1767681.4679999996</v>
      </c>
      <c r="U19" s="5">
        <f ca="1">IFERROR(INDEX(Yards[],MATCH($B19,Yards[DEVELOPMENT],0),MATCH("ESTIMATE",Yards[#Headers],0)),0)</f>
        <v>2022307.2600000005</v>
      </c>
      <c r="V19" s="128">
        <f ca="1">SUM(R19:U19)</f>
        <v>3968444.1720000003</v>
      </c>
      <c r="W19" s="5"/>
    </row>
    <row r="20" spans="1:23" x14ac:dyDescent="0.25">
      <c r="A20" s="131">
        <f>VLOOKUP(B20,Data[],24,FALSE)</f>
        <v>187</v>
      </c>
      <c r="B20" t="s">
        <v>170</v>
      </c>
      <c r="C20" t="str">
        <f>VLOOKUP(B20,Data[],2,FALSE)</f>
        <v>MANHATTAN</v>
      </c>
      <c r="D20" t="str">
        <f>VLOOKUP(all[[#This Row],[DEVELOPMENT]],Data[],3,FALSE)</f>
        <v>AMSTERDAM</v>
      </c>
      <c r="E20">
        <f>VLOOKUP(B20,Data[],8,FALSE)</f>
        <v>0</v>
      </c>
      <c r="F20">
        <f>VLOOKUP(B20,Data[],9,FALSE)</f>
        <v>0</v>
      </c>
      <c r="G20" t="str">
        <f>IFERROR(VLOOKUP(B20,Data[],4,FALSE),"")</f>
        <v/>
      </c>
      <c r="H20" t="str">
        <f ca="1">IF(G20="","",IF((G20-YEAR(TODAY()))&lt;=5,"Yes",""))</f>
        <v/>
      </c>
      <c r="I20">
        <f>VLOOKUP(all[[#This Row],[DEVELOPMENT]],Data[],7,FALSE)</f>
        <v>175</v>
      </c>
      <c r="J20">
        <f>VLOOKUP(all[[#This Row],[DEVELOPMENT]],Data[],25,FALSE)</f>
        <v>0</v>
      </c>
      <c r="K20">
        <f>VLOOKUP(all[[#This Row],[DEVELOPMENT]],Data[],5,FALSE)</f>
        <v>1</v>
      </c>
      <c r="L20">
        <f>VLOOKUP(all[[#This Row],[DEVELOPMENT]],Data[],27,FALSE)</f>
        <v>2</v>
      </c>
      <c r="M20">
        <f>VLOOKUP(all[[#This Row],[DEVELOPMENT]],Data[],31,FALSE)</f>
        <v>2</v>
      </c>
      <c r="N20">
        <f>VLOOKUP(all[[#This Row],[DEVELOPMENT]],Data[],26,FALSE)</f>
        <v>0</v>
      </c>
      <c r="O20">
        <f>VLOOKUP(all[[#This Row],[DEVELOPMENT]],Data[],30,FALSE)</f>
        <v>0</v>
      </c>
      <c r="P20">
        <f>VLOOKUP(all[[#This Row],[DEVELOPMENT]],Data[],28,FALSE)</f>
        <v>0</v>
      </c>
      <c r="Q20">
        <f>IF(all[[#This Row],['# Bulk Crushers]]=0,1,0)</f>
        <v>1</v>
      </c>
      <c r="R20" s="5">
        <f>IFERROR(INDEX(FWD[],MATCH($B20,FWD[DEVELOPMENT],0),MATCH("ESTIMATE",FWD[#Headers],0)),0)</f>
        <v>0</v>
      </c>
      <c r="S20" s="5">
        <f>IFERROR(INDEX(EHD[],MATCH($B20,EHD[DEVELOPMENT],0),MATCH("ESTIMATE",EHD[#Headers],0)),0)</f>
        <v>14871.287</v>
      </c>
      <c r="T20" s="5">
        <f ca="1">IFERROR(INDEX(IntComp[],MATCH($B20,IntComp[DEVELOPMENT],0),MATCH("ESTIMATE",IntComp[#Headers],0)),0)</f>
        <v>147306.78899999999</v>
      </c>
      <c r="U20" s="5">
        <f>IFERROR(INDEX(Yards[],MATCH($B20,Yards[DEVELOPMENT],0),MATCH("ESTIMATE",Yards[#Headers],0)),0)</f>
        <v>1159792.78</v>
      </c>
      <c r="V20" s="128">
        <f ca="1">SUM(R20:U20)</f>
        <v>1321970.8560000001</v>
      </c>
      <c r="W20" s="5"/>
    </row>
    <row r="21" spans="1:23" x14ac:dyDescent="0.25">
      <c r="A21" s="131">
        <f>VLOOKUP(B21,Data[],24,FALSE)</f>
        <v>210</v>
      </c>
      <c r="B21" t="s">
        <v>171</v>
      </c>
      <c r="C21" t="str">
        <f>VLOOKUP(B21,Data[],2,FALSE)</f>
        <v>BROOKLYN</v>
      </c>
      <c r="D21" t="str">
        <f>VLOOKUP(all[[#This Row],[DEVELOPMENT]],Data[],3,FALSE)</f>
        <v>ARMSTRONG I</v>
      </c>
      <c r="E21" t="str">
        <f>VLOOKUP(B21,Data[],8,FALSE)</f>
        <v>Zone 1</v>
      </c>
      <c r="F21" t="str">
        <f>VLOOKUP(B21,Data[],9,FALSE)</f>
        <v>$</v>
      </c>
      <c r="G21" t="str">
        <f>IFERROR(VLOOKUP(B21,Data[],4,FALSE),"")</f>
        <v/>
      </c>
      <c r="H21" t="str">
        <f ca="1">IF(G21="","",IF((G21-YEAR(TODAY()))&lt;=5,"Yes",""))</f>
        <v/>
      </c>
      <c r="I21">
        <f>VLOOKUP(all[[#This Row],[DEVELOPMENT]],Data[],7,FALSE)</f>
        <v>369</v>
      </c>
      <c r="J21" t="str">
        <f>VLOOKUP(all[[#This Row],[DEVELOPMENT]],Data[],25,FALSE)</f>
        <v>Yes</v>
      </c>
      <c r="K21">
        <f>VLOOKUP(all[[#This Row],[DEVELOPMENT]],Data[],5,FALSE)</f>
        <v>11</v>
      </c>
      <c r="L21">
        <f>VLOOKUP(all[[#This Row],[DEVELOPMENT]],Data[],27,FALSE)</f>
        <v>6</v>
      </c>
      <c r="M21">
        <f>VLOOKUP(all[[#This Row],[DEVELOPMENT]],Data[],31,FALSE)</f>
        <v>6</v>
      </c>
      <c r="N21">
        <f>VLOOKUP(all[[#This Row],[DEVELOPMENT]],Data[],26,FALSE)</f>
        <v>0</v>
      </c>
      <c r="O21">
        <f>VLOOKUP(all[[#This Row],[DEVELOPMENT]],Data[],30,FALSE)</f>
        <v>0</v>
      </c>
      <c r="P21">
        <f>VLOOKUP(all[[#This Row],[DEVELOPMENT]],Data[],28,FALSE)</f>
        <v>0</v>
      </c>
      <c r="Q21">
        <f>IF(all[[#This Row],['# Bulk Crushers]]=0,1,0)</f>
        <v>1</v>
      </c>
      <c r="R21" s="5">
        <f>IFERROR(INDEX(FWD[],MATCH($B21,FWD[DEVELOPMENT],0),MATCH("ESTIMATE",FWD[#Headers],0)),0)</f>
        <v>634213.56458849565</v>
      </c>
      <c r="S21" s="5">
        <f>IFERROR(INDEX(EHD[],MATCH($B21,EHD[DEVELOPMENT],0),MATCH("ESTIMATE",EHD[#Headers],0)),0)</f>
        <v>44613.861000000004</v>
      </c>
      <c r="T21" s="5">
        <f ca="1">IFERROR(INDEX(IntComp[],MATCH($B21,IntComp[DEVELOPMENT],0),MATCH("ESTIMATE",IntComp[#Headers],0)),0)</f>
        <v>441920.36699999991</v>
      </c>
      <c r="U21" s="5">
        <f>IFERROR(INDEX(Yards[],MATCH($B21,Yards[DEVELOPMENT],0),MATCH("ESTIMATE",Yards[#Headers],0)),0)</f>
        <v>1159792.78</v>
      </c>
      <c r="V21" s="128">
        <f ca="1">SUM(R21:U21)</f>
        <v>2280540.5725884959</v>
      </c>
      <c r="W21" s="5"/>
    </row>
    <row r="22" spans="1:23" x14ac:dyDescent="0.25">
      <c r="A22" s="131">
        <f>VLOOKUP(B22,Data[],24,FALSE)</f>
        <v>228</v>
      </c>
      <c r="B22" t="s">
        <v>172</v>
      </c>
      <c r="C22" t="str">
        <f>VLOOKUP(B22,Data[],2,FALSE)</f>
        <v>BROOKLYN</v>
      </c>
      <c r="D22" t="str">
        <f>VLOOKUP(all[[#This Row],[DEVELOPMENT]],Data[],3,FALSE)</f>
        <v>ARMSTRONG I</v>
      </c>
      <c r="E22" t="str">
        <f>VLOOKUP(B22,Data[],8,FALSE)</f>
        <v>Zone 1</v>
      </c>
      <c r="F22" t="str">
        <f>VLOOKUP(B22,Data[],9,FALSE)</f>
        <v>$</v>
      </c>
      <c r="G22" t="str">
        <f>IFERROR(VLOOKUP(B22,Data[],4,FALSE),"")</f>
        <v/>
      </c>
      <c r="H22" t="str">
        <f ca="1">IF(G22="","",IF((G22-YEAR(TODAY()))&lt;=5,"Yes",""))</f>
        <v/>
      </c>
      <c r="I22">
        <f>VLOOKUP(all[[#This Row],[DEVELOPMENT]],Data[],7,FALSE)</f>
        <v>248</v>
      </c>
      <c r="J22" t="str">
        <f>VLOOKUP(all[[#This Row],[DEVELOPMENT]],Data[],25,FALSE)</f>
        <v>Yes</v>
      </c>
      <c r="K22">
        <f>VLOOKUP(all[[#This Row],[DEVELOPMENT]],Data[],5,FALSE)</f>
        <v>5</v>
      </c>
      <c r="L22">
        <f>VLOOKUP(all[[#This Row],[DEVELOPMENT]],Data[],27,FALSE)</f>
        <v>10</v>
      </c>
      <c r="M22">
        <f>VLOOKUP(all[[#This Row],[DEVELOPMENT]],Data[],31,FALSE)</f>
        <v>10</v>
      </c>
      <c r="N22">
        <f>VLOOKUP(all[[#This Row],[DEVELOPMENT]],Data[],26,FALSE)</f>
        <v>0</v>
      </c>
      <c r="O22">
        <f>VLOOKUP(all[[#This Row],[DEVELOPMENT]],Data[],30,FALSE)</f>
        <v>0</v>
      </c>
      <c r="P22">
        <f>VLOOKUP(all[[#This Row],[DEVELOPMENT]],Data[],28,FALSE)</f>
        <v>0</v>
      </c>
      <c r="Q22">
        <f>IF(all[[#This Row],['# Bulk Crushers]]=0,1,0)</f>
        <v>1</v>
      </c>
      <c r="R22" s="5">
        <f>IFERROR(INDEX(FWD[],MATCH($B22,FWD[DEVELOPMENT],0),MATCH("ESTIMATE",FWD[#Headers],0)),0)</f>
        <v>426246.51495378563</v>
      </c>
      <c r="S22" s="5">
        <f>IFERROR(INDEX(EHD[],MATCH($B22,EHD[DEVELOPMENT],0),MATCH("ESTIMATE",EHD[#Headers],0)),0)</f>
        <v>74356.434999999998</v>
      </c>
      <c r="T22" s="5">
        <f ca="1">IFERROR(INDEX(IntComp[],MATCH($B22,IntComp[DEVELOPMENT],0),MATCH("ESTIMATE",IntComp[#Headers],0)),0)</f>
        <v>736533.94499999995</v>
      </c>
      <c r="U22" s="5">
        <f>IFERROR(INDEX(Yards[],MATCH($B22,Yards[DEVELOPMENT],0),MATCH("ESTIMATE",Yards[#Headers],0)),0)</f>
        <v>1159792.78</v>
      </c>
      <c r="V22" s="128">
        <f ca="1">SUM(R22:U22)</f>
        <v>2396929.6749537857</v>
      </c>
      <c r="W22" s="5"/>
    </row>
    <row r="23" spans="1:23" x14ac:dyDescent="0.25">
      <c r="A23" s="131">
        <f>VLOOKUP(B23,Data[],24,FALSE)</f>
        <v>26</v>
      </c>
      <c r="B23" t="s">
        <v>173</v>
      </c>
      <c r="C23" t="str">
        <f>VLOOKUP(B23,Data[],2,FALSE)</f>
        <v>QUEENS</v>
      </c>
      <c r="D23" t="str">
        <f>VLOOKUP(all[[#This Row],[DEVELOPMENT]],Data[],3,FALSE)</f>
        <v>ASTORIA</v>
      </c>
      <c r="E23">
        <f>VLOOKUP(B23,Data[],8,FALSE)</f>
        <v>0</v>
      </c>
      <c r="F23">
        <f>VLOOKUP(B23,Data[],9,FALSE)</f>
        <v>0</v>
      </c>
      <c r="G23">
        <f>IFERROR(VLOOKUP(B23,Data[],4,FALSE),"")</f>
        <v>2024</v>
      </c>
      <c r="H23" t="str">
        <f ca="1">IF(G23="","",IF((G23-YEAR(TODAY()))&lt;=5,"Yes",""))</f>
        <v>Yes</v>
      </c>
      <c r="I23">
        <f>VLOOKUP(all[[#This Row],[DEVELOPMENT]],Data[],7,FALSE)</f>
        <v>1104</v>
      </c>
      <c r="J23">
        <f>VLOOKUP(all[[#This Row],[DEVELOPMENT]],Data[],25,FALSE)</f>
        <v>0</v>
      </c>
      <c r="K23">
        <f>VLOOKUP(all[[#This Row],[DEVELOPMENT]],Data[],5,FALSE)</f>
        <v>22</v>
      </c>
      <c r="L23">
        <f>VLOOKUP(all[[#This Row],[DEVELOPMENT]],Data[],27,FALSE)</f>
        <v>22</v>
      </c>
      <c r="M23">
        <f>VLOOKUP(all[[#This Row],[DEVELOPMENT]],Data[],31,FALSE)</f>
        <v>22</v>
      </c>
      <c r="N23">
        <f>VLOOKUP(all[[#This Row],[DEVELOPMENT]],Data[],26,FALSE)</f>
        <v>3</v>
      </c>
      <c r="O23">
        <f>VLOOKUP(all[[#This Row],[DEVELOPMENT]],Data[],30,FALSE)</f>
        <v>3</v>
      </c>
      <c r="P23">
        <f>VLOOKUP(all[[#This Row],[DEVELOPMENT]],Data[],28,FALSE)</f>
        <v>0</v>
      </c>
      <c r="Q23">
        <f>IF(all[[#This Row],['# Bulk Crushers]]=0,1,0)</f>
        <v>1</v>
      </c>
      <c r="R23" s="5">
        <f>IFERROR(INDEX(FWD[],MATCH($B23,FWD[DEVELOPMENT],0),MATCH("ESTIMATE",FWD[#Headers],0)),0)</f>
        <v>0</v>
      </c>
      <c r="S23" s="5">
        <f>IFERROR(INDEX(EHD[],MATCH($B23,EHD[DEVELOPMENT],0),MATCH("ESTIMATE",EHD[#Headers],0)),0)</f>
        <v>163584.15700000001</v>
      </c>
      <c r="T23" s="5">
        <f ca="1">IFERROR(INDEX(IntComp[],MATCH($B23,IntComp[DEVELOPMENT],0),MATCH("ESTIMATE",IntComp[#Headers],0)),0)</f>
        <v>0</v>
      </c>
      <c r="U23" s="5">
        <f>IFERROR(INDEX(Yards[],MATCH($B23,Yards[DEVELOPMENT],0),MATCH("ESTIMATE",Yards[#Headers],0)),0)</f>
        <v>0</v>
      </c>
      <c r="V23" s="128">
        <f ca="1">SUM(R23:U23)</f>
        <v>163584.15700000001</v>
      </c>
      <c r="W23" s="5"/>
    </row>
    <row r="24" spans="1:23" x14ac:dyDescent="0.25">
      <c r="A24" s="131">
        <f>VLOOKUP(B24,Data[],24,FALSE)</f>
        <v>256</v>
      </c>
      <c r="B24" t="s">
        <v>174</v>
      </c>
      <c r="C24" t="str">
        <f>VLOOKUP(B24,Data[],2,FALSE)</f>
        <v>BROOKLYN</v>
      </c>
      <c r="D24" t="str">
        <f>VLOOKUP(all[[#This Row],[DEVELOPMENT]],Data[],3,FALSE)</f>
        <v>WYCKOFF GARDENS</v>
      </c>
      <c r="E24">
        <f>VLOOKUP(B24,Data[],8,FALSE)</f>
        <v>0</v>
      </c>
      <c r="F24">
        <f>VLOOKUP(B24,Data[],9,FALSE)</f>
        <v>0</v>
      </c>
      <c r="G24" t="str">
        <f>IFERROR(VLOOKUP(B24,Data[],4,FALSE),"")</f>
        <v/>
      </c>
      <c r="H24" t="str">
        <f ca="1">IF(G24="","",IF((G24-YEAR(TODAY()))&lt;=5,"Yes",""))</f>
        <v/>
      </c>
      <c r="I24">
        <f>VLOOKUP(all[[#This Row],[DEVELOPMENT]],Data[],7,FALSE)</f>
        <v>299</v>
      </c>
      <c r="J24">
        <f>VLOOKUP(all[[#This Row],[DEVELOPMENT]],Data[],25,FALSE)</f>
        <v>0</v>
      </c>
      <c r="K24">
        <f>VLOOKUP(all[[#This Row],[DEVELOPMENT]],Data[],5,FALSE)</f>
        <v>1</v>
      </c>
      <c r="L24">
        <f>VLOOKUP(all[[#This Row],[DEVELOPMENT]],Data[],27,FALSE)</f>
        <v>2</v>
      </c>
      <c r="M24">
        <f>VLOOKUP(all[[#This Row],[DEVELOPMENT]],Data[],31,FALSE)</f>
        <v>2</v>
      </c>
      <c r="N24">
        <f>VLOOKUP(all[[#This Row],[DEVELOPMENT]],Data[],26,FALSE)</f>
        <v>1</v>
      </c>
      <c r="O24">
        <f>VLOOKUP(all[[#This Row],[DEVELOPMENT]],Data[],30,FALSE)</f>
        <v>1</v>
      </c>
      <c r="P24">
        <f>VLOOKUP(all[[#This Row],[DEVELOPMENT]],Data[],28,FALSE)</f>
        <v>0</v>
      </c>
      <c r="Q24">
        <f>IF(all[[#This Row],['# Bulk Crushers]]=0,1,0)</f>
        <v>1</v>
      </c>
      <c r="R24" s="5">
        <f>IFERROR(INDEX(FWD[],MATCH($B24,FWD[DEVELOPMENT],0),MATCH("ESTIMATE",FWD[#Headers],0)),0)</f>
        <v>0</v>
      </c>
      <c r="S24" s="5">
        <f>IFERROR(INDEX(EHD[],MATCH($B24,EHD[DEVELOPMENT],0),MATCH("ESTIMATE",EHD[#Headers],0)),0)</f>
        <v>14871.287</v>
      </c>
      <c r="T24" s="5">
        <f ca="1">IFERROR(INDEX(IntComp[],MATCH($B24,IntComp[DEVELOPMENT],0),MATCH("ESTIMATE",IntComp[#Headers],0)),0)</f>
        <v>147306.78899999999</v>
      </c>
      <c r="U24" s="5">
        <f ca="1">IFERROR(INDEX(Yards[],MATCH($B24,Yards[DEVELOPMENT],0),MATCH("ESTIMATE",Yards[#Headers],0)),0)</f>
        <v>1159792.78</v>
      </c>
      <c r="V24" s="128">
        <f ca="1">SUM(R24:U24)</f>
        <v>1321970.8560000001</v>
      </c>
      <c r="W24" s="5"/>
    </row>
    <row r="25" spans="1:23" x14ac:dyDescent="0.25">
      <c r="A25" s="131">
        <f>VLOOKUP(B25,Data[],24,FALSE)</f>
        <v>125</v>
      </c>
      <c r="B25" t="s">
        <v>70</v>
      </c>
      <c r="C25" t="str">
        <f>VLOOKUP(B25,Data[],2,FALSE)</f>
        <v>MANHATTAN</v>
      </c>
      <c r="D25" t="str">
        <f>VLOOKUP(all[[#This Row],[DEVELOPMENT]],Data[],3,FALSE)</f>
        <v>HARLEM RIVER</v>
      </c>
      <c r="E25" t="str">
        <f>VLOOKUP(B25,Data[],8,FALSE)</f>
        <v>Zone 3</v>
      </c>
      <c r="F25" t="str">
        <f>VLOOKUP(B25,Data[],9,FALSE)</f>
        <v>$$$$</v>
      </c>
      <c r="G25">
        <f>IFERROR(VLOOKUP(B25,Data[],4,FALSE),"")</f>
        <v>2020</v>
      </c>
      <c r="H25" t="str">
        <f ca="1">IF(G25="","",IF((G25-YEAR(TODAY()))&lt;=5,"Yes",""))</f>
        <v>Yes</v>
      </c>
      <c r="I25">
        <f>VLOOKUP(all[[#This Row],[DEVELOPMENT]],Data[],7,FALSE)</f>
        <v>167</v>
      </c>
      <c r="J25">
        <f>VLOOKUP(all[[#This Row],[DEVELOPMENT]],Data[],25,FALSE)</f>
        <v>0</v>
      </c>
      <c r="K25">
        <f>VLOOKUP(all[[#This Row],[DEVELOPMENT]],Data[],5,FALSE)</f>
        <v>1</v>
      </c>
      <c r="L25">
        <f>VLOOKUP(all[[#This Row],[DEVELOPMENT]],Data[],27,FALSE)</f>
        <v>2</v>
      </c>
      <c r="M25">
        <f>VLOOKUP(all[[#This Row],[DEVELOPMENT]],Data[],31,FALSE)</f>
        <v>2</v>
      </c>
      <c r="N25">
        <f>VLOOKUP(all[[#This Row],[DEVELOPMENT]],Data[],26,FALSE)</f>
        <v>0</v>
      </c>
      <c r="O25">
        <f>VLOOKUP(all[[#This Row],[DEVELOPMENT]],Data[],30,FALSE)</f>
        <v>0</v>
      </c>
      <c r="P25">
        <f>VLOOKUP(all[[#This Row],[DEVELOPMENT]],Data[],28,FALSE)</f>
        <v>0</v>
      </c>
      <c r="Q25">
        <f>IF(all[[#This Row],['# Bulk Crushers]]=0,1,0)</f>
        <v>1</v>
      </c>
      <c r="R25" s="5">
        <f>IFERROR(INDEX(FWD[],MATCH($B25,FWD[DEVELOPMENT],0),MATCH("ESTIMATE",FWD[#Headers],0)),0)</f>
        <v>0</v>
      </c>
      <c r="S25" s="5">
        <f>IFERROR(INDEX(EHD[],MATCH($B25,EHD[DEVELOPMENT],0),MATCH("ESTIMATE",EHD[#Headers],0)),0)</f>
        <v>0</v>
      </c>
      <c r="T25" s="5">
        <f ca="1">IFERROR(INDEX(IntComp[],MATCH($B25,IntComp[DEVELOPMENT],0),MATCH("ESTIMATE",IntComp[#Headers],0)),0)</f>
        <v>0</v>
      </c>
      <c r="U25" s="5">
        <f>IFERROR(INDEX(Yards[],MATCH($B25,Yards[DEVELOPMENT],0),MATCH("ESTIMATE",Yards[#Headers],0)),0)</f>
        <v>0</v>
      </c>
      <c r="V25" s="128">
        <f ca="1">SUM(R25:U25)</f>
        <v>0</v>
      </c>
      <c r="W25" s="5"/>
    </row>
    <row r="26" spans="1:23" x14ac:dyDescent="0.25">
      <c r="A26" s="131">
        <f>VLOOKUP(B26,Data[],24,FALSE)</f>
        <v>202</v>
      </c>
      <c r="B26" t="s">
        <v>175</v>
      </c>
      <c r="C26" t="str">
        <f>VLOOKUP(B26,Data[],2,FALSE)</f>
        <v>BRONX</v>
      </c>
      <c r="D26" t="str">
        <f>VLOOKUP(all[[#This Row],[DEVELOPMENT]],Data[],3,FALSE)</f>
        <v>FORT INDEPENDENCE</v>
      </c>
      <c r="E26">
        <f>VLOOKUP(B26,Data[],8,FALSE)</f>
        <v>0</v>
      </c>
      <c r="F26">
        <f>VLOOKUP(B26,Data[],9,FALSE)</f>
        <v>0</v>
      </c>
      <c r="G26" t="str">
        <f>IFERROR(VLOOKUP(B26,Data[],4,FALSE),"")</f>
        <v/>
      </c>
      <c r="H26" t="str">
        <f ca="1">IF(G26="","",IF((G26-YEAR(TODAY()))&lt;=5,"Yes",""))</f>
        <v/>
      </c>
      <c r="I26">
        <f>VLOOKUP(all[[#This Row],[DEVELOPMENT]],Data[],7,FALSE)</f>
        <v>232</v>
      </c>
      <c r="J26">
        <f>VLOOKUP(all[[#This Row],[DEVELOPMENT]],Data[],25,FALSE)</f>
        <v>0</v>
      </c>
      <c r="K26">
        <f>VLOOKUP(all[[#This Row],[DEVELOPMENT]],Data[],5,FALSE)</f>
        <v>1</v>
      </c>
      <c r="L26">
        <f>VLOOKUP(all[[#This Row],[DEVELOPMENT]],Data[],27,FALSE)</f>
        <v>1</v>
      </c>
      <c r="M26">
        <f>VLOOKUP(all[[#This Row],[DEVELOPMENT]],Data[],31,FALSE)</f>
        <v>1</v>
      </c>
      <c r="N26">
        <f>VLOOKUP(all[[#This Row],[DEVELOPMENT]],Data[],26,FALSE)</f>
        <v>1</v>
      </c>
      <c r="O26">
        <f>VLOOKUP(all[[#This Row],[DEVELOPMENT]],Data[],30,FALSE)</f>
        <v>1</v>
      </c>
      <c r="P26">
        <f>VLOOKUP(all[[#This Row],[DEVELOPMENT]],Data[],28,FALSE)</f>
        <v>0</v>
      </c>
      <c r="Q26">
        <f>IF(all[[#This Row],['# Bulk Crushers]]=0,1,0)</f>
        <v>1</v>
      </c>
      <c r="R26" s="5">
        <f>IFERROR(INDEX(FWD[],MATCH($B26,FWD[DEVELOPMENT],0),MATCH("ESTIMATE",FWD[#Headers],0)),0)</f>
        <v>0</v>
      </c>
      <c r="S26" s="5">
        <f>IFERROR(INDEX(EHD[],MATCH($B26,EHD[DEVELOPMENT],0),MATCH("ESTIMATE",EHD[#Headers],0)),0)</f>
        <v>7435.6435000000001</v>
      </c>
      <c r="T26" s="5">
        <f ca="1">IFERROR(INDEX(IntComp[],MATCH($B26,IntComp[DEVELOPMENT],0),MATCH("ESTIMATE",IntComp[#Headers],0)),0)</f>
        <v>73653.394499999995</v>
      </c>
      <c r="U26" s="5">
        <f ca="1">IFERROR(INDEX(Yards[],MATCH($B26,Yards[DEVELOPMENT],0),MATCH("ESTIMATE",Yards[#Headers],0)),0)</f>
        <v>1159792.78</v>
      </c>
      <c r="V26" s="128">
        <f ca="1">SUM(R26:U26)</f>
        <v>1240881.818</v>
      </c>
      <c r="W26" s="5"/>
    </row>
    <row r="27" spans="1:23" x14ac:dyDescent="0.25">
      <c r="A27" s="131">
        <f>VLOOKUP(B27,Data[],24,FALSE)</f>
        <v>91</v>
      </c>
      <c r="B27" t="s">
        <v>176</v>
      </c>
      <c r="C27" t="str">
        <f>VLOOKUP(B27,Data[],2,FALSE)</f>
        <v>QUEENS</v>
      </c>
      <c r="D27" t="str">
        <f>VLOOKUP(all[[#This Row],[DEVELOPMENT]],Data[],3,FALSE)</f>
        <v>BAISLEY PARK</v>
      </c>
      <c r="E27">
        <f>VLOOKUP(B27,Data[],8,FALSE)</f>
        <v>0</v>
      </c>
      <c r="F27">
        <f>VLOOKUP(B27,Data[],9,FALSE)</f>
        <v>0</v>
      </c>
      <c r="G27" t="str">
        <f>IFERROR(VLOOKUP(B27,Data[],4,FALSE),"")</f>
        <v/>
      </c>
      <c r="H27" t="str">
        <f ca="1">IF(G27="","",IF((G27-YEAR(TODAY()))&lt;=5,"Yes",""))</f>
        <v/>
      </c>
      <c r="I27">
        <f>VLOOKUP(all[[#This Row],[DEVELOPMENT]],Data[],7,FALSE)</f>
        <v>381</v>
      </c>
      <c r="J27">
        <f>VLOOKUP(all[[#This Row],[DEVELOPMENT]],Data[],25,FALSE)</f>
        <v>0</v>
      </c>
      <c r="K27">
        <f>VLOOKUP(all[[#This Row],[DEVELOPMENT]],Data[],5,FALSE)</f>
        <v>5</v>
      </c>
      <c r="L27">
        <f>VLOOKUP(all[[#This Row],[DEVELOPMENT]],Data[],27,FALSE)</f>
        <v>5</v>
      </c>
      <c r="M27">
        <f>VLOOKUP(all[[#This Row],[DEVELOPMENT]],Data[],31,FALSE)</f>
        <v>5</v>
      </c>
      <c r="N27">
        <f>VLOOKUP(all[[#This Row],[DEVELOPMENT]],Data[],26,FALSE)</f>
        <v>0</v>
      </c>
      <c r="O27">
        <f>VLOOKUP(all[[#This Row],[DEVELOPMENT]],Data[],30,FALSE)</f>
        <v>0</v>
      </c>
      <c r="P27">
        <f>VLOOKUP(all[[#This Row],[DEVELOPMENT]],Data[],28,FALSE)</f>
        <v>0</v>
      </c>
      <c r="Q27">
        <f>IF(all[[#This Row],['# Bulk Crushers]]=0,1,0)</f>
        <v>1</v>
      </c>
      <c r="R27" s="5">
        <f>IFERROR(INDEX(FWD[],MATCH($B27,FWD[DEVELOPMENT],0),MATCH("ESTIMATE",FWD[#Headers],0)),0)</f>
        <v>0</v>
      </c>
      <c r="S27" s="5">
        <f>IFERROR(INDEX(EHD[],MATCH($B27,EHD[DEVELOPMENT],0),MATCH("ESTIMATE",EHD[#Headers],0)),0)</f>
        <v>37178.217499999999</v>
      </c>
      <c r="T27" s="5">
        <f ca="1">IFERROR(INDEX(IntComp[],MATCH($B27,IntComp[DEVELOPMENT],0),MATCH("ESTIMATE",IntComp[#Headers],0)),0)</f>
        <v>368266.97249999997</v>
      </c>
      <c r="U27" s="5">
        <f>IFERROR(INDEX(Yards[],MATCH($B27,Yards[DEVELOPMENT],0),MATCH("ESTIMATE",Yards[#Headers],0)),0)</f>
        <v>1159792.78</v>
      </c>
      <c r="V27" s="128">
        <f ca="1">SUM(R27:U27)</f>
        <v>1565237.97</v>
      </c>
      <c r="W27" s="5"/>
    </row>
    <row r="28" spans="1:23" x14ac:dyDescent="0.25">
      <c r="A28" s="131">
        <f>VLOOKUP(B28,Data[],24,FALSE)</f>
        <v>60</v>
      </c>
      <c r="B28" t="s">
        <v>58</v>
      </c>
      <c r="C28" t="str">
        <f>VLOOKUP(B28,Data[],2,FALSE)</f>
        <v>MANHATTAN</v>
      </c>
      <c r="D28" t="str">
        <f>VLOOKUP(all[[#This Row],[DEVELOPMENT]],Data[],3,FALSE)</f>
        <v>BARUCH</v>
      </c>
      <c r="E28" t="str">
        <f>VLOOKUP(B28,Data[],8,FALSE)</f>
        <v>Zone 1</v>
      </c>
      <c r="F28" t="str">
        <f>VLOOKUP(B28,Data[],9,FALSE)</f>
        <v>$</v>
      </c>
      <c r="G28" t="str">
        <f>IFERROR(VLOOKUP(B28,Data[],4,FALSE),"")</f>
        <v/>
      </c>
      <c r="H28" t="str">
        <f ca="1">IF(G28="","",IF((G28-YEAR(TODAY()))&lt;=5,"Yes",""))</f>
        <v/>
      </c>
      <c r="I28">
        <f>VLOOKUP(all[[#This Row],[DEVELOPMENT]],Data[],7,FALSE)</f>
        <v>2193</v>
      </c>
      <c r="J28" t="str">
        <f>VLOOKUP(all[[#This Row],[DEVELOPMENT]],Data[],25,FALSE)</f>
        <v>Yes</v>
      </c>
      <c r="K28">
        <f>VLOOKUP(all[[#This Row],[DEVELOPMENT]],Data[],5,FALSE)</f>
        <v>17</v>
      </c>
      <c r="L28">
        <f>VLOOKUP(all[[#This Row],[DEVELOPMENT]],Data[],27,FALSE)</f>
        <v>17</v>
      </c>
      <c r="M28">
        <f>VLOOKUP(all[[#This Row],[DEVELOPMENT]],Data[],31,FALSE)</f>
        <v>0</v>
      </c>
      <c r="N28">
        <f>VLOOKUP(all[[#This Row],[DEVELOPMENT]],Data[],26,FALSE)</f>
        <v>0</v>
      </c>
      <c r="O28">
        <f>VLOOKUP(all[[#This Row],[DEVELOPMENT]],Data[],30,FALSE)</f>
        <v>0</v>
      </c>
      <c r="P28">
        <f>VLOOKUP(all[[#This Row],[DEVELOPMENT]],Data[],28,FALSE)</f>
        <v>0</v>
      </c>
      <c r="Q28">
        <f>IF(all[[#This Row],['# Bulk Crushers]]=0,1,0)</f>
        <v>1</v>
      </c>
      <c r="R28" s="5">
        <f>IFERROR(INDEX(FWD[],MATCH($B28,FWD[DEVELOPMENT],0),MATCH("ESTIMATE",FWD[#Headers],0)),0)</f>
        <v>3769187.9326356933</v>
      </c>
      <c r="S28" s="5">
        <f>IFERROR(INDEX(EHD[],MATCH($B28,EHD[DEVELOPMENT],0),MATCH("ESTIMATE",EHD[#Headers],0)),0)</f>
        <v>126405.93950000001</v>
      </c>
      <c r="T28" s="5">
        <f ca="1">IFERROR(INDEX(IntComp[],MATCH($B28,IntComp[DEVELOPMENT],0),MATCH("ESTIMATE",IntComp[#Headers],0)),0)</f>
        <v>0</v>
      </c>
      <c r="U28" s="5">
        <f>IFERROR(INDEX(Yards[],MATCH($B28,Yards[DEVELOPMENT],0),MATCH("ESTIMATE",Yards[#Headers],0)),0)</f>
        <v>1159792.78</v>
      </c>
      <c r="V28" s="128">
        <f ca="1">SUM(R28:U28)</f>
        <v>5055386.6521356935</v>
      </c>
      <c r="W28" s="5"/>
    </row>
    <row r="29" spans="1:23" x14ac:dyDescent="0.25">
      <c r="A29" s="131">
        <f>VLOOKUP(B29,Data[],24,FALSE)</f>
        <v>198</v>
      </c>
      <c r="B29" t="s">
        <v>48</v>
      </c>
      <c r="C29" t="str">
        <f>VLOOKUP(B29,Data[],2,FALSE)</f>
        <v>MANHATTAN</v>
      </c>
      <c r="D29" t="str">
        <f>VLOOKUP(all[[#This Row],[DEVELOPMENT]],Data[],3,FALSE)</f>
        <v>BARUCH</v>
      </c>
      <c r="E29" t="str">
        <f>VLOOKUP(B29,Data[],8,FALSE)</f>
        <v>Zone 1</v>
      </c>
      <c r="F29" t="str">
        <f>VLOOKUP(B29,Data[],9,FALSE)</f>
        <v>$</v>
      </c>
      <c r="G29" t="str">
        <f>IFERROR(VLOOKUP(B29,Data[],4,FALSE),"")</f>
        <v/>
      </c>
      <c r="H29" t="str">
        <f ca="1">IF(G29="","",IF((G29-YEAR(TODAY()))&lt;=5,"Yes",""))</f>
        <v/>
      </c>
      <c r="I29">
        <f>VLOOKUP(all[[#This Row],[DEVELOPMENT]],Data[],7,FALSE)</f>
        <v>197</v>
      </c>
      <c r="J29" t="str">
        <f>VLOOKUP(all[[#This Row],[DEVELOPMENT]],Data[],25,FALSE)</f>
        <v>Yes</v>
      </c>
      <c r="K29">
        <f>VLOOKUP(all[[#This Row],[DEVELOPMENT]],Data[],5,FALSE)</f>
        <v>1</v>
      </c>
      <c r="L29">
        <f>VLOOKUP(all[[#This Row],[DEVELOPMENT]],Data[],27,FALSE)</f>
        <v>1</v>
      </c>
      <c r="M29">
        <f>VLOOKUP(all[[#This Row],[DEVELOPMENT]],Data[],31,FALSE)</f>
        <v>0</v>
      </c>
      <c r="N29">
        <f>VLOOKUP(all[[#This Row],[DEVELOPMENT]],Data[],26,FALSE)</f>
        <v>0</v>
      </c>
      <c r="O29">
        <f>VLOOKUP(all[[#This Row],[DEVELOPMENT]],Data[],30,FALSE)</f>
        <v>0</v>
      </c>
      <c r="P29">
        <f>VLOOKUP(all[[#This Row],[DEVELOPMENT]],Data[],28,FALSE)</f>
        <v>0</v>
      </c>
      <c r="Q29">
        <f>IF(all[[#This Row],['# Bulk Crushers]]=0,1,0)</f>
        <v>1</v>
      </c>
      <c r="R29" s="5">
        <f>IFERROR(INDEX(FWD[],MATCH($B29,FWD[DEVELOPMENT],0),MATCH("ESTIMATE",FWD[#Headers],0)),0)</f>
        <v>0</v>
      </c>
      <c r="S29" s="5">
        <f>IFERROR(INDEX(EHD[],MATCH($B29,EHD[DEVELOPMENT],0),MATCH("ESTIMATE",EHD[#Headers],0)),0)</f>
        <v>0</v>
      </c>
      <c r="T29" s="5">
        <f ca="1">IFERROR(INDEX(IntComp[],MATCH($B29,IntComp[DEVELOPMENT],0),MATCH("ESTIMATE",IntComp[#Headers],0)),0)</f>
        <v>0</v>
      </c>
      <c r="U29" s="5">
        <f>IFERROR(INDEX(Yards[],MATCH($B29,Yards[DEVELOPMENT],0),MATCH("ESTIMATE",Yards[#Headers],0)),0)</f>
        <v>1159792.78</v>
      </c>
      <c r="V29" s="128">
        <f ca="1">SUM(R29:U29)</f>
        <v>1159792.78</v>
      </c>
      <c r="W29" s="5"/>
    </row>
    <row r="30" spans="1:23" x14ac:dyDescent="0.25">
      <c r="A30" s="131">
        <f>VLOOKUP(B30,Data[],24,FALSE)</f>
        <v>92</v>
      </c>
      <c r="B30" t="s">
        <v>177</v>
      </c>
      <c r="C30" t="str">
        <f>VLOOKUP(B30,Data[],2,FALSE)</f>
        <v>BROOKLYN</v>
      </c>
      <c r="D30" t="str">
        <f>VLOOKUP(all[[#This Row],[DEVELOPMENT]],Data[],3,FALSE)</f>
        <v>BAY VIEW</v>
      </c>
      <c r="E30">
        <f>VLOOKUP(B30,Data[],8,FALSE)</f>
        <v>0</v>
      </c>
      <c r="F30">
        <f>VLOOKUP(B30,Data[],9,FALSE)</f>
        <v>0</v>
      </c>
      <c r="G30" t="str">
        <f>IFERROR(VLOOKUP(B30,Data[],4,FALSE),"")</f>
        <v/>
      </c>
      <c r="H30" t="str">
        <f ca="1">IF(G30="","",IF((G30-YEAR(TODAY()))&lt;=5,"Yes",""))</f>
        <v/>
      </c>
      <c r="I30">
        <f>VLOOKUP(all[[#This Row],[DEVELOPMENT]],Data[],7,FALSE)</f>
        <v>1609</v>
      </c>
      <c r="J30">
        <f>VLOOKUP(all[[#This Row],[DEVELOPMENT]],Data[],25,FALSE)</f>
        <v>0</v>
      </c>
      <c r="K30">
        <f>VLOOKUP(all[[#This Row],[DEVELOPMENT]],Data[],5,FALSE)</f>
        <v>23</v>
      </c>
      <c r="L30">
        <f>VLOOKUP(all[[#This Row],[DEVELOPMENT]],Data[],27,FALSE)</f>
        <v>23</v>
      </c>
      <c r="M30">
        <f>VLOOKUP(all[[#This Row],[DEVELOPMENT]],Data[],31,FALSE)</f>
        <v>23</v>
      </c>
      <c r="N30">
        <f>VLOOKUP(all[[#This Row],[DEVELOPMENT]],Data[],26,FALSE)</f>
        <v>4</v>
      </c>
      <c r="O30">
        <f>VLOOKUP(all[[#This Row],[DEVELOPMENT]],Data[],30,FALSE)</f>
        <v>4</v>
      </c>
      <c r="P30">
        <f>VLOOKUP(all[[#This Row],[DEVELOPMENT]],Data[],28,FALSE)</f>
        <v>0</v>
      </c>
      <c r="Q30">
        <f>IF(all[[#This Row],['# Bulk Crushers]]=0,1,0)</f>
        <v>1</v>
      </c>
      <c r="R30" s="5">
        <f>IFERROR(INDEX(FWD[],MATCH($B30,FWD[DEVELOPMENT],0),MATCH("ESTIMATE",FWD[#Headers],0)),0)</f>
        <v>0</v>
      </c>
      <c r="S30" s="5">
        <f>IFERROR(INDEX(EHD[],MATCH($B30,EHD[DEVELOPMENT],0),MATCH("ESTIMATE",EHD[#Headers],0)),0)</f>
        <v>171019.80050000001</v>
      </c>
      <c r="T30" s="5">
        <f ca="1">IFERROR(INDEX(IntComp[],MATCH($B30,IntComp[DEVELOPMENT],0),MATCH("ESTIMATE",IntComp[#Headers],0)),0)</f>
        <v>1694028.0734999997</v>
      </c>
      <c r="U30" s="5">
        <f ca="1">IFERROR(INDEX(Yards[],MATCH($B30,Yards[DEVELOPMENT],0),MATCH("ESTIMATE",Yards[#Headers],0)),0)</f>
        <v>2453564.4999999995</v>
      </c>
      <c r="V30" s="128">
        <f ca="1">SUM(R30:U30)</f>
        <v>4318612.3739999998</v>
      </c>
      <c r="W30" s="5"/>
    </row>
    <row r="31" spans="1:23" x14ac:dyDescent="0.25">
      <c r="A31" s="131">
        <f>VLOOKUP(B31,Data[],24,FALSE)</f>
        <v>165</v>
      </c>
      <c r="B31" t="s">
        <v>178</v>
      </c>
      <c r="C31" t="str">
        <f>VLOOKUP(B31,Data[],2,FALSE)</f>
        <v>QUEENS</v>
      </c>
      <c r="D31" t="str">
        <f>VLOOKUP(all[[#This Row],[DEVELOPMENT]],Data[],3,FALSE)</f>
        <v>BEACH 41ST STREET-BEACH CHANNEL DRIVE</v>
      </c>
      <c r="E31">
        <f>VLOOKUP(B31,Data[],8,FALSE)</f>
        <v>0</v>
      </c>
      <c r="F31">
        <f>VLOOKUP(B31,Data[],9,FALSE)</f>
        <v>0</v>
      </c>
      <c r="G31" t="str">
        <f>IFERROR(VLOOKUP(B31,Data[],4,FALSE),"")</f>
        <v/>
      </c>
      <c r="H31" t="str">
        <f ca="1">IF(G31="","",IF((G31-YEAR(TODAY()))&lt;=5,"Yes",""))</f>
        <v/>
      </c>
      <c r="I31">
        <f>VLOOKUP(all[[#This Row],[DEVELOPMENT]],Data[],7,FALSE)</f>
        <v>712</v>
      </c>
      <c r="J31">
        <f>VLOOKUP(all[[#This Row],[DEVELOPMENT]],Data[],25,FALSE)</f>
        <v>0</v>
      </c>
      <c r="K31">
        <f>VLOOKUP(all[[#This Row],[DEVELOPMENT]],Data[],5,FALSE)</f>
        <v>4</v>
      </c>
      <c r="L31">
        <f>VLOOKUP(all[[#This Row],[DEVELOPMENT]],Data[],27,FALSE)</f>
        <v>6</v>
      </c>
      <c r="M31">
        <f>VLOOKUP(all[[#This Row],[DEVELOPMENT]],Data[],31,FALSE)</f>
        <v>6</v>
      </c>
      <c r="N31">
        <f>VLOOKUP(all[[#This Row],[DEVELOPMENT]],Data[],26,FALSE)</f>
        <v>1</v>
      </c>
      <c r="O31">
        <f>VLOOKUP(all[[#This Row],[DEVELOPMENT]],Data[],30,FALSE)</f>
        <v>1</v>
      </c>
      <c r="P31">
        <f>VLOOKUP(all[[#This Row],[DEVELOPMENT]],Data[],28,FALSE)</f>
        <v>0</v>
      </c>
      <c r="Q31">
        <f>IF(all[[#This Row],['# Bulk Crushers]]=0,1,0)</f>
        <v>1</v>
      </c>
      <c r="R31" s="5">
        <f>IFERROR(INDEX(FWD[],MATCH($B31,FWD[DEVELOPMENT],0),MATCH("ESTIMATE",FWD[#Headers],0)),0)</f>
        <v>0</v>
      </c>
      <c r="S31" s="5">
        <f>IFERROR(INDEX(EHD[],MATCH($B31,EHD[DEVELOPMENT],0),MATCH("ESTIMATE",EHD[#Headers],0)),0)</f>
        <v>44613.861000000004</v>
      </c>
      <c r="T31" s="5">
        <f ca="1">IFERROR(INDEX(IntComp[],MATCH($B31,IntComp[DEVELOPMENT],0),MATCH("ESTIMATE",IntComp[#Headers],0)),0)</f>
        <v>441920.36699999991</v>
      </c>
      <c r="U31" s="5">
        <f ca="1">IFERROR(INDEX(Yards[],MATCH($B31,Yards[DEVELOPMENT],0),MATCH("ESTIMATE",Yards[#Headers],0)),0)</f>
        <v>1159792.78</v>
      </c>
      <c r="V31" s="128">
        <f ca="1">SUM(R31:U31)</f>
        <v>1646327.0079999999</v>
      </c>
      <c r="W31" s="5"/>
    </row>
    <row r="32" spans="1:23" x14ac:dyDescent="0.25">
      <c r="A32" s="131">
        <f>VLOOKUP(B32,Data[],24,FALSE)</f>
        <v>311</v>
      </c>
      <c r="B32" t="s">
        <v>142</v>
      </c>
      <c r="C32" t="str">
        <f>VLOOKUP(B32,Data[],2,FALSE)</f>
        <v>BROOKLYN</v>
      </c>
      <c r="D32" t="str">
        <f>VLOOKUP(all[[#This Row],[DEVELOPMENT]],Data[],3,FALSE)</f>
        <v>SUMNER</v>
      </c>
      <c r="E32" t="str">
        <f>VLOOKUP(B32,Data[],8,FALSE)</f>
        <v>Zone 1</v>
      </c>
      <c r="F32" t="str">
        <f>VLOOKUP(B32,Data[],9,FALSE)</f>
        <v>$</v>
      </c>
      <c r="G32" t="str">
        <f>IFERROR(VLOOKUP(B32,Data[],4,FALSE),"")</f>
        <v/>
      </c>
      <c r="H32" t="str">
        <f ca="1">IF(G32="","",IF((G32-YEAR(TODAY()))&lt;=5,"Yes",""))</f>
        <v/>
      </c>
      <c r="I32">
        <f>VLOOKUP(all[[#This Row],[DEVELOPMENT]],Data[],7,FALSE)</f>
        <v>84</v>
      </c>
      <c r="J32" t="str">
        <f>VLOOKUP(all[[#This Row],[DEVELOPMENT]],Data[],25,FALSE)</f>
        <v>Yes</v>
      </c>
      <c r="K32">
        <f>VLOOKUP(all[[#This Row],[DEVELOPMENT]],Data[],5,FALSE)</f>
        <v>3</v>
      </c>
      <c r="L32">
        <f>VLOOKUP(all[[#This Row],[DEVELOPMENT]],Data[],27,FALSE)</f>
        <v>5</v>
      </c>
      <c r="M32">
        <f>VLOOKUP(all[[#This Row],[DEVELOPMENT]],Data[],31,FALSE)</f>
        <v>5</v>
      </c>
      <c r="N32">
        <f>VLOOKUP(all[[#This Row],[DEVELOPMENT]],Data[],26,FALSE)</f>
        <v>0</v>
      </c>
      <c r="O32">
        <f>VLOOKUP(all[[#This Row],[DEVELOPMENT]],Data[],30,FALSE)</f>
        <v>0</v>
      </c>
      <c r="P32">
        <f>VLOOKUP(all[[#This Row],[DEVELOPMENT]],Data[],28,FALSE)</f>
        <v>0</v>
      </c>
      <c r="Q32">
        <f>IF(all[[#This Row],['# Bulk Crushers]]=0,1,0)</f>
        <v>1</v>
      </c>
      <c r="R32" s="5">
        <f>IFERROR(INDEX(FWD[],MATCH($B32,FWD[DEVELOPMENT],0),MATCH("ESTIMATE",FWD[#Headers],0)),0)</f>
        <v>144373.81958112094</v>
      </c>
      <c r="S32" s="5">
        <f>IFERROR(INDEX(EHD[],MATCH($B32,EHD[DEVELOPMENT],0),MATCH("ESTIMATE",EHD[#Headers],0)),0)</f>
        <v>37178.217499999999</v>
      </c>
      <c r="T32" s="5">
        <f ca="1">IFERROR(INDEX(IntComp[],MATCH($B32,IntComp[DEVELOPMENT],0),MATCH("ESTIMATE",IntComp[#Headers],0)),0)</f>
        <v>368266.97249999997</v>
      </c>
      <c r="U32" s="5">
        <f>IFERROR(INDEX(Yards[],MATCH($B32,Yards[DEVELOPMENT],0),MATCH("ESTIMATE",Yards[#Headers],0)),0)</f>
        <v>1159792.78</v>
      </c>
      <c r="V32" s="128">
        <f ca="1">SUM(R32:U32)</f>
        <v>1709611.7895811209</v>
      </c>
      <c r="W32" s="5"/>
    </row>
    <row r="33" spans="1:23" x14ac:dyDescent="0.25">
      <c r="A33" s="131">
        <f>VLOOKUP(B33,Data[],24,FALSE)</f>
        <v>345</v>
      </c>
      <c r="B33" t="s">
        <v>179</v>
      </c>
      <c r="C33" t="str">
        <f>VLOOKUP(B33,Data[],2,FALSE)</f>
        <v>BROOKLYN</v>
      </c>
      <c r="D33" t="str">
        <f>VLOOKUP(all[[#This Row],[DEVELOPMENT]],Data[],3,FALSE)</f>
        <v>BOULEVARD</v>
      </c>
      <c r="E33">
        <f>VLOOKUP(B33,Data[],8,FALSE)</f>
        <v>0</v>
      </c>
      <c r="F33">
        <f>VLOOKUP(B33,Data[],9,FALSE)</f>
        <v>0</v>
      </c>
      <c r="G33" t="str">
        <f>IFERROR(VLOOKUP(B33,Data[],4,FALSE),"")</f>
        <v/>
      </c>
      <c r="H33" t="str">
        <f ca="1">IF(G33="","",IF((G33-YEAR(TODAY()))&lt;=5,"Yes",""))</f>
        <v/>
      </c>
      <c r="I33">
        <f>VLOOKUP(all[[#This Row],[DEVELOPMENT]],Data[],7,FALSE)</f>
        <v>72</v>
      </c>
      <c r="J33">
        <f>VLOOKUP(all[[#This Row],[DEVELOPMENT]],Data[],25,FALSE)</f>
        <v>0</v>
      </c>
      <c r="K33">
        <f>VLOOKUP(all[[#This Row],[DEVELOPMENT]],Data[],5,FALSE)</f>
        <v>3</v>
      </c>
      <c r="L33">
        <f>VLOOKUP(all[[#This Row],[DEVELOPMENT]],Data[],27,FALSE)</f>
        <v>0</v>
      </c>
      <c r="M33">
        <f>VLOOKUP(all[[#This Row],[DEVELOPMENT]],Data[],31,FALSE)</f>
        <v>0</v>
      </c>
      <c r="N33">
        <f>VLOOKUP(all[[#This Row],[DEVELOPMENT]],Data[],26,FALSE)</f>
        <v>0</v>
      </c>
      <c r="O33">
        <f>VLOOKUP(all[[#This Row],[DEVELOPMENT]],Data[],30,FALSE)</f>
        <v>0</v>
      </c>
      <c r="P33">
        <f>VLOOKUP(all[[#This Row],[DEVELOPMENT]],Data[],28,FALSE)</f>
        <v>0</v>
      </c>
      <c r="Q33">
        <f>IF(all[[#This Row],['# Bulk Crushers]]=0,1,0)</f>
        <v>1</v>
      </c>
      <c r="R33" s="5">
        <f>IFERROR(INDEX(FWD[],MATCH($B33,FWD[DEVELOPMENT],0),MATCH("ESTIMATE",FWD[#Headers],0)),0)</f>
        <v>0</v>
      </c>
      <c r="S33" s="5">
        <f>IFERROR(INDEX(EHD[],MATCH($B33,EHD[DEVELOPMENT],0),MATCH("ESTIMATE",EHD[#Headers],0)),0)</f>
        <v>0</v>
      </c>
      <c r="T33" s="5">
        <f ca="1">IFERROR(INDEX(IntComp[],MATCH($B33,IntComp[DEVELOPMENT],0),MATCH("ESTIMATE",IntComp[#Headers],0)),0)</f>
        <v>0</v>
      </c>
      <c r="U33" s="5">
        <f>IFERROR(INDEX(Yards[],MATCH($B33,Yards[DEVELOPMENT],0),MATCH("ESTIMATE",Yards[#Headers],0)),0)</f>
        <v>1159792.78</v>
      </c>
      <c r="V33" s="128">
        <f ca="1">SUM(R33:U33)</f>
        <v>1159792.78</v>
      </c>
      <c r="W33" s="5"/>
    </row>
    <row r="34" spans="1:23" x14ac:dyDescent="0.25">
      <c r="A34" s="131">
        <f>VLOOKUP(B34,Data[],24,FALSE)</f>
        <v>52</v>
      </c>
      <c r="B34" t="s">
        <v>180</v>
      </c>
      <c r="C34" t="str">
        <f>VLOOKUP(B34,Data[],2,FALSE)</f>
        <v>STATEN ISLAND</v>
      </c>
      <c r="D34" t="str">
        <f>VLOOKUP(all[[#This Row],[DEVELOPMENT]],Data[],3,FALSE)</f>
        <v>BERRY</v>
      </c>
      <c r="E34">
        <f>VLOOKUP(B34,Data[],8,FALSE)</f>
        <v>0</v>
      </c>
      <c r="F34">
        <f>VLOOKUP(B34,Data[],9,FALSE)</f>
        <v>0</v>
      </c>
      <c r="G34" t="str">
        <f>IFERROR(VLOOKUP(B34,Data[],4,FALSE),"")</f>
        <v/>
      </c>
      <c r="H34" t="str">
        <f ca="1">IF(G34="","",IF((G34-YEAR(TODAY()))&lt;=5,"Yes",""))</f>
        <v/>
      </c>
      <c r="I34">
        <f>VLOOKUP(all[[#This Row],[DEVELOPMENT]],Data[],7,FALSE)</f>
        <v>506</v>
      </c>
      <c r="J34">
        <f>VLOOKUP(all[[#This Row],[DEVELOPMENT]],Data[],25,FALSE)</f>
        <v>0</v>
      </c>
      <c r="K34">
        <f>VLOOKUP(all[[#This Row],[DEVELOPMENT]],Data[],5,FALSE)</f>
        <v>8</v>
      </c>
      <c r="L34">
        <f>VLOOKUP(all[[#This Row],[DEVELOPMENT]],Data[],27,FALSE)</f>
        <v>15</v>
      </c>
      <c r="M34">
        <f>VLOOKUP(all[[#This Row],[DEVELOPMENT]],Data[],31,FALSE)</f>
        <v>15</v>
      </c>
      <c r="N34">
        <f>VLOOKUP(all[[#This Row],[DEVELOPMENT]],Data[],26,FALSE)</f>
        <v>1</v>
      </c>
      <c r="O34">
        <f>VLOOKUP(all[[#This Row],[DEVELOPMENT]],Data[],30,FALSE)</f>
        <v>1</v>
      </c>
      <c r="P34">
        <f>VLOOKUP(all[[#This Row],[DEVELOPMENT]],Data[],28,FALSE)</f>
        <v>0</v>
      </c>
      <c r="Q34">
        <f>IF(all[[#This Row],['# Bulk Crushers]]=0,1,0)</f>
        <v>1</v>
      </c>
      <c r="R34" s="5">
        <f>IFERROR(INDEX(FWD[],MATCH($B34,FWD[DEVELOPMENT],0),MATCH("ESTIMATE",FWD[#Headers],0)),0)</f>
        <v>0</v>
      </c>
      <c r="S34" s="5">
        <f>IFERROR(INDEX(EHD[],MATCH($B34,EHD[DEVELOPMENT],0),MATCH("ESTIMATE",EHD[#Headers],0)),0)</f>
        <v>111534.6525</v>
      </c>
      <c r="T34" s="5">
        <f ca="1">IFERROR(INDEX(IntComp[],MATCH($B34,IntComp[DEVELOPMENT],0),MATCH("ESTIMATE",IntComp[#Headers],0)),0)</f>
        <v>1104800.9175</v>
      </c>
      <c r="U34" s="5">
        <f ca="1">IFERROR(INDEX(Yards[],MATCH($B34,Yards[DEVELOPMENT],0),MATCH("ESTIMATE",Yards[#Headers],0)),0)</f>
        <v>1159792.78</v>
      </c>
      <c r="V34" s="128">
        <f ca="1">SUM(R34:U34)</f>
        <v>2376128.35</v>
      </c>
      <c r="W34" s="5"/>
    </row>
    <row r="35" spans="1:23" x14ac:dyDescent="0.25">
      <c r="A35" s="131">
        <f>VLOOKUP(B35,Data[],24,FALSE)</f>
        <v>357</v>
      </c>
      <c r="B35" t="s">
        <v>181</v>
      </c>
      <c r="C35" t="str">
        <f>VLOOKUP(B35,Data[],2,FALSE)</f>
        <v>BROOKLYN</v>
      </c>
      <c r="D35" t="str">
        <f>VLOOKUP(all[[#This Row],[DEVELOPMENT]],Data[],3,FALSE)</f>
        <v>TOMPKINS</v>
      </c>
      <c r="E35">
        <f>VLOOKUP(B35,Data[],8,FALSE)</f>
        <v>0</v>
      </c>
      <c r="F35">
        <f>VLOOKUP(B35,Data[],9,FALSE)</f>
        <v>0</v>
      </c>
      <c r="G35" t="str">
        <f>IFERROR(VLOOKUP(B35,Data[],4,FALSE),"")</f>
        <v/>
      </c>
      <c r="H35" t="str">
        <f ca="1">IF(G35="","",IF((G35-YEAR(TODAY()))&lt;=5,"Yes",""))</f>
        <v/>
      </c>
      <c r="I35">
        <f>VLOOKUP(all[[#This Row],[DEVELOPMENT]],Data[],7,FALSE)</f>
        <v>150</v>
      </c>
      <c r="J35" t="str">
        <f>VLOOKUP(all[[#This Row],[DEVELOPMENT]],Data[],25,FALSE)</f>
        <v>Yes</v>
      </c>
      <c r="K35">
        <f>VLOOKUP(all[[#This Row],[DEVELOPMENT]],Data[],5,FALSE)</f>
        <v>4</v>
      </c>
      <c r="L35">
        <f>VLOOKUP(all[[#This Row],[DEVELOPMENT]],Data[],27,FALSE)</f>
        <v>1</v>
      </c>
      <c r="M35">
        <f>VLOOKUP(all[[#This Row],[DEVELOPMENT]],Data[],31,FALSE)</f>
        <v>1</v>
      </c>
      <c r="N35">
        <f>VLOOKUP(all[[#This Row],[DEVELOPMENT]],Data[],26,FALSE)</f>
        <v>1</v>
      </c>
      <c r="O35">
        <f>VLOOKUP(all[[#This Row],[DEVELOPMENT]],Data[],30,FALSE)</f>
        <v>1</v>
      </c>
      <c r="P35">
        <f>VLOOKUP(all[[#This Row],[DEVELOPMENT]],Data[],28,FALSE)</f>
        <v>0</v>
      </c>
      <c r="Q35">
        <f>IF(all[[#This Row],['# Bulk Crushers]]=0,1,0)</f>
        <v>1</v>
      </c>
      <c r="R35" s="5">
        <f>IFERROR(INDEX(FWD[],MATCH($B35,FWD[DEVELOPMENT],0),MATCH("ESTIMATE",FWD[#Headers],0)),0)</f>
        <v>257810.39210914454</v>
      </c>
      <c r="S35" s="5">
        <f>IFERROR(INDEX(EHD[],MATCH($B35,EHD[DEVELOPMENT],0),MATCH("ESTIMATE",EHD[#Headers],0)),0)</f>
        <v>7435.6435000000001</v>
      </c>
      <c r="T35" s="5">
        <f ca="1">IFERROR(INDEX(IntComp[],MATCH($B35,IntComp[DEVELOPMENT],0),MATCH("ESTIMATE",IntComp[#Headers],0)),0)</f>
        <v>73653.394499999995</v>
      </c>
      <c r="U35" s="5">
        <f ca="1">IFERROR(INDEX(Yards[],MATCH($B35,Yards[DEVELOPMENT],0),MATCH("ESTIMATE",Yards[#Headers],0)),0)</f>
        <v>1159792.78</v>
      </c>
      <c r="V35" s="128">
        <f ca="1">SUM(R35:U35)</f>
        <v>1498692.2101091444</v>
      </c>
      <c r="W35" s="5"/>
    </row>
    <row r="36" spans="1:23" x14ac:dyDescent="0.25">
      <c r="A36" s="131">
        <f>VLOOKUP(B36,Data[],24,FALSE)</f>
        <v>160</v>
      </c>
      <c r="B36" t="s">
        <v>71</v>
      </c>
      <c r="C36" t="str">
        <f>VLOOKUP(B36,Data[],2,FALSE)</f>
        <v>MANHATTAN</v>
      </c>
      <c r="D36" t="str">
        <f>VLOOKUP(all[[#This Row],[DEVELOPMENT]],Data[],3,FALSE)</f>
        <v>HARLEM RIVER</v>
      </c>
      <c r="E36" t="str">
        <f>VLOOKUP(B36,Data[],8,FALSE)</f>
        <v>Zone 3</v>
      </c>
      <c r="F36" t="str">
        <f>VLOOKUP(B36,Data[],9,FALSE)</f>
        <v>$$</v>
      </c>
      <c r="G36">
        <f>IFERROR(VLOOKUP(B36,Data[],4,FALSE),"")</f>
        <v>2020</v>
      </c>
      <c r="H36" t="str">
        <f ca="1">IF(G36="","",IF((G36-YEAR(TODAY()))&lt;=5,"Yes",""))</f>
        <v>Yes</v>
      </c>
      <c r="I36">
        <f>VLOOKUP(all[[#This Row],[DEVELOPMENT]],Data[],7,FALSE)</f>
        <v>210</v>
      </c>
      <c r="J36">
        <f>VLOOKUP(all[[#This Row],[DEVELOPMENT]],Data[],25,FALSE)</f>
        <v>0</v>
      </c>
      <c r="K36">
        <f>VLOOKUP(all[[#This Row],[DEVELOPMENT]],Data[],5,FALSE)</f>
        <v>1</v>
      </c>
      <c r="L36">
        <f>VLOOKUP(all[[#This Row],[DEVELOPMENT]],Data[],27,FALSE)</f>
        <v>1</v>
      </c>
      <c r="M36">
        <f>VLOOKUP(all[[#This Row],[DEVELOPMENT]],Data[],31,FALSE)</f>
        <v>1</v>
      </c>
      <c r="N36">
        <f>VLOOKUP(all[[#This Row],[DEVELOPMENT]],Data[],26,FALSE)</f>
        <v>1</v>
      </c>
      <c r="O36">
        <f>VLOOKUP(all[[#This Row],[DEVELOPMENT]],Data[],30,FALSE)</f>
        <v>1</v>
      </c>
      <c r="P36">
        <f>VLOOKUP(all[[#This Row],[DEVELOPMENT]],Data[],28,FALSE)</f>
        <v>0</v>
      </c>
      <c r="Q36">
        <f>IF(all[[#This Row],['# Bulk Crushers]]=0,1,0)</f>
        <v>1</v>
      </c>
      <c r="R36" s="5">
        <f>IFERROR(INDEX(FWD[],MATCH($B36,FWD[DEVELOPMENT],0),MATCH("ESTIMATE",FWD[#Headers],0)),0)</f>
        <v>0</v>
      </c>
      <c r="S36" s="5">
        <f>IFERROR(INDEX(EHD[],MATCH($B36,EHD[DEVELOPMENT],0),MATCH("ESTIMATE",EHD[#Headers],0)),0)</f>
        <v>0</v>
      </c>
      <c r="T36" s="5">
        <f ca="1">IFERROR(INDEX(IntComp[],MATCH($B36,IntComp[DEVELOPMENT],0),MATCH("ESTIMATE",IntComp[#Headers],0)),0)</f>
        <v>0</v>
      </c>
      <c r="U36" s="5">
        <f>IFERROR(INDEX(Yards[],MATCH($B36,Yards[DEVELOPMENT],0),MATCH("ESTIMATE",Yards[#Headers],0)),0)</f>
        <v>0</v>
      </c>
      <c r="V36" s="128">
        <f ca="1">SUM(R36:U36)</f>
        <v>0</v>
      </c>
      <c r="W36" s="5"/>
    </row>
    <row r="37" spans="1:23" x14ac:dyDescent="0.25">
      <c r="A37" s="131">
        <f>VLOOKUP(B37,Data[],24,FALSE)</f>
        <v>54</v>
      </c>
      <c r="B37" t="s">
        <v>182</v>
      </c>
      <c r="C37" t="str">
        <f>VLOOKUP(B37,Data[],2,FALSE)</f>
        <v>QUEENS</v>
      </c>
      <c r="D37" t="str">
        <f>VLOOKUP(all[[#This Row],[DEVELOPMENT]],Data[],3,FALSE)</f>
        <v>LATIMER GARDENS</v>
      </c>
      <c r="E37">
        <f>VLOOKUP(B37,Data[],8,FALSE)</f>
        <v>0</v>
      </c>
      <c r="F37">
        <f>VLOOKUP(B37,Data[],9,FALSE)</f>
        <v>0</v>
      </c>
      <c r="G37" t="str">
        <f>IFERROR(VLOOKUP(B37,Data[],4,FALSE),"")</f>
        <v/>
      </c>
      <c r="H37" t="str">
        <f ca="1">IF(G37="","",IF((G37-YEAR(TODAY()))&lt;=5,"Yes",""))</f>
        <v/>
      </c>
      <c r="I37">
        <f>VLOOKUP(all[[#This Row],[DEVELOPMENT]],Data[],7,FALSE)</f>
        <v>399</v>
      </c>
      <c r="J37">
        <f>VLOOKUP(all[[#This Row],[DEVELOPMENT]],Data[],25,FALSE)</f>
        <v>0</v>
      </c>
      <c r="K37">
        <f>VLOOKUP(all[[#This Row],[DEVELOPMENT]],Data[],5,FALSE)</f>
        <v>5</v>
      </c>
      <c r="L37">
        <f>VLOOKUP(all[[#This Row],[DEVELOPMENT]],Data[],27,FALSE)</f>
        <v>5</v>
      </c>
      <c r="M37">
        <f>VLOOKUP(all[[#This Row],[DEVELOPMENT]],Data[],31,FALSE)</f>
        <v>5</v>
      </c>
      <c r="N37">
        <f>VLOOKUP(all[[#This Row],[DEVELOPMENT]],Data[],26,FALSE)</f>
        <v>0</v>
      </c>
      <c r="O37">
        <f>VLOOKUP(all[[#This Row],[DEVELOPMENT]],Data[],30,FALSE)</f>
        <v>0</v>
      </c>
      <c r="P37">
        <f>VLOOKUP(all[[#This Row],[DEVELOPMENT]],Data[],28,FALSE)</f>
        <v>0</v>
      </c>
      <c r="Q37">
        <f>IF(all[[#This Row],['# Bulk Crushers]]=0,1,0)</f>
        <v>1</v>
      </c>
      <c r="R37" s="5">
        <f>IFERROR(INDEX(FWD[],MATCH($B37,FWD[DEVELOPMENT],0),MATCH("ESTIMATE",FWD[#Headers],0)),0)</f>
        <v>0</v>
      </c>
      <c r="S37" s="5">
        <f>IFERROR(INDEX(EHD[],MATCH($B37,EHD[DEVELOPMENT],0),MATCH("ESTIMATE",EHD[#Headers],0)),0)</f>
        <v>37178.217499999999</v>
      </c>
      <c r="T37" s="5">
        <f ca="1">IFERROR(INDEX(IntComp[],MATCH($B37,IntComp[DEVELOPMENT],0),MATCH("ESTIMATE",IntComp[#Headers],0)),0)</f>
        <v>368266.97249999997</v>
      </c>
      <c r="U37" s="5">
        <f>IFERROR(INDEX(Yards[],MATCH($B37,Yards[DEVELOPMENT],0),MATCH("ESTIMATE",Yards[#Headers],0)),0)</f>
        <v>1159792.78</v>
      </c>
      <c r="V37" s="128">
        <f ca="1">SUM(R37:U37)</f>
        <v>1565237.97</v>
      </c>
      <c r="W37" s="5"/>
    </row>
    <row r="38" spans="1:23" x14ac:dyDescent="0.25">
      <c r="A38" s="131">
        <f>VLOOKUP(B38,Data[],24,FALSE)</f>
        <v>243</v>
      </c>
      <c r="B38" t="s">
        <v>119</v>
      </c>
      <c r="C38" t="str">
        <f>VLOOKUP(B38,Data[],2,FALSE)</f>
        <v>BROOKLYN</v>
      </c>
      <c r="D38" t="str">
        <f>VLOOKUP(all[[#This Row],[DEVELOPMENT]],Data[],3,FALSE)</f>
        <v>BORINQUEN PLAZA I</v>
      </c>
      <c r="E38" t="str">
        <f>VLOOKUP(B38,Data[],8,FALSE)</f>
        <v>Zone 3</v>
      </c>
      <c r="F38" t="str">
        <f>VLOOKUP(B38,Data[],9,FALSE)</f>
        <v>$$$$</v>
      </c>
      <c r="G38" t="str">
        <f>IFERROR(VLOOKUP(B38,Data[],4,FALSE),"")</f>
        <v/>
      </c>
      <c r="H38" t="str">
        <f ca="1">IF(G38="","",IF((G38-YEAR(TODAY()))&lt;=5,"Yes",""))</f>
        <v/>
      </c>
      <c r="I38">
        <f>VLOOKUP(all[[#This Row],[DEVELOPMENT]],Data[],7,FALSE)</f>
        <v>509</v>
      </c>
      <c r="J38" t="str">
        <f>VLOOKUP(all[[#This Row],[DEVELOPMENT]],Data[],25,FALSE)</f>
        <v>Yes</v>
      </c>
      <c r="K38">
        <f>VLOOKUP(all[[#This Row],[DEVELOPMENT]],Data[],5,FALSE)</f>
        <v>8</v>
      </c>
      <c r="L38">
        <f>VLOOKUP(all[[#This Row],[DEVELOPMENT]],Data[],27,FALSE)</f>
        <v>8</v>
      </c>
      <c r="M38">
        <f>VLOOKUP(all[[#This Row],[DEVELOPMENT]],Data[],31,FALSE)</f>
        <v>8</v>
      </c>
      <c r="N38">
        <f>VLOOKUP(all[[#This Row],[DEVELOPMENT]],Data[],26,FALSE)</f>
        <v>2</v>
      </c>
      <c r="O38">
        <f>VLOOKUP(all[[#This Row],[DEVELOPMENT]],Data[],30,FALSE)</f>
        <v>2</v>
      </c>
      <c r="P38">
        <f>VLOOKUP(all[[#This Row],[DEVELOPMENT]],Data[],28,FALSE)</f>
        <v>0</v>
      </c>
      <c r="Q38">
        <f>IF(all[[#This Row],['# Bulk Crushers]]=0,1,0)</f>
        <v>1</v>
      </c>
      <c r="R38" s="5">
        <f>IFERROR(INDEX(FWD[],MATCH($B38,FWD[DEVELOPMENT],0),MATCH("ESTIMATE",FWD[#Headers],0)),0)</f>
        <v>874836.59722369723</v>
      </c>
      <c r="S38" s="5">
        <f>IFERROR(INDEX(EHD[],MATCH($B38,EHD[DEVELOPMENT],0),MATCH("ESTIMATE",EHD[#Headers],0)),0)</f>
        <v>59485.148000000001</v>
      </c>
      <c r="T38" s="5">
        <f ca="1">IFERROR(INDEX(IntComp[],MATCH($B38,IntComp[DEVELOPMENT],0),MATCH("ESTIMATE",IntComp[#Headers],0)),0)</f>
        <v>589227.15599999996</v>
      </c>
      <c r="U38" s="5">
        <f ca="1">IFERROR(INDEX(Yards[],MATCH($B38,Yards[DEVELOPMENT],0),MATCH("ESTIMATE",Yards[#Headers],0)),0)</f>
        <v>1591050.0199999998</v>
      </c>
      <c r="V38" s="128">
        <f ca="1">SUM(R38:U38)</f>
        <v>3114598.9212236973</v>
      </c>
      <c r="W38" s="5"/>
    </row>
    <row r="39" spans="1:23" x14ac:dyDescent="0.25">
      <c r="A39" s="131">
        <f>VLOOKUP(B39,Data[],24,FALSE)</f>
        <v>271</v>
      </c>
      <c r="B39" t="s">
        <v>72</v>
      </c>
      <c r="C39" t="str">
        <f>VLOOKUP(B39,Data[],2,FALSE)</f>
        <v>BROOKLYN</v>
      </c>
      <c r="D39" t="str">
        <f>VLOOKUP(all[[#This Row],[DEVELOPMENT]],Data[],3,FALSE)</f>
        <v>BORINQUEN PLAZA I</v>
      </c>
      <c r="E39" t="str">
        <f>VLOOKUP(B39,Data[],8,FALSE)</f>
        <v>Zone 3</v>
      </c>
      <c r="F39" t="str">
        <f>VLOOKUP(B39,Data[],9,FALSE)</f>
        <v>$$$</v>
      </c>
      <c r="G39" t="str">
        <f>IFERROR(VLOOKUP(B39,Data[],4,FALSE),"")</f>
        <v/>
      </c>
      <c r="H39" t="str">
        <f ca="1">IF(G39="","",IF((G39-YEAR(TODAY()))&lt;=5,"Yes",""))</f>
        <v/>
      </c>
      <c r="I39">
        <f>VLOOKUP(all[[#This Row],[DEVELOPMENT]],Data[],7,FALSE)</f>
        <v>425</v>
      </c>
      <c r="J39" t="str">
        <f>VLOOKUP(all[[#This Row],[DEVELOPMENT]],Data[],25,FALSE)</f>
        <v>Yes</v>
      </c>
      <c r="K39">
        <f>VLOOKUP(all[[#This Row],[DEVELOPMENT]],Data[],5,FALSE)</f>
        <v>7</v>
      </c>
      <c r="L39">
        <f>VLOOKUP(all[[#This Row],[DEVELOPMENT]],Data[],27,FALSE)</f>
        <v>7</v>
      </c>
      <c r="M39">
        <f>VLOOKUP(all[[#This Row],[DEVELOPMENT]],Data[],31,FALSE)</f>
        <v>7</v>
      </c>
      <c r="N39">
        <f>VLOOKUP(all[[#This Row],[DEVELOPMENT]],Data[],26,FALSE)</f>
        <v>0</v>
      </c>
      <c r="O39">
        <f>VLOOKUP(all[[#This Row],[DEVELOPMENT]],Data[],30,FALSE)</f>
        <v>0</v>
      </c>
      <c r="P39">
        <f>VLOOKUP(all[[#This Row],[DEVELOPMENT]],Data[],28,FALSE)</f>
        <v>0</v>
      </c>
      <c r="Q39">
        <f>IF(all[[#This Row],['# Bulk Crushers]]=0,1,0)</f>
        <v>1</v>
      </c>
      <c r="R39" s="5">
        <f>IFERROR(INDEX(FWD[],MATCH($B39,FWD[DEVELOPMENT],0),MATCH("ESTIMATE",FWD[#Headers],0)),0)</f>
        <v>730462.77764257626</v>
      </c>
      <c r="S39" s="5">
        <f>IFERROR(INDEX(EHD[],MATCH($B39,EHD[DEVELOPMENT],0),MATCH("ESTIMATE",EHD[#Headers],0)),0)</f>
        <v>52049.504500000003</v>
      </c>
      <c r="T39" s="5">
        <f ca="1">IFERROR(INDEX(IntComp[],MATCH($B39,IntComp[DEVELOPMENT],0),MATCH("ESTIMATE",IntComp[#Headers],0)),0)</f>
        <v>515573.76149999991</v>
      </c>
      <c r="U39" s="5">
        <f>IFERROR(INDEX(Yards[],MATCH($B39,Yards[DEVELOPMENT],0),MATCH("ESTIMATE",Yards[#Headers],0)),0)</f>
        <v>1159792.78</v>
      </c>
      <c r="V39" s="128">
        <f ca="1">SUM(R39:U39)</f>
        <v>2457878.8236425761</v>
      </c>
      <c r="W39" s="5"/>
    </row>
    <row r="40" spans="1:23" x14ac:dyDescent="0.25">
      <c r="A40" s="131">
        <f>VLOOKUP(B40,Data[],24,FALSE)</f>
        <v>189</v>
      </c>
      <c r="B40" t="s">
        <v>183</v>
      </c>
      <c r="C40" t="str">
        <f>VLOOKUP(B40,Data[],2,FALSE)</f>
        <v>BRONX</v>
      </c>
      <c r="D40" t="str">
        <f>VLOOKUP(all[[#This Row],[DEVELOPMENT]],Data[],3,FALSE)</f>
        <v>PELHAM PARKWAY</v>
      </c>
      <c r="E40">
        <f>VLOOKUP(B40,Data[],8,FALSE)</f>
        <v>0</v>
      </c>
      <c r="F40">
        <f>VLOOKUP(B40,Data[],9,FALSE)</f>
        <v>0</v>
      </c>
      <c r="G40">
        <f>IFERROR(VLOOKUP(B40,Data[],4,FALSE),"")</f>
        <v>2022</v>
      </c>
      <c r="H40" t="str">
        <f ca="1">IF(G40="","",IF((G40-YEAR(TODAY()))&lt;=5,"Yes",""))</f>
        <v>Yes</v>
      </c>
      <c r="I40">
        <f>VLOOKUP(all[[#This Row],[DEVELOPMENT]],Data[],7,FALSE)</f>
        <v>232</v>
      </c>
      <c r="J40">
        <f>VLOOKUP(all[[#This Row],[DEVELOPMENT]],Data[],25,FALSE)</f>
        <v>0</v>
      </c>
      <c r="K40">
        <f>VLOOKUP(all[[#This Row],[DEVELOPMENT]],Data[],5,FALSE)</f>
        <v>1</v>
      </c>
      <c r="L40">
        <f>VLOOKUP(all[[#This Row],[DEVELOPMENT]],Data[],27,FALSE)</f>
        <v>1</v>
      </c>
      <c r="M40">
        <f>VLOOKUP(all[[#This Row],[DEVELOPMENT]],Data[],31,FALSE)</f>
        <v>1</v>
      </c>
      <c r="N40">
        <f>VLOOKUP(all[[#This Row],[DEVELOPMENT]],Data[],26,FALSE)</f>
        <v>0</v>
      </c>
      <c r="O40">
        <f>VLOOKUP(all[[#This Row],[DEVELOPMENT]],Data[],30,FALSE)</f>
        <v>0</v>
      </c>
      <c r="P40">
        <f>VLOOKUP(all[[#This Row],[DEVELOPMENT]],Data[],28,FALSE)</f>
        <v>0</v>
      </c>
      <c r="Q40">
        <f>IF(all[[#This Row],['# Bulk Crushers]]=0,1,0)</f>
        <v>1</v>
      </c>
      <c r="R40" s="5">
        <f>IFERROR(INDEX(FWD[],MATCH($B40,FWD[DEVELOPMENT],0),MATCH("ESTIMATE",FWD[#Headers],0)),0)</f>
        <v>0</v>
      </c>
      <c r="S40" s="5">
        <f>IFERROR(INDEX(EHD[],MATCH($B40,EHD[DEVELOPMENT],0),MATCH("ESTIMATE",EHD[#Headers],0)),0)</f>
        <v>0</v>
      </c>
      <c r="T40" s="5">
        <f ca="1">IFERROR(INDEX(IntComp[],MATCH($B40,IntComp[DEVELOPMENT],0),MATCH("ESTIMATE",IntComp[#Headers],0)),0)</f>
        <v>0</v>
      </c>
      <c r="U40" s="5">
        <f>IFERROR(INDEX(Yards[],MATCH($B40,Yards[DEVELOPMENT],0),MATCH("ESTIMATE",Yards[#Headers],0)),0)</f>
        <v>0</v>
      </c>
      <c r="V40" s="128">
        <f ca="1">SUM(R40:U40)</f>
        <v>0</v>
      </c>
      <c r="W40" s="5"/>
    </row>
    <row r="41" spans="1:23" x14ac:dyDescent="0.25">
      <c r="A41" s="131">
        <f>VLOOKUP(B41,Data[],24,FALSE)</f>
        <v>138</v>
      </c>
      <c r="B41" t="s">
        <v>184</v>
      </c>
      <c r="C41" t="str">
        <f>VLOOKUP(B41,Data[],2,FALSE)</f>
        <v>BRONX</v>
      </c>
      <c r="D41" t="str">
        <f>VLOOKUP(all[[#This Row],[DEVELOPMENT]],Data[],3,FALSE)</f>
        <v>BOSTON SECOR</v>
      </c>
      <c r="E41">
        <f>VLOOKUP(B41,Data[],8,FALSE)</f>
        <v>0</v>
      </c>
      <c r="F41">
        <f>VLOOKUP(B41,Data[],9,FALSE)</f>
        <v>0</v>
      </c>
      <c r="G41" t="str">
        <f>IFERROR(VLOOKUP(B41,Data[],4,FALSE),"")</f>
        <v/>
      </c>
      <c r="H41" t="str">
        <f ca="1">IF(G41="","",IF((G41-YEAR(TODAY()))&lt;=5,"Yes",""))</f>
        <v/>
      </c>
      <c r="I41">
        <f>VLOOKUP(all[[#This Row],[DEVELOPMENT]],Data[],7,FALSE)</f>
        <v>538</v>
      </c>
      <c r="J41">
        <f>VLOOKUP(all[[#This Row],[DEVELOPMENT]],Data[],25,FALSE)</f>
        <v>0</v>
      </c>
      <c r="K41">
        <f>VLOOKUP(all[[#This Row],[DEVELOPMENT]],Data[],5,FALSE)</f>
        <v>4</v>
      </c>
      <c r="L41">
        <f>VLOOKUP(all[[#This Row],[DEVELOPMENT]],Data[],27,FALSE)</f>
        <v>4</v>
      </c>
      <c r="M41">
        <f>VLOOKUP(all[[#This Row],[DEVELOPMENT]],Data[],31,FALSE)</f>
        <v>4</v>
      </c>
      <c r="N41">
        <f>VLOOKUP(all[[#This Row],[DEVELOPMENT]],Data[],26,FALSE)</f>
        <v>2</v>
      </c>
      <c r="O41">
        <f>VLOOKUP(all[[#This Row],[DEVELOPMENT]],Data[],30,FALSE)</f>
        <v>2</v>
      </c>
      <c r="P41">
        <f>VLOOKUP(all[[#This Row],[DEVELOPMENT]],Data[],28,FALSE)</f>
        <v>0</v>
      </c>
      <c r="Q41">
        <f>IF(all[[#This Row],['# Bulk Crushers]]=0,1,0)</f>
        <v>1</v>
      </c>
      <c r="R41" s="5">
        <f>IFERROR(INDEX(FWD[],MATCH($B41,FWD[DEVELOPMENT],0),MATCH("ESTIMATE",FWD[#Headers],0)),0)</f>
        <v>0</v>
      </c>
      <c r="S41" s="5">
        <f>IFERROR(INDEX(EHD[],MATCH($B41,EHD[DEVELOPMENT],0),MATCH("ESTIMATE",EHD[#Headers],0)),0)</f>
        <v>29742.574000000001</v>
      </c>
      <c r="T41" s="5">
        <f ca="1">IFERROR(INDEX(IntComp[],MATCH($B41,IntComp[DEVELOPMENT],0),MATCH("ESTIMATE",IntComp[#Headers],0)),0)</f>
        <v>294613.57799999998</v>
      </c>
      <c r="U41" s="5">
        <f ca="1">IFERROR(INDEX(Yards[],MATCH($B41,Yards[DEVELOPMENT],0),MATCH("ESTIMATE",Yards[#Headers],0)),0)</f>
        <v>1591050.0199999998</v>
      </c>
      <c r="V41" s="128">
        <f ca="1">SUM(R41:U41)</f>
        <v>1915406.1719999998</v>
      </c>
      <c r="W41" s="5"/>
    </row>
    <row r="42" spans="1:23" x14ac:dyDescent="0.25">
      <c r="A42" s="131">
        <f>VLOOKUP(B42,Data[],24,FALSE)</f>
        <v>46</v>
      </c>
      <c r="B42" t="s">
        <v>185</v>
      </c>
      <c r="C42" t="str">
        <f>VLOOKUP(B42,Data[],2,FALSE)</f>
        <v>BROOKLYN</v>
      </c>
      <c r="D42" t="str">
        <f>VLOOKUP(all[[#This Row],[DEVELOPMENT]],Data[],3,FALSE)</f>
        <v>BOULEVARD</v>
      </c>
      <c r="E42">
        <f>VLOOKUP(B42,Data[],8,FALSE)</f>
        <v>0</v>
      </c>
      <c r="F42">
        <f>VLOOKUP(B42,Data[],9,FALSE)</f>
        <v>0</v>
      </c>
      <c r="G42">
        <f>IFERROR(VLOOKUP(B42,Data[],4,FALSE),"")</f>
        <v>2020</v>
      </c>
      <c r="H42" t="str">
        <f ca="1">IF(G42="","",IF((G42-YEAR(TODAY()))&lt;=5,"Yes",""))</f>
        <v>Yes</v>
      </c>
      <c r="I42">
        <f>VLOOKUP(all[[#This Row],[DEVELOPMENT]],Data[],7,FALSE)</f>
        <v>1424</v>
      </c>
      <c r="J42">
        <f>VLOOKUP(all[[#This Row],[DEVELOPMENT]],Data[],25,FALSE)</f>
        <v>0</v>
      </c>
      <c r="K42">
        <f>VLOOKUP(all[[#This Row],[DEVELOPMENT]],Data[],5,FALSE)</f>
        <v>18</v>
      </c>
      <c r="L42">
        <f>VLOOKUP(all[[#This Row],[DEVELOPMENT]],Data[],27,FALSE)</f>
        <v>29</v>
      </c>
      <c r="M42">
        <f>VLOOKUP(all[[#This Row],[DEVELOPMENT]],Data[],31,FALSE)</f>
        <v>29</v>
      </c>
      <c r="N42">
        <f>VLOOKUP(all[[#This Row],[DEVELOPMENT]],Data[],26,FALSE)</f>
        <v>0</v>
      </c>
      <c r="O42">
        <f>VLOOKUP(all[[#This Row],[DEVELOPMENT]],Data[],30,FALSE)</f>
        <v>0</v>
      </c>
      <c r="P42">
        <f>VLOOKUP(all[[#This Row],[DEVELOPMENT]],Data[],28,FALSE)</f>
        <v>0</v>
      </c>
      <c r="Q42">
        <f>IF(all[[#This Row],['# Bulk Crushers]]=0,1,0)</f>
        <v>1</v>
      </c>
      <c r="R42" s="5">
        <f>IFERROR(INDEX(FWD[],MATCH($B42,FWD[DEVELOPMENT],0),MATCH("ESTIMATE",FWD[#Headers],0)),0)</f>
        <v>0</v>
      </c>
      <c r="S42" s="5">
        <f>IFERROR(INDEX(EHD[],MATCH($B42,EHD[DEVELOPMENT],0),MATCH("ESTIMATE",EHD[#Headers],0)),0)</f>
        <v>0</v>
      </c>
      <c r="T42" s="5">
        <f ca="1">IFERROR(INDEX(IntComp[],MATCH($B42,IntComp[DEVELOPMENT],0),MATCH("ESTIMATE",IntComp[#Headers],0)),0)</f>
        <v>0</v>
      </c>
      <c r="U42" s="5">
        <f>IFERROR(INDEX(Yards[],MATCH($B42,Yards[DEVELOPMENT],0),MATCH("ESTIMATE",Yards[#Headers],0)),0)</f>
        <v>0</v>
      </c>
      <c r="V42" s="128">
        <f ca="1">SUM(R42:U42)</f>
        <v>0</v>
      </c>
      <c r="W42" s="5"/>
    </row>
    <row r="43" spans="1:23" x14ac:dyDescent="0.25">
      <c r="A43" s="131">
        <f>VLOOKUP(B43,Data[],24,FALSE)</f>
        <v>346</v>
      </c>
      <c r="B43" t="s">
        <v>186</v>
      </c>
      <c r="C43" t="str">
        <f>VLOOKUP(B43,Data[],2,FALSE)</f>
        <v>BRONX</v>
      </c>
      <c r="D43" t="str">
        <f>VLOOKUP(all[[#This Row],[DEVELOPMENT]],Data[],3,FALSE)</f>
        <v>BRONX RIVER</v>
      </c>
      <c r="E43">
        <f>VLOOKUP(B43,Data[],8,FALSE)</f>
        <v>0</v>
      </c>
      <c r="F43">
        <f>VLOOKUP(B43,Data[],9,FALSE)</f>
        <v>0</v>
      </c>
      <c r="G43" t="str">
        <f>IFERROR(VLOOKUP(B43,Data[],4,FALSE),"")</f>
        <v/>
      </c>
      <c r="H43" t="str">
        <f ca="1">IF(G43="","",IF((G43-YEAR(TODAY()))&lt;=5,"Yes",""))</f>
        <v/>
      </c>
      <c r="I43">
        <f>VLOOKUP(all[[#This Row],[DEVELOPMENT]],Data[],7,FALSE)</f>
        <v>82</v>
      </c>
      <c r="J43">
        <f>VLOOKUP(all[[#This Row],[DEVELOPMENT]],Data[],25,FALSE)</f>
        <v>0</v>
      </c>
      <c r="K43">
        <f>VLOOKUP(all[[#This Row],[DEVELOPMENT]],Data[],5,FALSE)</f>
        <v>3</v>
      </c>
      <c r="L43">
        <f>VLOOKUP(all[[#This Row],[DEVELOPMENT]],Data[],27,FALSE)</f>
        <v>3</v>
      </c>
      <c r="M43">
        <f>VLOOKUP(all[[#This Row],[DEVELOPMENT]],Data[],31,FALSE)</f>
        <v>3</v>
      </c>
      <c r="N43">
        <f>VLOOKUP(all[[#This Row],[DEVELOPMENT]],Data[],26,FALSE)</f>
        <v>0</v>
      </c>
      <c r="O43">
        <f>VLOOKUP(all[[#This Row],[DEVELOPMENT]],Data[],30,FALSE)</f>
        <v>0</v>
      </c>
      <c r="P43">
        <f>VLOOKUP(all[[#This Row],[DEVELOPMENT]],Data[],28,FALSE)</f>
        <v>0</v>
      </c>
      <c r="Q43">
        <f>IF(all[[#This Row],['# Bulk Crushers]]=0,1,0)</f>
        <v>1</v>
      </c>
      <c r="R43" s="5">
        <f>IFERROR(INDEX(FWD[],MATCH($B43,FWD[DEVELOPMENT],0),MATCH("ESTIMATE",FWD[#Headers],0)),0)</f>
        <v>0</v>
      </c>
      <c r="S43" s="5">
        <f>IFERROR(INDEX(EHD[],MATCH($B43,EHD[DEVELOPMENT],0),MATCH("ESTIMATE",EHD[#Headers],0)),0)</f>
        <v>22306.930500000002</v>
      </c>
      <c r="T43" s="5">
        <f ca="1">IFERROR(INDEX(IntComp[],MATCH($B43,IntComp[DEVELOPMENT],0),MATCH("ESTIMATE",IntComp[#Headers],0)),0)</f>
        <v>220960.18349999996</v>
      </c>
      <c r="U43" s="5">
        <f>IFERROR(INDEX(Yards[],MATCH($B43,Yards[DEVELOPMENT],0),MATCH("ESTIMATE",Yards[#Headers],0)),0)</f>
        <v>1159792.78</v>
      </c>
      <c r="V43" s="128">
        <f ca="1">SUM(R43:U43)</f>
        <v>1403059.8939999999</v>
      </c>
      <c r="W43" s="5"/>
    </row>
    <row r="44" spans="1:23" x14ac:dyDescent="0.25">
      <c r="A44" s="131">
        <f>VLOOKUP(B44,Data[],24,FALSE)</f>
        <v>264</v>
      </c>
      <c r="B44" t="s">
        <v>59</v>
      </c>
      <c r="C44" t="str">
        <f>VLOOKUP(B44,Data[],2,FALSE)</f>
        <v>MANHATTAN</v>
      </c>
      <c r="D44" t="str">
        <f>VLOOKUP(all[[#This Row],[DEVELOPMENT]],Data[],3,FALSE)</f>
        <v>LOWER EAST SIDE CONSOLIDATED</v>
      </c>
      <c r="E44" t="str">
        <f>VLOOKUP(B44,Data[],8,FALSE)</f>
        <v>Zone 1</v>
      </c>
      <c r="F44" t="str">
        <f>VLOOKUP(B44,Data[],9,FALSE)</f>
        <v>$</v>
      </c>
      <c r="G44">
        <f>IFERROR(VLOOKUP(B44,Data[],4,FALSE),"")</f>
        <v>2026</v>
      </c>
      <c r="H44" t="str">
        <f ca="1">IF(G44="","",IF((G44-YEAR(TODAY()))&lt;=5,"Yes",""))</f>
        <v/>
      </c>
      <c r="I44">
        <f>VLOOKUP(all[[#This Row],[DEVELOPMENT]],Data[],7,FALSE)</f>
        <v>108</v>
      </c>
      <c r="J44" t="str">
        <f>VLOOKUP(all[[#This Row],[DEVELOPMENT]],Data[],25,FALSE)</f>
        <v>Yes</v>
      </c>
      <c r="K44">
        <f>VLOOKUP(all[[#This Row],[DEVELOPMENT]],Data[],5,FALSE)</f>
        <v>1</v>
      </c>
      <c r="L44">
        <f>VLOOKUP(all[[#This Row],[DEVELOPMENT]],Data[],27,FALSE)</f>
        <v>2</v>
      </c>
      <c r="M44">
        <f>VLOOKUP(all[[#This Row],[DEVELOPMENT]],Data[],31,FALSE)</f>
        <v>2</v>
      </c>
      <c r="N44">
        <f>VLOOKUP(all[[#This Row],[DEVELOPMENT]],Data[],26,FALSE)</f>
        <v>0</v>
      </c>
      <c r="O44">
        <f>VLOOKUP(all[[#This Row],[DEVELOPMENT]],Data[],30,FALSE)</f>
        <v>0</v>
      </c>
      <c r="P44">
        <f>VLOOKUP(all[[#This Row],[DEVELOPMENT]],Data[],28,FALSE)</f>
        <v>0</v>
      </c>
      <c r="Q44">
        <f>IF(all[[#This Row],['# Bulk Crushers]]=0,1,0)</f>
        <v>1</v>
      </c>
      <c r="R44" s="5">
        <f>IFERROR(INDEX(FWD[],MATCH($B44,FWD[DEVELOPMENT],0),MATCH("ESTIMATE",FWD[#Headers],0)),0)</f>
        <v>185623.48231858408</v>
      </c>
      <c r="S44" s="5">
        <f>IFERROR(INDEX(EHD[],MATCH($B44,EHD[DEVELOPMENT],0),MATCH("ESTIMATE",EHD[#Headers],0)),0)</f>
        <v>14871.287</v>
      </c>
      <c r="T44" s="5">
        <f ca="1">IFERROR(INDEX(IntComp[],MATCH($B44,IntComp[DEVELOPMENT],0),MATCH("ESTIMATE",IntComp[#Headers],0)),0)</f>
        <v>147306.78899999999</v>
      </c>
      <c r="U44" s="5">
        <f>IFERROR(INDEX(Yards[],MATCH($B44,Yards[DEVELOPMENT],0),MATCH("ESTIMATE",Yards[#Headers],0)),0)</f>
        <v>1159792.78</v>
      </c>
      <c r="V44" s="128">
        <f ca="1">SUM(R44:U44)</f>
        <v>1507594.338318584</v>
      </c>
      <c r="W44" s="5"/>
    </row>
    <row r="45" spans="1:23" x14ac:dyDescent="0.25">
      <c r="A45" s="131">
        <f>VLOOKUP(B45,Data[],24,FALSE)</f>
        <v>56</v>
      </c>
      <c r="B45" t="s">
        <v>187</v>
      </c>
      <c r="C45" t="str">
        <f>VLOOKUP(B45,Data[],2,FALSE)</f>
        <v>BROOKLYN</v>
      </c>
      <c r="D45" t="str">
        <f>VLOOKUP(all[[#This Row],[DEVELOPMENT]],Data[],3,FALSE)</f>
        <v>BREUKELEN</v>
      </c>
      <c r="E45">
        <f>VLOOKUP(B45,Data[],8,FALSE)</f>
        <v>0</v>
      </c>
      <c r="F45">
        <f>VLOOKUP(B45,Data[],9,FALSE)</f>
        <v>0</v>
      </c>
      <c r="G45">
        <f>IFERROR(VLOOKUP(B45,Data[],4,FALSE),"")</f>
        <v>2021</v>
      </c>
      <c r="H45" t="str">
        <f ca="1">IF(G45="","",IF((G45-YEAR(TODAY()))&lt;=5,"Yes",""))</f>
        <v>Yes</v>
      </c>
      <c r="I45">
        <f>VLOOKUP(all[[#This Row],[DEVELOPMENT]],Data[],7,FALSE)</f>
        <v>1592</v>
      </c>
      <c r="J45">
        <f>VLOOKUP(all[[#This Row],[DEVELOPMENT]],Data[],25,FALSE)</f>
        <v>0</v>
      </c>
      <c r="K45">
        <f>VLOOKUP(all[[#This Row],[DEVELOPMENT]],Data[],5,FALSE)</f>
        <v>30</v>
      </c>
      <c r="L45">
        <f>VLOOKUP(all[[#This Row],[DEVELOPMENT]],Data[],27,FALSE)</f>
        <v>89</v>
      </c>
      <c r="M45">
        <f>VLOOKUP(all[[#This Row],[DEVELOPMENT]],Data[],31,FALSE)</f>
        <v>89</v>
      </c>
      <c r="N45">
        <f>VLOOKUP(all[[#This Row],[DEVELOPMENT]],Data[],26,FALSE)</f>
        <v>4</v>
      </c>
      <c r="O45">
        <f>VLOOKUP(all[[#This Row],[DEVELOPMENT]],Data[],30,FALSE)</f>
        <v>4</v>
      </c>
      <c r="P45">
        <f>VLOOKUP(all[[#This Row],[DEVELOPMENT]],Data[],28,FALSE)</f>
        <v>0</v>
      </c>
      <c r="Q45">
        <f>IF(all[[#This Row],['# Bulk Crushers]]=0,1,0)</f>
        <v>1</v>
      </c>
      <c r="R45" s="5">
        <f>IFERROR(INDEX(FWD[],MATCH($B45,FWD[DEVELOPMENT],0),MATCH("ESTIMATE",FWD[#Headers],0)),0)</f>
        <v>0</v>
      </c>
      <c r="S45" s="5">
        <f>IFERROR(INDEX(EHD[],MATCH($B45,EHD[DEVELOPMENT],0),MATCH("ESTIMATE",EHD[#Headers],0)),0)</f>
        <v>661772.27150000003</v>
      </c>
      <c r="T45" s="5">
        <f ca="1">IFERROR(INDEX(IntComp[],MATCH($B45,IntComp[DEVELOPMENT],0),MATCH("ESTIMATE",IntComp[#Headers],0)),0)</f>
        <v>0</v>
      </c>
      <c r="U45" s="5">
        <f>IFERROR(INDEX(Yards[],MATCH($B45,Yards[DEVELOPMENT],0),MATCH("ESTIMATE",Yards[#Headers],0)),0)</f>
        <v>0</v>
      </c>
      <c r="V45" s="128">
        <f ca="1">SUM(R45:U45)</f>
        <v>661772.27150000003</v>
      </c>
      <c r="W45" s="5"/>
    </row>
    <row r="46" spans="1:23" x14ac:dyDescent="0.25">
      <c r="A46" s="131">
        <f>VLOOKUP(B46,Data[],24,FALSE)</f>
        <v>65</v>
      </c>
      <c r="B46" t="s">
        <v>188</v>
      </c>
      <c r="C46" t="str">
        <f>VLOOKUP(B46,Data[],2,FALSE)</f>
        <v>BROOKLYN</v>
      </c>
      <c r="D46" t="str">
        <f>VLOOKUP(all[[#This Row],[DEVELOPMENT]],Data[],3,FALSE)</f>
        <v>BREVOORT</v>
      </c>
      <c r="E46">
        <f>VLOOKUP(B46,Data[],8,FALSE)</f>
        <v>0</v>
      </c>
      <c r="F46">
        <f>VLOOKUP(B46,Data[],9,FALSE)</f>
        <v>0</v>
      </c>
      <c r="G46" t="str">
        <f>IFERROR(VLOOKUP(B46,Data[],4,FALSE),"")</f>
        <v/>
      </c>
      <c r="H46" t="str">
        <f ca="1">IF(G46="","",IF((G46-YEAR(TODAY()))&lt;=5,"Yes",""))</f>
        <v/>
      </c>
      <c r="I46">
        <f>VLOOKUP(all[[#This Row],[DEVELOPMENT]],Data[],7,FALSE)</f>
        <v>894</v>
      </c>
      <c r="J46" t="str">
        <f>VLOOKUP(all[[#This Row],[DEVELOPMENT]],Data[],25,FALSE)</f>
        <v>Yes</v>
      </c>
      <c r="K46">
        <f>VLOOKUP(all[[#This Row],[DEVELOPMENT]],Data[],5,FALSE)</f>
        <v>13</v>
      </c>
      <c r="L46">
        <f>VLOOKUP(all[[#This Row],[DEVELOPMENT]],Data[],27,FALSE)</f>
        <v>26</v>
      </c>
      <c r="M46">
        <f>VLOOKUP(all[[#This Row],[DEVELOPMENT]],Data[],31,FALSE)</f>
        <v>26</v>
      </c>
      <c r="N46">
        <f>VLOOKUP(all[[#This Row],[DEVELOPMENT]],Data[],26,FALSE)</f>
        <v>2</v>
      </c>
      <c r="O46">
        <f>VLOOKUP(all[[#This Row],[DEVELOPMENT]],Data[],30,FALSE)</f>
        <v>2</v>
      </c>
      <c r="P46">
        <f>VLOOKUP(all[[#This Row],[DEVELOPMENT]],Data[],28,FALSE)</f>
        <v>0</v>
      </c>
      <c r="Q46">
        <f>IF(all[[#This Row],['# Bulk Crushers]]=0,1,0)</f>
        <v>1</v>
      </c>
      <c r="R46" s="5">
        <f>IFERROR(INDEX(FWD[],MATCH($B46,FWD[DEVELOPMENT],0),MATCH("ESTIMATE",FWD[#Headers],0)),0)</f>
        <v>1536549.9369705014</v>
      </c>
      <c r="S46" s="5">
        <f>IFERROR(INDEX(EHD[],MATCH($B46,EHD[DEVELOPMENT],0),MATCH("ESTIMATE",EHD[#Headers],0)),0)</f>
        <v>193326.731</v>
      </c>
      <c r="T46" s="5">
        <f ca="1">IFERROR(INDEX(IntComp[],MATCH($B46,IntComp[DEVELOPMENT],0),MATCH("ESTIMATE",IntComp[#Headers],0)),0)</f>
        <v>1914988.2569999998</v>
      </c>
      <c r="U46" s="5">
        <f ca="1">IFERROR(INDEX(Yards[],MATCH($B46,Yards[DEVELOPMENT],0),MATCH("ESTIMATE",Yards[#Headers],0)),0)</f>
        <v>1591050.0199999998</v>
      </c>
      <c r="V46" s="128">
        <f ca="1">SUM(R46:U46)</f>
        <v>5235914.9449705007</v>
      </c>
      <c r="W46" s="5"/>
    </row>
    <row r="47" spans="1:23" x14ac:dyDescent="0.25">
      <c r="A47" s="131">
        <f>VLOOKUP(B47,Data[],24,FALSE)</f>
        <v>32</v>
      </c>
      <c r="B47" t="s">
        <v>73</v>
      </c>
      <c r="C47" t="str">
        <f>VLOOKUP(B47,Data[],2,FALSE)</f>
        <v>BRONX</v>
      </c>
      <c r="D47" t="str">
        <f>VLOOKUP(all[[#This Row],[DEVELOPMENT]],Data[],3,FALSE)</f>
        <v>BRONX RIVER</v>
      </c>
      <c r="E47" t="str">
        <f>VLOOKUP(B47,Data[],8,FALSE)</f>
        <v>Zone 3</v>
      </c>
      <c r="F47" t="str">
        <f>VLOOKUP(B47,Data[],9,FALSE)</f>
        <v>$</v>
      </c>
      <c r="G47" t="str">
        <f>IFERROR(VLOOKUP(B47,Data[],4,FALSE),"")</f>
        <v/>
      </c>
      <c r="H47" t="str">
        <f ca="1">IF(G47="","",IF((G47-YEAR(TODAY()))&lt;=5,"Yes",""))</f>
        <v/>
      </c>
      <c r="I47">
        <f>VLOOKUP(all[[#This Row],[DEVELOPMENT]],Data[],7,FALSE)</f>
        <v>1245</v>
      </c>
      <c r="J47">
        <f>VLOOKUP(all[[#This Row],[DEVELOPMENT]],Data[],25,FALSE)</f>
        <v>0</v>
      </c>
      <c r="K47">
        <f>VLOOKUP(all[[#This Row],[DEVELOPMENT]],Data[],5,FALSE)</f>
        <v>9</v>
      </c>
      <c r="L47">
        <f>VLOOKUP(all[[#This Row],[DEVELOPMENT]],Data[],27,FALSE)</f>
        <v>9</v>
      </c>
      <c r="M47">
        <f>VLOOKUP(all[[#This Row],[DEVELOPMENT]],Data[],31,FALSE)</f>
        <v>9</v>
      </c>
      <c r="N47">
        <f>VLOOKUP(all[[#This Row],[DEVELOPMENT]],Data[],26,FALSE)</f>
        <v>3</v>
      </c>
      <c r="O47">
        <f>VLOOKUP(all[[#This Row],[DEVELOPMENT]],Data[],30,FALSE)</f>
        <v>3</v>
      </c>
      <c r="P47">
        <f>VLOOKUP(all[[#This Row],[DEVELOPMENT]],Data[],28,FALSE)</f>
        <v>0</v>
      </c>
      <c r="Q47">
        <f>IF(all[[#This Row],['# Bulk Crushers]]=0,1,0)</f>
        <v>1</v>
      </c>
      <c r="R47" s="5">
        <f>IFERROR(INDEX(FWD[],MATCH($B47,FWD[DEVELOPMENT],0),MATCH("ESTIMATE",FWD[#Headers],0)),0)</f>
        <v>0</v>
      </c>
      <c r="S47" s="5">
        <f>IFERROR(INDEX(EHD[],MATCH($B47,EHD[DEVELOPMENT],0),MATCH("ESTIMATE",EHD[#Headers],0)),0)</f>
        <v>66920.791500000007</v>
      </c>
      <c r="T47" s="5">
        <f ca="1">IFERROR(INDEX(IntComp[],MATCH($B47,IntComp[DEVELOPMENT],0),MATCH("ESTIMATE",IntComp[#Headers],0)),0)</f>
        <v>662880.5504999999</v>
      </c>
      <c r="U47" s="5">
        <f ca="1">IFERROR(INDEX(Yards[],MATCH($B47,Yards[DEVELOPMENT],0),MATCH("ESTIMATE",Yards[#Headers],0)),0)</f>
        <v>2022307.2600000005</v>
      </c>
      <c r="V47" s="128">
        <f ca="1">SUM(R47:U47)</f>
        <v>2752108.6020000004</v>
      </c>
      <c r="W47" s="5"/>
    </row>
    <row r="48" spans="1:23" x14ac:dyDescent="0.25">
      <c r="A48" s="131">
        <f>VLOOKUP(B48,Data[],24,FALSE)</f>
        <v>157</v>
      </c>
      <c r="B48" t="s">
        <v>189</v>
      </c>
      <c r="C48" t="str">
        <f>VLOOKUP(B48,Data[],2,FALSE)</f>
        <v>BRONX</v>
      </c>
      <c r="D48" t="str">
        <f>VLOOKUP(all[[#This Row],[DEVELOPMENT]],Data[],3,FALSE)</f>
        <v>BRONX RIVER</v>
      </c>
      <c r="E48">
        <f>VLOOKUP(B48,Data[],8,FALSE)</f>
        <v>0</v>
      </c>
      <c r="F48">
        <f>VLOOKUP(B48,Data[],9,FALSE)</f>
        <v>0</v>
      </c>
      <c r="G48" t="str">
        <f>IFERROR(VLOOKUP(B48,Data[],4,FALSE),"")</f>
        <v/>
      </c>
      <c r="H48" t="str">
        <f ca="1">IF(G48="","",IF((G48-YEAR(TODAY()))&lt;=5,"Yes",""))</f>
        <v/>
      </c>
      <c r="I48">
        <f>VLOOKUP(all[[#This Row],[DEVELOPMENT]],Data[],7,FALSE)</f>
        <v>226</v>
      </c>
      <c r="J48">
        <f>VLOOKUP(all[[#This Row],[DEVELOPMENT]],Data[],25,FALSE)</f>
        <v>0</v>
      </c>
      <c r="K48">
        <f>VLOOKUP(all[[#This Row],[DEVELOPMENT]],Data[],5,FALSE)</f>
        <v>2</v>
      </c>
      <c r="L48">
        <f>VLOOKUP(all[[#This Row],[DEVELOPMENT]],Data[],27,FALSE)</f>
        <v>2</v>
      </c>
      <c r="M48">
        <f>VLOOKUP(all[[#This Row],[DEVELOPMENT]],Data[],31,FALSE)</f>
        <v>2</v>
      </c>
      <c r="N48">
        <f>VLOOKUP(all[[#This Row],[DEVELOPMENT]],Data[],26,FALSE)</f>
        <v>0</v>
      </c>
      <c r="O48">
        <f>VLOOKUP(all[[#This Row],[DEVELOPMENT]],Data[],30,FALSE)</f>
        <v>0</v>
      </c>
      <c r="P48">
        <f>VLOOKUP(all[[#This Row],[DEVELOPMENT]],Data[],28,FALSE)</f>
        <v>0</v>
      </c>
      <c r="Q48">
        <f>IF(all[[#This Row],['# Bulk Crushers]]=0,1,0)</f>
        <v>1</v>
      </c>
      <c r="R48" s="5">
        <f>IFERROR(INDEX(FWD[],MATCH($B48,FWD[DEVELOPMENT],0),MATCH("ESTIMATE",FWD[#Headers],0)),0)</f>
        <v>0</v>
      </c>
      <c r="S48" s="5">
        <f>IFERROR(INDEX(EHD[],MATCH($B48,EHD[DEVELOPMENT],0),MATCH("ESTIMATE",EHD[#Headers],0)),0)</f>
        <v>0</v>
      </c>
      <c r="T48" s="5">
        <f ca="1">IFERROR(INDEX(IntComp[],MATCH($B48,IntComp[DEVELOPMENT],0),MATCH("ESTIMATE",IntComp[#Headers],0)),0)</f>
        <v>147306.78899999999</v>
      </c>
      <c r="U48" s="5">
        <f>IFERROR(INDEX(Yards[],MATCH($B48,Yards[DEVELOPMENT],0),MATCH("ESTIMATE",Yards[#Headers],0)),0)</f>
        <v>1159792.78</v>
      </c>
      <c r="V48" s="128">
        <f ca="1">SUM(R48:U48)</f>
        <v>1307099.5690000001</v>
      </c>
      <c r="W48" s="5"/>
    </row>
    <row r="49" spans="1:23" x14ac:dyDescent="0.25">
      <c r="A49" s="131">
        <f>VLOOKUP(B49,Data[],24,FALSE)</f>
        <v>325</v>
      </c>
      <c r="B49" t="s">
        <v>190</v>
      </c>
      <c r="C49" t="str">
        <f>VLOOKUP(B49,Data[],2,FALSE)</f>
        <v>BROOKLYN</v>
      </c>
      <c r="D49" t="str">
        <f>VLOOKUP(all[[#This Row],[DEVELOPMENT]],Data[],3,FALSE)</f>
        <v>GARVEY</v>
      </c>
      <c r="E49">
        <f>VLOOKUP(B49,Data[],8,FALSE)</f>
        <v>0</v>
      </c>
      <c r="F49">
        <f>VLOOKUP(B49,Data[],9,FALSE)</f>
        <v>0</v>
      </c>
      <c r="G49" t="str">
        <f>IFERROR(VLOOKUP(B49,Data[],4,FALSE),"")</f>
        <v/>
      </c>
      <c r="H49" t="str">
        <f ca="1">IF(G49="","",IF((G49-YEAR(TODAY()))&lt;=5,"Yes",""))</f>
        <v/>
      </c>
      <c r="I49">
        <f>VLOOKUP(all[[#This Row],[DEVELOPMENT]],Data[],7,FALSE)</f>
        <v>200</v>
      </c>
      <c r="J49">
        <f>VLOOKUP(all[[#This Row],[DEVELOPMENT]],Data[],25,FALSE)</f>
        <v>0</v>
      </c>
      <c r="K49">
        <f>VLOOKUP(all[[#This Row],[DEVELOPMENT]],Data[],5,FALSE)</f>
        <v>2</v>
      </c>
      <c r="L49">
        <f>VLOOKUP(all[[#This Row],[DEVELOPMENT]],Data[],27,FALSE)</f>
        <v>2</v>
      </c>
      <c r="M49">
        <f>VLOOKUP(all[[#This Row],[DEVELOPMENT]],Data[],31,FALSE)</f>
        <v>2</v>
      </c>
      <c r="N49">
        <f>VLOOKUP(all[[#This Row],[DEVELOPMENT]],Data[],26,FALSE)</f>
        <v>0</v>
      </c>
      <c r="O49">
        <f>VLOOKUP(all[[#This Row],[DEVELOPMENT]],Data[],30,FALSE)</f>
        <v>0</v>
      </c>
      <c r="P49">
        <f>VLOOKUP(all[[#This Row],[DEVELOPMENT]],Data[],28,FALSE)</f>
        <v>0</v>
      </c>
      <c r="Q49">
        <f>IF(all[[#This Row],['# Bulk Crushers]]=0,1,0)</f>
        <v>1</v>
      </c>
      <c r="R49" s="5">
        <f>IFERROR(INDEX(FWD[],MATCH($B49,FWD[DEVELOPMENT],0),MATCH("ESTIMATE",FWD[#Headers],0)),0)</f>
        <v>0</v>
      </c>
      <c r="S49" s="5">
        <f>IFERROR(INDEX(EHD[],MATCH($B49,EHD[DEVELOPMENT],0),MATCH("ESTIMATE",EHD[#Headers],0)),0)</f>
        <v>0</v>
      </c>
      <c r="T49" s="5">
        <f ca="1">IFERROR(INDEX(IntComp[],MATCH($B49,IntComp[DEVELOPMENT],0),MATCH("ESTIMATE",IntComp[#Headers],0)),0)</f>
        <v>147306.78899999999</v>
      </c>
      <c r="U49" s="5">
        <f>IFERROR(INDEX(Yards[],MATCH($B49,Yards[DEVELOPMENT],0),MATCH("ESTIMATE",Yards[#Headers],0)),0)</f>
        <v>1159792.78</v>
      </c>
      <c r="V49" s="128">
        <f ca="1">SUM(R49:U49)</f>
        <v>1307099.5690000001</v>
      </c>
      <c r="W49" s="5"/>
    </row>
    <row r="50" spans="1:23" x14ac:dyDescent="0.25">
      <c r="A50" s="131">
        <f>VLOOKUP(B50,Data[],24,FALSE)</f>
        <v>16</v>
      </c>
      <c r="B50" t="s">
        <v>191</v>
      </c>
      <c r="C50" t="str">
        <f>VLOOKUP(B50,Data[],2,FALSE)</f>
        <v>BROOKLYN</v>
      </c>
      <c r="D50" t="str">
        <f>VLOOKUP(all[[#This Row],[DEVELOPMENT]],Data[],3,FALSE)</f>
        <v>BROWNSVILLE</v>
      </c>
      <c r="E50">
        <f>VLOOKUP(B50,Data[],8,FALSE)</f>
        <v>0</v>
      </c>
      <c r="F50">
        <f>VLOOKUP(B50,Data[],9,FALSE)</f>
        <v>0</v>
      </c>
      <c r="G50" t="str">
        <f>IFERROR(VLOOKUP(B50,Data[],4,FALSE),"")</f>
        <v/>
      </c>
      <c r="H50" t="str">
        <f ca="1">IF(G50="","",IF((G50-YEAR(TODAY()))&lt;=5,"Yes",""))</f>
        <v/>
      </c>
      <c r="I50">
        <f>VLOOKUP(all[[#This Row],[DEVELOPMENT]],Data[],7,FALSE)</f>
        <v>1336</v>
      </c>
      <c r="J50">
        <f>VLOOKUP(all[[#This Row],[DEVELOPMENT]],Data[],25,FALSE)</f>
        <v>0</v>
      </c>
      <c r="K50">
        <f>VLOOKUP(all[[#This Row],[DEVELOPMENT]],Data[],5,FALSE)</f>
        <v>27</v>
      </c>
      <c r="L50">
        <f>VLOOKUP(all[[#This Row],[DEVELOPMENT]],Data[],27,FALSE)</f>
        <v>46</v>
      </c>
      <c r="M50">
        <f>VLOOKUP(all[[#This Row],[DEVELOPMENT]],Data[],31,FALSE)</f>
        <v>46</v>
      </c>
      <c r="N50">
        <f>VLOOKUP(all[[#This Row],[DEVELOPMENT]],Data[],26,FALSE)</f>
        <v>3</v>
      </c>
      <c r="O50">
        <f>VLOOKUP(all[[#This Row],[DEVELOPMENT]],Data[],30,FALSE)</f>
        <v>3</v>
      </c>
      <c r="P50">
        <f>VLOOKUP(all[[#This Row],[DEVELOPMENT]],Data[],28,FALSE)</f>
        <v>0</v>
      </c>
      <c r="Q50">
        <f>IF(all[[#This Row],['# Bulk Crushers]]=0,1,0)</f>
        <v>1</v>
      </c>
      <c r="R50" s="5">
        <f>IFERROR(INDEX(FWD[],MATCH($B50,FWD[DEVELOPMENT],0),MATCH("ESTIMATE",FWD[#Headers],0)),0)</f>
        <v>0</v>
      </c>
      <c r="S50" s="5">
        <f>IFERROR(INDEX(EHD[],MATCH($B50,EHD[DEVELOPMENT],0),MATCH("ESTIMATE",EHD[#Headers],0)),0)</f>
        <v>342039.60100000002</v>
      </c>
      <c r="T50" s="5">
        <f ca="1">IFERROR(INDEX(IntComp[],MATCH($B50,IntComp[DEVELOPMENT],0),MATCH("ESTIMATE",IntComp[#Headers],0)),0)</f>
        <v>3388056.1469999994</v>
      </c>
      <c r="U50" s="5">
        <f ca="1">IFERROR(INDEX(Yards[],MATCH($B50,Yards[DEVELOPMENT],0),MATCH("ESTIMATE",Yards[#Headers],0)),0)</f>
        <v>2022307.2600000005</v>
      </c>
      <c r="V50" s="128">
        <f ca="1">SUM(R50:U50)</f>
        <v>5752403.0080000004</v>
      </c>
      <c r="W50" s="5"/>
    </row>
    <row r="51" spans="1:23" x14ac:dyDescent="0.25">
      <c r="A51" s="131">
        <f>VLOOKUP(B51,Data[],24,FALSE)</f>
        <v>235</v>
      </c>
      <c r="B51" t="s">
        <v>192</v>
      </c>
      <c r="C51" t="str">
        <f>VLOOKUP(B51,Data[],2,FALSE)</f>
        <v>BRONX</v>
      </c>
      <c r="D51" t="str">
        <f>VLOOKUP(all[[#This Row],[DEVELOPMENT]],Data[],3,FALSE)</f>
        <v>BUILDING MANAGEMENT ASSOCIATES (PRIVATE - BX 1)</v>
      </c>
      <c r="E51">
        <f>VLOOKUP(B51,Data[],8,FALSE)</f>
        <v>0</v>
      </c>
      <c r="F51">
        <f>VLOOKUP(B51,Data[],9,FALSE)</f>
        <v>0</v>
      </c>
      <c r="G51" t="str">
        <f>IFERROR(VLOOKUP(B51,Data[],4,FALSE),"")</f>
        <v/>
      </c>
      <c r="H51" t="str">
        <f ca="1">IF(G51="","",IF((G51-YEAR(TODAY()))&lt;=5,"Yes",""))</f>
        <v/>
      </c>
      <c r="I51">
        <f>VLOOKUP(all[[#This Row],[DEVELOPMENT]],Data[],7,FALSE)</f>
        <v>72</v>
      </c>
      <c r="J51">
        <f>VLOOKUP(all[[#This Row],[DEVELOPMENT]],Data[],25,FALSE)</f>
        <v>0</v>
      </c>
      <c r="K51">
        <f>VLOOKUP(all[[#This Row],[DEVELOPMENT]],Data[],5,FALSE)</f>
        <v>1</v>
      </c>
      <c r="L51">
        <f>VLOOKUP(all[[#This Row],[DEVELOPMENT]],Data[],27,FALSE)</f>
        <v>1</v>
      </c>
      <c r="M51">
        <f>VLOOKUP(all[[#This Row],[DEVELOPMENT]],Data[],31,FALSE)</f>
        <v>1</v>
      </c>
      <c r="N51">
        <f>VLOOKUP(all[[#This Row],[DEVELOPMENT]],Data[],26,FALSE)</f>
        <v>0</v>
      </c>
      <c r="O51">
        <f>VLOOKUP(all[[#This Row],[DEVELOPMENT]],Data[],30,FALSE)</f>
        <v>0</v>
      </c>
      <c r="P51">
        <f>VLOOKUP(all[[#This Row],[DEVELOPMENT]],Data[],28,FALSE)</f>
        <v>0</v>
      </c>
      <c r="Q51">
        <f>IF(all[[#This Row],['# Bulk Crushers]]=0,1,0)</f>
        <v>1</v>
      </c>
      <c r="R51" s="5">
        <f>IFERROR(INDEX(FWD[],MATCH($B51,FWD[DEVELOPMENT],0),MATCH("ESTIMATE",FWD[#Headers],0)),0)</f>
        <v>0</v>
      </c>
      <c r="S51" s="5">
        <f>IFERROR(INDEX(EHD[],MATCH($B51,EHD[DEVELOPMENT],0),MATCH("ESTIMATE",EHD[#Headers],0)),0)</f>
        <v>7435.6435000000001</v>
      </c>
      <c r="T51" s="5">
        <f ca="1">IFERROR(INDEX(IntComp[],MATCH($B51,IntComp[DEVELOPMENT],0),MATCH("ESTIMATE",IntComp[#Headers],0)),0)</f>
        <v>73653.394499999995</v>
      </c>
      <c r="U51" s="5">
        <f>IFERROR(INDEX(Yards[],MATCH($B51,Yards[DEVELOPMENT],0),MATCH("ESTIMATE",Yards[#Headers],0)),0)</f>
        <v>1159792.78</v>
      </c>
      <c r="V51" s="128">
        <f ca="1">SUM(R51:U51)</f>
        <v>1240881.818</v>
      </c>
      <c r="W51" s="5"/>
    </row>
    <row r="52" spans="1:23" x14ac:dyDescent="0.25">
      <c r="A52" s="131">
        <f>VLOOKUP(B52,Data[],24,FALSE)</f>
        <v>86</v>
      </c>
      <c r="B52" t="s">
        <v>26</v>
      </c>
      <c r="C52" t="str">
        <f>VLOOKUP(B52,Data[],2,FALSE)</f>
        <v>BROOKLYN</v>
      </c>
      <c r="D52" t="str">
        <f>VLOOKUP(all[[#This Row],[DEVELOPMENT]],Data[],3,FALSE)</f>
        <v>BUSHWICK</v>
      </c>
      <c r="E52" t="str">
        <f>VLOOKUP(B52,Data[],8,FALSE)</f>
        <v>Zone 1</v>
      </c>
      <c r="F52" t="str">
        <f>VLOOKUP(B52,Data[],9,FALSE)</f>
        <v>$$</v>
      </c>
      <c r="G52" t="str">
        <f>IFERROR(VLOOKUP(B52,Data[],4,FALSE),"")</f>
        <v/>
      </c>
      <c r="H52" t="str">
        <f ca="1">IF(G52="","",IF((G52-YEAR(TODAY()))&lt;=5,"Yes",""))</f>
        <v/>
      </c>
      <c r="I52">
        <f>VLOOKUP(all[[#This Row],[DEVELOPMENT]],Data[],7,FALSE)</f>
        <v>1219</v>
      </c>
      <c r="J52" t="str">
        <f>VLOOKUP(all[[#This Row],[DEVELOPMENT]],Data[],25,FALSE)</f>
        <v>Yes</v>
      </c>
      <c r="K52">
        <f>VLOOKUP(all[[#This Row],[DEVELOPMENT]],Data[],5,FALSE)</f>
        <v>8</v>
      </c>
      <c r="L52">
        <f>VLOOKUP(all[[#This Row],[DEVELOPMENT]],Data[],27,FALSE)</f>
        <v>8</v>
      </c>
      <c r="M52">
        <f>VLOOKUP(all[[#This Row],[DEVELOPMENT]],Data[],31,FALSE)</f>
        <v>8</v>
      </c>
      <c r="N52">
        <f>VLOOKUP(all[[#This Row],[DEVELOPMENT]],Data[],26,FALSE)</f>
        <v>2</v>
      </c>
      <c r="O52">
        <f>VLOOKUP(all[[#This Row],[DEVELOPMENT]],Data[],30,FALSE)</f>
        <v>2</v>
      </c>
      <c r="P52">
        <f>VLOOKUP(all[[#This Row],[DEVELOPMENT]],Data[],28,FALSE)</f>
        <v>0</v>
      </c>
      <c r="Q52">
        <f>IF(all[[#This Row],['# Bulk Crushers]]=0,1,0)</f>
        <v>1</v>
      </c>
      <c r="R52" s="5">
        <f>IFERROR(INDEX(FWD[],MATCH($B52,FWD[DEVELOPMENT],0),MATCH("ESTIMATE",FWD[#Headers],0)),0)</f>
        <v>2095139.119873648</v>
      </c>
      <c r="S52" s="5">
        <f>IFERROR(INDEX(EHD[],MATCH($B52,EHD[DEVELOPMENT],0),MATCH("ESTIMATE",EHD[#Headers],0)),0)</f>
        <v>0</v>
      </c>
      <c r="T52" s="5">
        <f ca="1">IFERROR(INDEX(IntComp[],MATCH($B52,IntComp[DEVELOPMENT],0),MATCH("ESTIMATE",IntComp[#Headers],0)),0)</f>
        <v>589227.15599999996</v>
      </c>
      <c r="U52" s="5">
        <f ca="1">IFERROR(INDEX(Yards[],MATCH($B52,Yards[DEVELOPMENT],0),MATCH("ESTIMATE",Yards[#Headers],0)),0)</f>
        <v>1591050.0199999998</v>
      </c>
      <c r="V52" s="128">
        <f ca="1">SUM(R52:U52)</f>
        <v>4275416.2958736476</v>
      </c>
      <c r="W52" s="5"/>
    </row>
    <row r="53" spans="1:23" x14ac:dyDescent="0.25">
      <c r="A53" s="131">
        <f>VLOOKUP(B53,Data[],24,FALSE)</f>
        <v>113</v>
      </c>
      <c r="B53" t="s">
        <v>31</v>
      </c>
      <c r="C53" t="str">
        <f>VLOOKUP(B53,Data[],2,FALSE)</f>
        <v>BRONX</v>
      </c>
      <c r="D53" t="str">
        <f>VLOOKUP(all[[#This Row],[DEVELOPMENT]],Data[],3,FALSE)</f>
        <v>BUTLER</v>
      </c>
      <c r="E53" t="str">
        <f>VLOOKUP(B53,Data[],8,FALSE)</f>
        <v>Zone 1</v>
      </c>
      <c r="F53" t="str">
        <f>VLOOKUP(B53,Data[],9,FALSE)</f>
        <v>$$</v>
      </c>
      <c r="G53" t="str">
        <f>IFERROR(VLOOKUP(B53,Data[],4,FALSE),"")</f>
        <v/>
      </c>
      <c r="H53" t="str">
        <f ca="1">IF(G53="","",IF((G53-YEAR(TODAY()))&lt;=5,"Yes",""))</f>
        <v/>
      </c>
      <c r="I53">
        <f>VLOOKUP(all[[#This Row],[DEVELOPMENT]],Data[],7,FALSE)</f>
        <v>1476</v>
      </c>
      <c r="J53">
        <f>VLOOKUP(all[[#This Row],[DEVELOPMENT]],Data[],25,FALSE)</f>
        <v>0</v>
      </c>
      <c r="K53">
        <f>VLOOKUP(all[[#This Row],[DEVELOPMENT]],Data[],5,FALSE)</f>
        <v>6</v>
      </c>
      <c r="L53">
        <f>VLOOKUP(all[[#This Row],[DEVELOPMENT]],Data[],27,FALSE)</f>
        <v>12</v>
      </c>
      <c r="M53">
        <f>VLOOKUP(all[[#This Row],[DEVELOPMENT]],Data[],31,FALSE)</f>
        <v>12</v>
      </c>
      <c r="N53">
        <f>VLOOKUP(all[[#This Row],[DEVELOPMENT]],Data[],26,FALSE)</f>
        <v>2</v>
      </c>
      <c r="O53">
        <f>VLOOKUP(all[[#This Row],[DEVELOPMENT]],Data[],30,FALSE)</f>
        <v>2</v>
      </c>
      <c r="P53">
        <f>VLOOKUP(all[[#This Row],[DEVELOPMENT]],Data[],28,FALSE)</f>
        <v>0</v>
      </c>
      <c r="Q53">
        <f>IF(all[[#This Row],['# Bulk Crushers]]=0,1,0)</f>
        <v>1</v>
      </c>
      <c r="R53" s="5">
        <f>IFERROR(INDEX(FWD[],MATCH($B53,FWD[DEVELOPMENT],0),MATCH("ESTIMATE",FWD[#Headers],0)),0)</f>
        <v>0</v>
      </c>
      <c r="S53" s="5">
        <f>IFERROR(INDEX(EHD[],MATCH($B53,EHD[DEVELOPMENT],0),MATCH("ESTIMATE",EHD[#Headers],0)),0)</f>
        <v>0</v>
      </c>
      <c r="T53" s="5">
        <f ca="1">IFERROR(INDEX(IntComp[],MATCH($B53,IntComp[DEVELOPMENT],0),MATCH("ESTIMATE",IntComp[#Headers],0)),0)</f>
        <v>883840.73399999982</v>
      </c>
      <c r="U53" s="5">
        <f ca="1">IFERROR(INDEX(Yards[],MATCH($B53,Yards[DEVELOPMENT],0),MATCH("ESTIMATE",Yards[#Headers],0)),0)</f>
        <v>1591050.0199999998</v>
      </c>
      <c r="V53" s="128">
        <f ca="1">SUM(R53:U53)</f>
        <v>2474890.7539999997</v>
      </c>
      <c r="W53" s="5"/>
    </row>
    <row r="54" spans="1:23" x14ac:dyDescent="0.25">
      <c r="A54" s="131">
        <f>VLOOKUP(B54,Data[],24,FALSE)</f>
        <v>286</v>
      </c>
      <c r="B54" t="s">
        <v>60</v>
      </c>
      <c r="C54" t="str">
        <f>VLOOKUP(B54,Data[],2,FALSE)</f>
        <v>MANHATTAN</v>
      </c>
      <c r="D54" t="str">
        <f>VLOOKUP(all[[#This Row],[DEVELOPMENT]],Data[],3,FALSE)</f>
        <v>LOWER EAST SIDE CONSOLIDATED</v>
      </c>
      <c r="E54" t="str">
        <f>VLOOKUP(B54,Data[],8,FALSE)</f>
        <v>Zone 1</v>
      </c>
      <c r="F54" t="str">
        <f>VLOOKUP(B54,Data[],9,FALSE)</f>
        <v>$$</v>
      </c>
      <c r="G54">
        <f>IFERROR(VLOOKUP(B54,Data[],4,FALSE),"")</f>
        <v>2026</v>
      </c>
      <c r="H54" t="str">
        <f ca="1">IF(G54="","",IF((G54-YEAR(TODAY()))&lt;=5,"Yes",""))</f>
        <v/>
      </c>
      <c r="I54">
        <f>VLOOKUP(all[[#This Row],[DEVELOPMENT]],Data[],7,FALSE)</f>
        <v>224</v>
      </c>
      <c r="J54" t="str">
        <f>VLOOKUP(all[[#This Row],[DEVELOPMENT]],Data[],25,FALSE)</f>
        <v>Yes</v>
      </c>
      <c r="K54">
        <f>VLOOKUP(all[[#This Row],[DEVELOPMENT]],Data[],5,FALSE)</f>
        <v>2</v>
      </c>
      <c r="L54">
        <f>VLOOKUP(all[[#This Row],[DEVELOPMENT]],Data[],27,FALSE)</f>
        <v>3</v>
      </c>
      <c r="M54">
        <f>VLOOKUP(all[[#This Row],[DEVELOPMENT]],Data[],31,FALSE)</f>
        <v>3</v>
      </c>
      <c r="N54">
        <f>VLOOKUP(all[[#This Row],[DEVELOPMENT]],Data[],26,FALSE)</f>
        <v>0</v>
      </c>
      <c r="O54">
        <f>VLOOKUP(all[[#This Row],[DEVELOPMENT]],Data[],30,FALSE)</f>
        <v>0</v>
      </c>
      <c r="P54">
        <f>VLOOKUP(all[[#This Row],[DEVELOPMENT]],Data[],28,FALSE)</f>
        <v>0</v>
      </c>
      <c r="Q54">
        <f>IF(all[[#This Row],['# Bulk Crushers]]=0,1,0)</f>
        <v>1</v>
      </c>
      <c r="R54" s="5">
        <f>IFERROR(INDEX(FWD[],MATCH($B54,FWD[DEVELOPMENT],0),MATCH("ESTIMATE",FWD[#Headers],0)),0)</f>
        <v>384996.85221632256</v>
      </c>
      <c r="S54" s="5">
        <f>IFERROR(INDEX(EHD[],MATCH($B54,EHD[DEVELOPMENT],0),MATCH("ESTIMATE",EHD[#Headers],0)),0)</f>
        <v>22306.930500000002</v>
      </c>
      <c r="T54" s="5">
        <f ca="1">IFERROR(INDEX(IntComp[],MATCH($B54,IntComp[DEVELOPMENT],0),MATCH("ESTIMATE",IntComp[#Headers],0)),0)</f>
        <v>220960.18349999996</v>
      </c>
      <c r="U54" s="5">
        <f>IFERROR(INDEX(Yards[],MATCH($B54,Yards[DEVELOPMENT],0),MATCH("ESTIMATE",Yards[#Headers],0)),0)</f>
        <v>1159792.78</v>
      </c>
      <c r="V54" s="128">
        <f ca="1">SUM(R54:U54)</f>
        <v>1788056.7462163225</v>
      </c>
      <c r="W54" s="5"/>
    </row>
    <row r="55" spans="1:23" x14ac:dyDescent="0.25">
      <c r="A55" s="131">
        <f>VLOOKUP(B55,Data[],24,FALSE)</f>
        <v>166</v>
      </c>
      <c r="B55" t="s">
        <v>193</v>
      </c>
      <c r="C55" t="str">
        <f>VLOOKUP(B55,Data[],2,FALSE)</f>
        <v>BROOKLYN</v>
      </c>
      <c r="D55" t="str">
        <f>VLOOKUP(all[[#This Row],[DEVELOPMENT]],Data[],3,FALSE)</f>
        <v>CAREY GARDENS</v>
      </c>
      <c r="E55">
        <f>VLOOKUP(B55,Data[],8,FALSE)</f>
        <v>0</v>
      </c>
      <c r="F55">
        <f>VLOOKUP(B55,Data[],9,FALSE)</f>
        <v>0</v>
      </c>
      <c r="G55" t="str">
        <f>IFERROR(VLOOKUP(B55,Data[],4,FALSE),"")</f>
        <v/>
      </c>
      <c r="H55" t="str">
        <f ca="1">IF(G55="","",IF((G55-YEAR(TODAY()))&lt;=5,"Yes",""))</f>
        <v/>
      </c>
      <c r="I55">
        <f>VLOOKUP(all[[#This Row],[DEVELOPMENT]],Data[],7,FALSE)</f>
        <v>682</v>
      </c>
      <c r="J55">
        <f>VLOOKUP(all[[#This Row],[DEVELOPMENT]],Data[],25,FALSE)</f>
        <v>0</v>
      </c>
      <c r="K55">
        <f>VLOOKUP(all[[#This Row],[DEVELOPMENT]],Data[],5,FALSE)</f>
        <v>3</v>
      </c>
      <c r="L55">
        <f>VLOOKUP(all[[#This Row],[DEVELOPMENT]],Data[],27,FALSE)</f>
        <v>3</v>
      </c>
      <c r="M55">
        <f>VLOOKUP(all[[#This Row],[DEVELOPMENT]],Data[],31,FALSE)</f>
        <v>3</v>
      </c>
      <c r="N55">
        <f>VLOOKUP(all[[#This Row],[DEVELOPMENT]],Data[],26,FALSE)</f>
        <v>2</v>
      </c>
      <c r="O55">
        <f>VLOOKUP(all[[#This Row],[DEVELOPMENT]],Data[],30,FALSE)</f>
        <v>2</v>
      </c>
      <c r="P55">
        <f>VLOOKUP(all[[#This Row],[DEVELOPMENT]],Data[],28,FALSE)</f>
        <v>0</v>
      </c>
      <c r="Q55">
        <f>IF(all[[#This Row],['# Bulk Crushers]]=0,1,0)</f>
        <v>1</v>
      </c>
      <c r="R55" s="5">
        <f>IFERROR(INDEX(FWD[],MATCH($B55,FWD[DEVELOPMENT],0),MATCH("ESTIMATE",FWD[#Headers],0)),0)</f>
        <v>0</v>
      </c>
      <c r="S55" s="5">
        <f>IFERROR(INDEX(EHD[],MATCH($B55,EHD[DEVELOPMENT],0),MATCH("ESTIMATE",EHD[#Headers],0)),0)</f>
        <v>22306.930500000002</v>
      </c>
      <c r="T55" s="5">
        <f ca="1">IFERROR(INDEX(IntComp[],MATCH($B55,IntComp[DEVELOPMENT],0),MATCH("ESTIMATE",IntComp[#Headers],0)),0)</f>
        <v>220960.18349999996</v>
      </c>
      <c r="U55" s="5">
        <f ca="1">IFERROR(INDEX(Yards[],MATCH($B55,Yards[DEVELOPMENT],0),MATCH("ESTIMATE",Yards[#Headers],0)),0)</f>
        <v>1591050.0199999998</v>
      </c>
      <c r="V55" s="128">
        <f ca="1">SUM(R55:U55)</f>
        <v>1834317.1339999996</v>
      </c>
      <c r="W55" s="5"/>
    </row>
    <row r="56" spans="1:23" x14ac:dyDescent="0.25">
      <c r="A56" s="131">
        <f>VLOOKUP(B56,Data[],24,FALSE)</f>
        <v>164</v>
      </c>
      <c r="B56" t="s">
        <v>194</v>
      </c>
      <c r="C56" t="str">
        <f>VLOOKUP(B56,Data[],2,FALSE)</f>
        <v>QUEENS</v>
      </c>
      <c r="D56" t="str">
        <f>VLOOKUP(all[[#This Row],[DEVELOPMENT]],Data[],3,FALSE)</f>
        <v>HAMMEL</v>
      </c>
      <c r="E56">
        <f>VLOOKUP(B56,Data[],8,FALSE)</f>
        <v>0</v>
      </c>
      <c r="F56">
        <f>VLOOKUP(B56,Data[],9,FALSE)</f>
        <v>0</v>
      </c>
      <c r="G56" t="str">
        <f>IFERROR(VLOOKUP(B56,Data[],4,FALSE),"")</f>
        <v/>
      </c>
      <c r="H56" t="str">
        <f ca="1">IF(G56="","",IF((G56-YEAR(TODAY()))&lt;=5,"Yes",""))</f>
        <v/>
      </c>
      <c r="I56">
        <f>VLOOKUP(all[[#This Row],[DEVELOPMENT]],Data[],7,FALSE)</f>
        <v>169</v>
      </c>
      <c r="J56">
        <f>VLOOKUP(all[[#This Row],[DEVELOPMENT]],Data[],25,FALSE)</f>
        <v>0</v>
      </c>
      <c r="K56">
        <f>VLOOKUP(all[[#This Row],[DEVELOPMENT]],Data[],5,FALSE)</f>
        <v>1</v>
      </c>
      <c r="L56">
        <f>VLOOKUP(all[[#This Row],[DEVELOPMENT]],Data[],27,FALSE)</f>
        <v>1</v>
      </c>
      <c r="M56">
        <f>VLOOKUP(all[[#This Row],[DEVELOPMENT]],Data[],31,FALSE)</f>
        <v>1</v>
      </c>
      <c r="N56">
        <f>VLOOKUP(all[[#This Row],[DEVELOPMENT]],Data[],26,FALSE)</f>
        <v>0</v>
      </c>
      <c r="O56">
        <f>VLOOKUP(all[[#This Row],[DEVELOPMENT]],Data[],30,FALSE)</f>
        <v>0</v>
      </c>
      <c r="P56">
        <f>VLOOKUP(all[[#This Row],[DEVELOPMENT]],Data[],28,FALSE)</f>
        <v>0</v>
      </c>
      <c r="Q56">
        <f>IF(all[[#This Row],['# Bulk Crushers]]=0,1,0)</f>
        <v>1</v>
      </c>
      <c r="R56" s="5">
        <f>IFERROR(INDEX(FWD[],MATCH($B56,FWD[DEVELOPMENT],0),MATCH("ESTIMATE",FWD[#Headers],0)),0)</f>
        <v>0</v>
      </c>
      <c r="S56" s="5">
        <f>IFERROR(INDEX(EHD[],MATCH($B56,EHD[DEVELOPMENT],0),MATCH("ESTIMATE",EHD[#Headers],0)),0)</f>
        <v>7435.6435000000001</v>
      </c>
      <c r="T56" s="5">
        <f ca="1">IFERROR(INDEX(IntComp[],MATCH($B56,IntComp[DEVELOPMENT],0),MATCH("ESTIMATE",IntComp[#Headers],0)),0)</f>
        <v>73653.394499999995</v>
      </c>
      <c r="U56" s="5">
        <f>IFERROR(INDEX(Yards[],MATCH($B56,Yards[DEVELOPMENT],0),MATCH("ESTIMATE",Yards[#Headers],0)),0)</f>
        <v>1159792.78</v>
      </c>
      <c r="V56" s="128">
        <f ca="1">SUM(R56:U56)</f>
        <v>1240881.818</v>
      </c>
      <c r="W56" s="5"/>
    </row>
    <row r="57" spans="1:23" x14ac:dyDescent="0.25">
      <c r="A57" s="131">
        <f>VLOOKUP(B57,Data[],24,FALSE)</f>
        <v>58</v>
      </c>
      <c r="B57" t="s">
        <v>120</v>
      </c>
      <c r="C57" t="str">
        <f>VLOOKUP(B57,Data[],2,FALSE)</f>
        <v>MANHATTAN</v>
      </c>
      <c r="D57" t="str">
        <f>VLOOKUP(all[[#This Row],[DEVELOPMENT]],Data[],3,FALSE)</f>
        <v>CARVER</v>
      </c>
      <c r="E57" t="str">
        <f>VLOOKUP(B57,Data[],8,FALSE)</f>
        <v>Zone 2</v>
      </c>
      <c r="F57" t="str">
        <f>VLOOKUP(B57,Data[],9,FALSE)</f>
        <v>$$</v>
      </c>
      <c r="G57" t="str">
        <f>IFERROR(VLOOKUP(B57,Data[],4,FALSE),"")</f>
        <v/>
      </c>
      <c r="H57" t="str">
        <f ca="1">IF(G57="","",IF((G57-YEAR(TODAY()))&lt;=5,"Yes",""))</f>
        <v/>
      </c>
      <c r="I57">
        <f>VLOOKUP(all[[#This Row],[DEVELOPMENT]],Data[],7,FALSE)</f>
        <v>1244</v>
      </c>
      <c r="J57">
        <f>VLOOKUP(all[[#This Row],[DEVELOPMENT]],Data[],25,FALSE)</f>
        <v>0</v>
      </c>
      <c r="K57">
        <f>VLOOKUP(all[[#This Row],[DEVELOPMENT]],Data[],5,FALSE)</f>
        <v>13</v>
      </c>
      <c r="L57">
        <f>VLOOKUP(all[[#This Row],[DEVELOPMENT]],Data[],27,FALSE)</f>
        <v>13</v>
      </c>
      <c r="M57">
        <f>VLOOKUP(all[[#This Row],[DEVELOPMENT]],Data[],31,FALSE)</f>
        <v>13</v>
      </c>
      <c r="N57">
        <f>VLOOKUP(all[[#This Row],[DEVELOPMENT]],Data[],26,FALSE)</f>
        <v>3</v>
      </c>
      <c r="O57">
        <f>VLOOKUP(all[[#This Row],[DEVELOPMENT]],Data[],30,FALSE)</f>
        <v>3</v>
      </c>
      <c r="P57">
        <f>VLOOKUP(all[[#This Row],[DEVELOPMENT]],Data[],28,FALSE)</f>
        <v>0</v>
      </c>
      <c r="Q57">
        <f>IF(all[[#This Row],['# Bulk Crushers]]=0,1,0)</f>
        <v>1</v>
      </c>
      <c r="R57" s="5">
        <f>IFERROR(INDEX(FWD[],MATCH($B57,FWD[DEVELOPMENT],0),MATCH("ESTIMATE",FWD[#Headers],0)),0)</f>
        <v>0</v>
      </c>
      <c r="S57" s="5">
        <f>IFERROR(INDEX(EHD[],MATCH($B57,EHD[DEVELOPMENT],0),MATCH("ESTIMATE",EHD[#Headers],0)),0)</f>
        <v>96663.3655</v>
      </c>
      <c r="T57" s="5">
        <f ca="1">IFERROR(INDEX(IntComp[],MATCH($B57,IntComp[DEVELOPMENT],0),MATCH("ESTIMATE",IntComp[#Headers],0)),0)</f>
        <v>957494.12849999988</v>
      </c>
      <c r="U57" s="5">
        <f ca="1">IFERROR(INDEX(Yards[],MATCH($B57,Yards[DEVELOPMENT],0),MATCH("ESTIMATE",Yards[#Headers],0)),0)</f>
        <v>2022307.2600000005</v>
      </c>
      <c r="V57" s="128">
        <f ca="1">SUM(R57:U57)</f>
        <v>3076464.7540000007</v>
      </c>
      <c r="W57" s="5"/>
    </row>
    <row r="58" spans="1:23" x14ac:dyDescent="0.25">
      <c r="A58" s="131">
        <f>VLOOKUP(B58,Data[],24,FALSE)</f>
        <v>206</v>
      </c>
      <c r="B58" t="s">
        <v>195</v>
      </c>
      <c r="C58" t="str">
        <f>VLOOKUP(B58,Data[],2,FALSE)</f>
        <v>STATEN ISLAND</v>
      </c>
      <c r="D58" t="str">
        <f>VLOOKUP(all[[#This Row],[DEVELOPMENT]],Data[],3,FALSE)</f>
        <v>RICHMOND TERRACE</v>
      </c>
      <c r="E58">
        <f>VLOOKUP(B58,Data[],8,FALSE)</f>
        <v>0</v>
      </c>
      <c r="F58">
        <f>VLOOKUP(B58,Data[],9,FALSE)</f>
        <v>0</v>
      </c>
      <c r="G58" t="str">
        <f>IFERROR(VLOOKUP(B58,Data[],4,FALSE),"")</f>
        <v/>
      </c>
      <c r="H58" t="str">
        <f ca="1">IF(G58="","",IF((G58-YEAR(TODAY()))&lt;=5,"Yes",""))</f>
        <v/>
      </c>
      <c r="I58">
        <f>VLOOKUP(all[[#This Row],[DEVELOPMENT]],Data[],7,FALSE)</f>
        <v>378</v>
      </c>
      <c r="J58">
        <f>VLOOKUP(all[[#This Row],[DEVELOPMENT]],Data[],25,FALSE)</f>
        <v>0</v>
      </c>
      <c r="K58">
        <f>VLOOKUP(all[[#This Row],[DEVELOPMENT]],Data[],5,FALSE)</f>
        <v>4</v>
      </c>
      <c r="L58">
        <f>VLOOKUP(all[[#This Row],[DEVELOPMENT]],Data[],27,FALSE)</f>
        <v>4</v>
      </c>
      <c r="M58">
        <f>VLOOKUP(all[[#This Row],[DEVELOPMENT]],Data[],31,FALSE)</f>
        <v>4</v>
      </c>
      <c r="N58">
        <f>VLOOKUP(all[[#This Row],[DEVELOPMENT]],Data[],26,FALSE)</f>
        <v>1</v>
      </c>
      <c r="O58">
        <f>VLOOKUP(all[[#This Row],[DEVELOPMENT]],Data[],30,FALSE)</f>
        <v>1</v>
      </c>
      <c r="P58">
        <f>VLOOKUP(all[[#This Row],[DEVELOPMENT]],Data[],28,FALSE)</f>
        <v>0</v>
      </c>
      <c r="Q58">
        <f>IF(all[[#This Row],['# Bulk Crushers]]=0,1,0)</f>
        <v>1</v>
      </c>
      <c r="R58" s="5">
        <f>IFERROR(INDEX(FWD[],MATCH($B58,FWD[DEVELOPMENT],0),MATCH("ESTIMATE",FWD[#Headers],0)),0)</f>
        <v>0</v>
      </c>
      <c r="S58" s="5">
        <f>IFERROR(INDEX(EHD[],MATCH($B58,EHD[DEVELOPMENT],0),MATCH("ESTIMATE",EHD[#Headers],0)),0)</f>
        <v>0</v>
      </c>
      <c r="T58" s="5">
        <f ca="1">IFERROR(INDEX(IntComp[],MATCH($B58,IntComp[DEVELOPMENT],0),MATCH("ESTIMATE",IntComp[#Headers],0)),0)</f>
        <v>294613.57799999998</v>
      </c>
      <c r="U58" s="5">
        <f ca="1">IFERROR(INDEX(Yards[],MATCH($B58,Yards[DEVELOPMENT],0),MATCH("ESTIMATE",Yards[#Headers],0)),0)</f>
        <v>1159792.78</v>
      </c>
      <c r="V58" s="128">
        <f ca="1">SUM(R58:U58)</f>
        <v>1454406.358</v>
      </c>
      <c r="W58" s="5"/>
    </row>
    <row r="59" spans="1:23" x14ac:dyDescent="0.25">
      <c r="A59" s="131">
        <f>VLOOKUP(B59,Data[],24,FALSE)</f>
        <v>80</v>
      </c>
      <c r="B59" t="s">
        <v>196</v>
      </c>
      <c r="C59" t="str">
        <f>VLOOKUP(B59,Data[],2,FALSE)</f>
        <v>BRONX</v>
      </c>
      <c r="D59" t="str">
        <f>VLOOKUP(all[[#This Row],[DEVELOPMENT]],Data[],3,FALSE)</f>
        <v>CASTLE HILL</v>
      </c>
      <c r="E59">
        <f>VLOOKUP(B59,Data[],8,FALSE)</f>
        <v>0</v>
      </c>
      <c r="F59">
        <f>VLOOKUP(B59,Data[],9,FALSE)</f>
        <v>0</v>
      </c>
      <c r="G59" t="str">
        <f>IFERROR(VLOOKUP(B59,Data[],4,FALSE),"")</f>
        <v/>
      </c>
      <c r="H59" t="str">
        <f ca="1">IF(G59="","",IF((G59-YEAR(TODAY()))&lt;=5,"Yes",""))</f>
        <v/>
      </c>
      <c r="I59">
        <f>VLOOKUP(all[[#This Row],[DEVELOPMENT]],Data[],7,FALSE)</f>
        <v>2022</v>
      </c>
      <c r="J59">
        <f>VLOOKUP(all[[#This Row],[DEVELOPMENT]],Data[],25,FALSE)</f>
        <v>0</v>
      </c>
      <c r="K59">
        <f>VLOOKUP(all[[#This Row],[DEVELOPMENT]],Data[],5,FALSE)</f>
        <v>14</v>
      </c>
      <c r="L59">
        <f>VLOOKUP(all[[#This Row],[DEVELOPMENT]],Data[],27,FALSE)</f>
        <v>14</v>
      </c>
      <c r="M59">
        <f>VLOOKUP(all[[#This Row],[DEVELOPMENT]],Data[],31,FALSE)</f>
        <v>14</v>
      </c>
      <c r="N59">
        <f>VLOOKUP(all[[#This Row],[DEVELOPMENT]],Data[],26,FALSE)</f>
        <v>4</v>
      </c>
      <c r="O59">
        <f>VLOOKUP(all[[#This Row],[DEVELOPMENT]],Data[],30,FALSE)</f>
        <v>4</v>
      </c>
      <c r="P59">
        <f>VLOOKUP(all[[#This Row],[DEVELOPMENT]],Data[],28,FALSE)</f>
        <v>0</v>
      </c>
      <c r="Q59">
        <f>IF(all[[#This Row],['# Bulk Crushers]]=0,1,0)</f>
        <v>1</v>
      </c>
      <c r="R59" s="5">
        <f>IFERROR(INDEX(FWD[],MATCH($B59,FWD[DEVELOPMENT],0),MATCH("ESTIMATE",FWD[#Headers],0)),0)</f>
        <v>0</v>
      </c>
      <c r="S59" s="5">
        <f>IFERROR(INDEX(EHD[],MATCH($B59,EHD[DEVELOPMENT],0),MATCH("ESTIMATE",EHD[#Headers],0)),0)</f>
        <v>104099.00900000001</v>
      </c>
      <c r="T59" s="5">
        <f ca="1">IFERROR(INDEX(IntComp[],MATCH($B59,IntComp[DEVELOPMENT],0),MATCH("ESTIMATE",IntComp[#Headers],0)),0)</f>
        <v>1031147.5229999998</v>
      </c>
      <c r="U59" s="5">
        <f ca="1">IFERROR(INDEX(Yards[],MATCH($B59,Yards[DEVELOPMENT],0),MATCH("ESTIMATE",Yards[#Headers],0)),0)</f>
        <v>2453564.4999999995</v>
      </c>
      <c r="V59" s="128">
        <f ca="1">SUM(R59:U59)</f>
        <v>3588811.0319999997</v>
      </c>
      <c r="W59" s="5"/>
    </row>
    <row r="60" spans="1:23" x14ac:dyDescent="0.25">
      <c r="A60" s="131">
        <f>VLOOKUP(B60,Data[],24,FALSE)</f>
        <v>134</v>
      </c>
      <c r="B60" t="s">
        <v>197</v>
      </c>
      <c r="C60" t="str">
        <f>VLOOKUP(B60,Data[],2,FALSE)</f>
        <v>MANHATTAN</v>
      </c>
      <c r="D60" t="str">
        <f>VLOOKUP(all[[#This Row],[DEVELOPMENT]],Data[],3,FALSE)</f>
        <v>CHELSEA</v>
      </c>
      <c r="E60">
        <f>VLOOKUP(B60,Data[],8,FALSE)</f>
        <v>0</v>
      </c>
      <c r="F60">
        <f>VLOOKUP(B60,Data[],9,FALSE)</f>
        <v>0</v>
      </c>
      <c r="G60" t="str">
        <f>IFERROR(VLOOKUP(B60,Data[],4,FALSE),"")</f>
        <v/>
      </c>
      <c r="H60" t="str">
        <f ca="1">IF(G60="","",IF((G60-YEAR(TODAY()))&lt;=5,"Yes",""))</f>
        <v/>
      </c>
      <c r="I60">
        <f>VLOOKUP(all[[#This Row],[DEVELOPMENT]],Data[],7,FALSE)</f>
        <v>425</v>
      </c>
      <c r="J60">
        <f>VLOOKUP(all[[#This Row],[DEVELOPMENT]],Data[],25,FALSE)</f>
        <v>0</v>
      </c>
      <c r="K60">
        <f>VLOOKUP(all[[#This Row],[DEVELOPMENT]],Data[],5,FALSE)</f>
        <v>2</v>
      </c>
      <c r="L60">
        <f>VLOOKUP(all[[#This Row],[DEVELOPMENT]],Data[],27,FALSE)</f>
        <v>4</v>
      </c>
      <c r="M60">
        <f>VLOOKUP(all[[#This Row],[DEVELOPMENT]],Data[],31,FALSE)</f>
        <v>4</v>
      </c>
      <c r="N60">
        <f>VLOOKUP(all[[#This Row],[DEVELOPMENT]],Data[],26,FALSE)</f>
        <v>0</v>
      </c>
      <c r="O60">
        <f>VLOOKUP(all[[#This Row],[DEVELOPMENT]],Data[],30,FALSE)</f>
        <v>0</v>
      </c>
      <c r="P60">
        <f>VLOOKUP(all[[#This Row],[DEVELOPMENT]],Data[],28,FALSE)</f>
        <v>0</v>
      </c>
      <c r="Q60">
        <f>IF(all[[#This Row],['# Bulk Crushers]]=0,1,0)</f>
        <v>1</v>
      </c>
      <c r="R60" s="5">
        <f>IFERROR(INDEX(FWD[],MATCH($B60,FWD[DEVELOPMENT],0),MATCH("ESTIMATE",FWD[#Headers],0)),0)</f>
        <v>0</v>
      </c>
      <c r="S60" s="5">
        <f>IFERROR(INDEX(EHD[],MATCH($B60,EHD[DEVELOPMENT],0),MATCH("ESTIMATE",EHD[#Headers],0)),0)</f>
        <v>29742.574000000001</v>
      </c>
      <c r="T60" s="5">
        <f ca="1">IFERROR(INDEX(IntComp[],MATCH($B60,IntComp[DEVELOPMENT],0),MATCH("ESTIMATE",IntComp[#Headers],0)),0)</f>
        <v>294613.57799999998</v>
      </c>
      <c r="U60" s="5">
        <f>IFERROR(INDEX(Yards[],MATCH($B60,Yards[DEVELOPMENT],0),MATCH("ESTIMATE",Yards[#Headers],0)),0)</f>
        <v>1159792.78</v>
      </c>
      <c r="V60" s="128">
        <f ca="1">SUM(R60:U60)</f>
        <v>1484148.932</v>
      </c>
      <c r="W60" s="5"/>
    </row>
    <row r="61" spans="1:23" x14ac:dyDescent="0.25">
      <c r="A61" s="131">
        <f>VLOOKUP(B61,Data[],24,FALSE)</f>
        <v>176</v>
      </c>
      <c r="B61" t="s">
        <v>198</v>
      </c>
      <c r="C61" t="str">
        <f>VLOOKUP(B61,Data[],2,FALSE)</f>
        <v>MANHATTAN</v>
      </c>
      <c r="D61" t="str">
        <f>VLOOKUP(all[[#This Row],[DEVELOPMENT]],Data[],3,FALSE)</f>
        <v>CHELSEA</v>
      </c>
      <c r="E61">
        <f>VLOOKUP(B61,Data[],8,FALSE)</f>
        <v>0</v>
      </c>
      <c r="F61">
        <f>VLOOKUP(B61,Data[],9,FALSE)</f>
        <v>0</v>
      </c>
      <c r="G61" t="str">
        <f>IFERROR(VLOOKUP(B61,Data[],4,FALSE),"")</f>
        <v/>
      </c>
      <c r="H61" t="str">
        <f ca="1">IF(G61="","",IF((G61-YEAR(TODAY()))&lt;=5,"Yes",""))</f>
        <v/>
      </c>
      <c r="I61">
        <f>VLOOKUP(all[[#This Row],[DEVELOPMENT]],Data[],7,FALSE)</f>
        <v>96</v>
      </c>
      <c r="J61">
        <f>VLOOKUP(all[[#This Row],[DEVELOPMENT]],Data[],25,FALSE)</f>
        <v>0</v>
      </c>
      <c r="K61">
        <f>VLOOKUP(all[[#This Row],[DEVELOPMENT]],Data[],5,FALSE)</f>
        <v>1</v>
      </c>
      <c r="L61">
        <f>VLOOKUP(all[[#This Row],[DEVELOPMENT]],Data[],27,FALSE)</f>
        <v>1</v>
      </c>
      <c r="M61">
        <f>VLOOKUP(all[[#This Row],[DEVELOPMENT]],Data[],31,FALSE)</f>
        <v>1</v>
      </c>
      <c r="N61">
        <f>VLOOKUP(all[[#This Row],[DEVELOPMENT]],Data[],26,FALSE)</f>
        <v>0</v>
      </c>
      <c r="O61">
        <f>VLOOKUP(all[[#This Row],[DEVELOPMENT]],Data[],30,FALSE)</f>
        <v>0</v>
      </c>
      <c r="P61">
        <f>VLOOKUP(all[[#This Row],[DEVELOPMENT]],Data[],28,FALSE)</f>
        <v>0</v>
      </c>
      <c r="Q61">
        <f>IF(all[[#This Row],['# Bulk Crushers]]=0,1,0)</f>
        <v>1</v>
      </c>
      <c r="R61" s="5">
        <f>IFERROR(INDEX(FWD[],MATCH($B61,FWD[DEVELOPMENT],0),MATCH("ESTIMATE",FWD[#Headers],0)),0)</f>
        <v>0</v>
      </c>
      <c r="S61" s="5">
        <f>IFERROR(INDEX(EHD[],MATCH($B61,EHD[DEVELOPMENT],0),MATCH("ESTIMATE",EHD[#Headers],0)),0)</f>
        <v>7435.6435000000001</v>
      </c>
      <c r="T61" s="5">
        <f ca="1">IFERROR(INDEX(IntComp[],MATCH($B61,IntComp[DEVELOPMENT],0),MATCH("ESTIMATE",IntComp[#Headers],0)),0)</f>
        <v>73653.394499999995</v>
      </c>
      <c r="U61" s="5">
        <f>IFERROR(INDEX(Yards[],MATCH($B61,Yards[DEVELOPMENT],0),MATCH("ESTIMATE",Yards[#Headers],0)),0)</f>
        <v>1159792.78</v>
      </c>
      <c r="V61" s="128">
        <f ca="1">SUM(R61:U61)</f>
        <v>1240881.818</v>
      </c>
      <c r="W61" s="5"/>
    </row>
    <row r="62" spans="1:23" x14ac:dyDescent="0.25">
      <c r="A62" s="131">
        <f>VLOOKUP(B62,Data[],24,FALSE)</f>
        <v>334</v>
      </c>
      <c r="B62" t="s">
        <v>124</v>
      </c>
      <c r="C62" t="str">
        <f>VLOOKUP(B62,Data[],2,FALSE)</f>
        <v>BRONX</v>
      </c>
      <c r="D62" t="str">
        <f>VLOOKUP(all[[#This Row],[DEVELOPMENT]],Data[],3,FALSE)</f>
        <v>UNION AVENUE CONSOLIDATED</v>
      </c>
      <c r="E62" t="str">
        <f>VLOOKUP(B62,Data[],8,FALSE)</f>
        <v>Zone 3</v>
      </c>
      <c r="F62" t="str">
        <f>VLOOKUP(B62,Data[],9,FALSE)</f>
        <v>$</v>
      </c>
      <c r="G62">
        <f>IFERROR(VLOOKUP(B62,Data[],4,FALSE),"")</f>
        <v>2026</v>
      </c>
      <c r="H62" t="str">
        <f ca="1">IF(G62="","",IF((G62-YEAR(TODAY()))&lt;=5,"Yes",""))</f>
        <v/>
      </c>
      <c r="I62">
        <f>VLOOKUP(all[[#This Row],[DEVELOPMENT]],Data[],7,FALSE)</f>
        <v>187</v>
      </c>
      <c r="J62">
        <f>VLOOKUP(all[[#This Row],[DEVELOPMENT]],Data[],25,FALSE)</f>
        <v>0</v>
      </c>
      <c r="K62">
        <f>VLOOKUP(all[[#This Row],[DEVELOPMENT]],Data[],5,FALSE)</f>
        <v>3</v>
      </c>
      <c r="L62">
        <f>VLOOKUP(all[[#This Row],[DEVELOPMENT]],Data[],27,FALSE)</f>
        <v>1</v>
      </c>
      <c r="M62">
        <f>VLOOKUP(all[[#This Row],[DEVELOPMENT]],Data[],31,FALSE)</f>
        <v>1</v>
      </c>
      <c r="N62">
        <f>VLOOKUP(all[[#This Row],[DEVELOPMENT]],Data[],26,FALSE)</f>
        <v>1</v>
      </c>
      <c r="O62">
        <f>VLOOKUP(all[[#This Row],[DEVELOPMENT]],Data[],30,FALSE)</f>
        <v>1</v>
      </c>
      <c r="P62">
        <f>VLOOKUP(all[[#This Row],[DEVELOPMENT]],Data[],28,FALSE)</f>
        <v>0</v>
      </c>
      <c r="Q62">
        <f>IF(all[[#This Row],['# Bulk Crushers]]=0,1,0)</f>
        <v>1</v>
      </c>
      <c r="R62" s="5">
        <f>IFERROR(INDEX(FWD[],MATCH($B62,FWD[DEVELOPMENT],0),MATCH("ESTIMATE",FWD[#Headers],0)),0)</f>
        <v>0</v>
      </c>
      <c r="S62" s="5">
        <f>IFERROR(INDEX(EHD[],MATCH($B62,EHD[DEVELOPMENT],0),MATCH("ESTIMATE",EHD[#Headers],0)),0)</f>
        <v>7435.6435000000001</v>
      </c>
      <c r="T62" s="5">
        <f ca="1">IFERROR(INDEX(IntComp[],MATCH($B62,IntComp[DEVELOPMENT],0),MATCH("ESTIMATE",IntComp[#Headers],0)),0)</f>
        <v>73653.394499999995</v>
      </c>
      <c r="U62" s="5">
        <f ca="1">IFERROR(INDEX(Yards[],MATCH($B62,Yards[DEVELOPMENT],0),MATCH("ESTIMATE",Yards[#Headers],0)),0)</f>
        <v>1159792.78</v>
      </c>
      <c r="V62" s="128">
        <f ca="1">SUM(R62:U62)</f>
        <v>1240881.818</v>
      </c>
      <c r="W62" s="5"/>
    </row>
    <row r="63" spans="1:23" x14ac:dyDescent="0.25">
      <c r="A63" s="131">
        <f>VLOOKUP(B63,Data[],24,FALSE)</f>
        <v>307</v>
      </c>
      <c r="B63" t="s">
        <v>143</v>
      </c>
      <c r="C63" t="str">
        <f>VLOOKUP(B63,Data[],2,FALSE)</f>
        <v>BRONX</v>
      </c>
      <c r="D63" t="str">
        <f>VLOOKUP(all[[#This Row],[DEVELOPMENT]],Data[],3,FALSE)</f>
        <v>CLAREMONT CONSOLIDATED</v>
      </c>
      <c r="E63" t="str">
        <f>VLOOKUP(B63,Data[],8,FALSE)</f>
        <v>Zone 1</v>
      </c>
      <c r="F63" t="str">
        <f>VLOOKUP(B63,Data[],9,FALSE)</f>
        <v>$</v>
      </c>
      <c r="G63">
        <f>IFERROR(VLOOKUP(B63,Data[],4,FALSE),"")</f>
        <v>2025</v>
      </c>
      <c r="H63" t="str">
        <f ca="1">IF(G63="","",IF((G63-YEAR(TODAY()))&lt;=5,"Yes",""))</f>
        <v/>
      </c>
      <c r="I63">
        <f>VLOOKUP(all[[#This Row],[DEVELOPMENT]],Data[],7,FALSE)</f>
        <v>106</v>
      </c>
      <c r="J63">
        <f>VLOOKUP(all[[#This Row],[DEVELOPMENT]],Data[],25,FALSE)</f>
        <v>0</v>
      </c>
      <c r="K63">
        <f>VLOOKUP(all[[#This Row],[DEVELOPMENT]],Data[],5,FALSE)</f>
        <v>6</v>
      </c>
      <c r="L63">
        <f>VLOOKUP(all[[#This Row],[DEVELOPMENT]],Data[],27,FALSE)</f>
        <v>5</v>
      </c>
      <c r="M63">
        <f>VLOOKUP(all[[#This Row],[DEVELOPMENT]],Data[],31,FALSE)</f>
        <v>5</v>
      </c>
      <c r="N63">
        <f>VLOOKUP(all[[#This Row],[DEVELOPMENT]],Data[],26,FALSE)</f>
        <v>0</v>
      </c>
      <c r="O63">
        <f>VLOOKUP(all[[#This Row],[DEVELOPMENT]],Data[],30,FALSE)</f>
        <v>0</v>
      </c>
      <c r="P63">
        <f>VLOOKUP(all[[#This Row],[DEVELOPMENT]],Data[],28,FALSE)</f>
        <v>0</v>
      </c>
      <c r="Q63">
        <f>IF(all[[#This Row],['# Bulk Crushers]]=0,1,0)</f>
        <v>1</v>
      </c>
      <c r="R63" s="5">
        <f>IFERROR(INDEX(FWD[],MATCH($B63,FWD[DEVELOPMENT],0),MATCH("ESTIMATE",FWD[#Headers],0)),0)</f>
        <v>0</v>
      </c>
      <c r="S63" s="5">
        <f>IFERROR(INDEX(EHD[],MATCH($B63,EHD[DEVELOPMENT],0),MATCH("ESTIMATE",EHD[#Headers],0)),0)</f>
        <v>37178.217499999999</v>
      </c>
      <c r="T63" s="5">
        <f ca="1">IFERROR(INDEX(IntComp[],MATCH($B63,IntComp[DEVELOPMENT],0),MATCH("ESTIMATE",IntComp[#Headers],0)),0)</f>
        <v>0</v>
      </c>
      <c r="U63" s="5">
        <f>IFERROR(INDEX(Yards[],MATCH($B63,Yards[DEVELOPMENT],0),MATCH("ESTIMATE",Yards[#Headers],0)),0)</f>
        <v>0</v>
      </c>
      <c r="V63" s="128">
        <f ca="1">SUM(R63:U63)</f>
        <v>37178.217499999999</v>
      </c>
      <c r="W63" s="5"/>
    </row>
    <row r="64" spans="1:23" x14ac:dyDescent="0.25">
      <c r="A64" s="131">
        <f>VLOOKUP(B64,Data[],24,FALSE)</f>
        <v>308</v>
      </c>
      <c r="B64" t="s">
        <v>32</v>
      </c>
      <c r="C64" t="str">
        <f>VLOOKUP(B64,Data[],2,FALSE)</f>
        <v>BRONX</v>
      </c>
      <c r="D64" t="str">
        <f>VLOOKUP(all[[#This Row],[DEVELOPMENT]],Data[],3,FALSE)</f>
        <v>CLAREMONT CONSOLIDATED</v>
      </c>
      <c r="E64" t="str">
        <f>VLOOKUP(B64,Data[],8,FALSE)</f>
        <v>Zone 1</v>
      </c>
      <c r="F64" t="str">
        <f>VLOOKUP(B64,Data[],9,FALSE)</f>
        <v>$</v>
      </c>
      <c r="G64">
        <f>IFERROR(VLOOKUP(B64,Data[],4,FALSE),"")</f>
        <v>2025</v>
      </c>
      <c r="H64" t="str">
        <f ca="1">IF(G64="","",IF((G64-YEAR(TODAY()))&lt;=5,"Yes",""))</f>
        <v/>
      </c>
      <c r="I64">
        <f>VLOOKUP(all[[#This Row],[DEVELOPMENT]],Data[],7,FALSE)</f>
        <v>107</v>
      </c>
      <c r="J64">
        <f>VLOOKUP(all[[#This Row],[DEVELOPMENT]],Data[],25,FALSE)</f>
        <v>0</v>
      </c>
      <c r="K64">
        <f>VLOOKUP(all[[#This Row],[DEVELOPMENT]],Data[],5,FALSE)</f>
        <v>5</v>
      </c>
      <c r="L64">
        <f>VLOOKUP(all[[#This Row],[DEVELOPMENT]],Data[],27,FALSE)</f>
        <v>4</v>
      </c>
      <c r="M64">
        <f>VLOOKUP(all[[#This Row],[DEVELOPMENT]],Data[],31,FALSE)</f>
        <v>4</v>
      </c>
      <c r="N64">
        <f>VLOOKUP(all[[#This Row],[DEVELOPMENT]],Data[],26,FALSE)</f>
        <v>0</v>
      </c>
      <c r="O64">
        <f>VLOOKUP(all[[#This Row],[DEVELOPMENT]],Data[],30,FALSE)</f>
        <v>0</v>
      </c>
      <c r="P64">
        <f>VLOOKUP(all[[#This Row],[DEVELOPMENT]],Data[],28,FALSE)</f>
        <v>0</v>
      </c>
      <c r="Q64">
        <f>IF(all[[#This Row],['# Bulk Crushers]]=0,1,0)</f>
        <v>1</v>
      </c>
      <c r="R64" s="5">
        <f>IFERROR(INDEX(FWD[],MATCH($B64,FWD[DEVELOPMENT],0),MATCH("ESTIMATE",FWD[#Headers],0)),0)</f>
        <v>0</v>
      </c>
      <c r="S64" s="5">
        <f>IFERROR(INDEX(EHD[],MATCH($B64,EHD[DEVELOPMENT],0),MATCH("ESTIMATE",EHD[#Headers],0)),0)</f>
        <v>0</v>
      </c>
      <c r="T64" s="5">
        <f ca="1">IFERROR(INDEX(IntComp[],MATCH($B64,IntComp[DEVELOPMENT],0),MATCH("ESTIMATE",IntComp[#Headers],0)),0)</f>
        <v>0</v>
      </c>
      <c r="U64" s="5">
        <f>IFERROR(INDEX(Yards[],MATCH($B64,Yards[DEVELOPMENT],0),MATCH("ESTIMATE",Yards[#Headers],0)),0)</f>
        <v>0</v>
      </c>
      <c r="V64" s="128">
        <f ca="1">SUM(R64:U64)</f>
        <v>0</v>
      </c>
      <c r="W64" s="5"/>
    </row>
    <row r="65" spans="1:23" x14ac:dyDescent="0.25">
      <c r="A65" s="131">
        <f>VLOOKUP(B65,Data[],24,FALSE)</f>
        <v>335</v>
      </c>
      <c r="B65" t="s">
        <v>34</v>
      </c>
      <c r="C65" t="str">
        <f>VLOOKUP(B65,Data[],2,FALSE)</f>
        <v>BRONX</v>
      </c>
      <c r="D65" t="str">
        <f>VLOOKUP(all[[#This Row],[DEVELOPMENT]],Data[],3,FALSE)</f>
        <v>CLAREMONT CONSOLIDATED</v>
      </c>
      <c r="E65" t="str">
        <f>VLOOKUP(B65,Data[],8,FALSE)</f>
        <v>Zone 1</v>
      </c>
      <c r="F65" t="str">
        <f>VLOOKUP(B65,Data[],9,FALSE)</f>
        <v>$</v>
      </c>
      <c r="G65">
        <f>IFERROR(VLOOKUP(B65,Data[],4,FALSE),"")</f>
        <v>2025</v>
      </c>
      <c r="H65" t="str">
        <f ca="1">IF(G65="","",IF((G65-YEAR(TODAY()))&lt;=5,"Yes",""))</f>
        <v/>
      </c>
      <c r="I65">
        <f>VLOOKUP(all[[#This Row],[DEVELOPMENT]],Data[],7,FALSE)</f>
        <v>147</v>
      </c>
      <c r="J65">
        <f>VLOOKUP(all[[#This Row],[DEVELOPMENT]],Data[],25,FALSE)</f>
        <v>0</v>
      </c>
      <c r="K65">
        <f>VLOOKUP(all[[#This Row],[DEVELOPMENT]],Data[],5,FALSE)</f>
        <v>9</v>
      </c>
      <c r="L65">
        <f>VLOOKUP(all[[#This Row],[DEVELOPMENT]],Data[],27,FALSE)</f>
        <v>9</v>
      </c>
      <c r="M65">
        <f>VLOOKUP(all[[#This Row],[DEVELOPMENT]],Data[],31,FALSE)</f>
        <v>9</v>
      </c>
      <c r="N65">
        <f>VLOOKUP(all[[#This Row],[DEVELOPMENT]],Data[],26,FALSE)</f>
        <v>0</v>
      </c>
      <c r="O65">
        <f>VLOOKUP(all[[#This Row],[DEVELOPMENT]],Data[],30,FALSE)</f>
        <v>0</v>
      </c>
      <c r="P65">
        <f>VLOOKUP(all[[#This Row],[DEVELOPMENT]],Data[],28,FALSE)</f>
        <v>0</v>
      </c>
      <c r="Q65">
        <f>IF(all[[#This Row],['# Bulk Crushers]]=0,1,0)</f>
        <v>1</v>
      </c>
      <c r="R65" s="5">
        <f>IFERROR(INDEX(FWD[],MATCH($B65,FWD[DEVELOPMENT],0),MATCH("ESTIMATE",FWD[#Headers],0)),0)</f>
        <v>0</v>
      </c>
      <c r="S65" s="5">
        <f>IFERROR(INDEX(EHD[],MATCH($B65,EHD[DEVELOPMENT],0),MATCH("ESTIMATE",EHD[#Headers],0)),0)</f>
        <v>0</v>
      </c>
      <c r="T65" s="5">
        <f ca="1">IFERROR(INDEX(IntComp[],MATCH($B65,IntComp[DEVELOPMENT],0),MATCH("ESTIMATE",IntComp[#Headers],0)),0)</f>
        <v>0</v>
      </c>
      <c r="U65" s="5">
        <f>IFERROR(INDEX(Yards[],MATCH($B65,Yards[DEVELOPMENT],0),MATCH("ESTIMATE",Yards[#Headers],0)),0)</f>
        <v>0</v>
      </c>
      <c r="V65" s="128">
        <f ca="1">SUM(R65:U65)</f>
        <v>0</v>
      </c>
      <c r="W65" s="5"/>
    </row>
    <row r="66" spans="1:23" x14ac:dyDescent="0.25">
      <c r="A66" s="131">
        <f>VLOOKUP(B66,Data[],24,FALSE)</f>
        <v>336</v>
      </c>
      <c r="B66" t="s">
        <v>144</v>
      </c>
      <c r="C66" t="str">
        <f>VLOOKUP(B66,Data[],2,FALSE)</f>
        <v>BRONX</v>
      </c>
      <c r="D66" t="str">
        <f>VLOOKUP(all[[#This Row],[DEVELOPMENT]],Data[],3,FALSE)</f>
        <v>CLAREMONT CONSOLIDATED</v>
      </c>
      <c r="E66" t="str">
        <f>VLOOKUP(B66,Data[],8,FALSE)</f>
        <v>Zone 1</v>
      </c>
      <c r="F66" t="str">
        <f>VLOOKUP(B66,Data[],9,FALSE)</f>
        <v>$</v>
      </c>
      <c r="G66">
        <f>IFERROR(VLOOKUP(B66,Data[],4,FALSE),"")</f>
        <v>2025</v>
      </c>
      <c r="H66" t="str">
        <f ca="1">IF(G66="","",IF((G66-YEAR(TODAY()))&lt;=5,"Yes",""))</f>
        <v/>
      </c>
      <c r="I66">
        <f>VLOOKUP(all[[#This Row],[DEVELOPMENT]],Data[],7,FALSE)</f>
        <v>129</v>
      </c>
      <c r="J66">
        <f>VLOOKUP(all[[#This Row],[DEVELOPMENT]],Data[],25,FALSE)</f>
        <v>0</v>
      </c>
      <c r="K66">
        <f>VLOOKUP(all[[#This Row],[DEVELOPMENT]],Data[],5,FALSE)</f>
        <v>3</v>
      </c>
      <c r="L66">
        <f>VLOOKUP(all[[#This Row],[DEVELOPMENT]],Data[],27,FALSE)</f>
        <v>4</v>
      </c>
      <c r="M66">
        <f>VLOOKUP(all[[#This Row],[DEVELOPMENT]],Data[],31,FALSE)</f>
        <v>4</v>
      </c>
      <c r="N66">
        <f>VLOOKUP(all[[#This Row],[DEVELOPMENT]],Data[],26,FALSE)</f>
        <v>0</v>
      </c>
      <c r="O66">
        <f>VLOOKUP(all[[#This Row],[DEVELOPMENT]],Data[],30,FALSE)</f>
        <v>0</v>
      </c>
      <c r="P66">
        <f>VLOOKUP(all[[#This Row],[DEVELOPMENT]],Data[],28,FALSE)</f>
        <v>0</v>
      </c>
      <c r="Q66">
        <f>IF(all[[#This Row],['# Bulk Crushers]]=0,1,0)</f>
        <v>1</v>
      </c>
      <c r="R66" s="5">
        <f>IFERROR(INDEX(FWD[],MATCH($B66,FWD[DEVELOPMENT],0),MATCH("ESTIMATE",FWD[#Headers],0)),0)</f>
        <v>0</v>
      </c>
      <c r="S66" s="5">
        <f>IFERROR(INDEX(EHD[],MATCH($B66,EHD[DEVELOPMENT],0),MATCH("ESTIMATE",EHD[#Headers],0)),0)</f>
        <v>29742.574000000001</v>
      </c>
      <c r="T66" s="5">
        <f ca="1">IFERROR(INDEX(IntComp[],MATCH($B66,IntComp[DEVELOPMENT],0),MATCH("ESTIMATE",IntComp[#Headers],0)),0)</f>
        <v>0</v>
      </c>
      <c r="U66" s="5">
        <f>IFERROR(INDEX(Yards[],MATCH($B66,Yards[DEVELOPMENT],0),MATCH("ESTIMATE",Yards[#Headers],0)),0)</f>
        <v>0</v>
      </c>
      <c r="V66" s="128">
        <f ca="1">SUM(R66:U66)</f>
        <v>29742.574000000001</v>
      </c>
      <c r="W66" s="5"/>
    </row>
    <row r="67" spans="1:23" x14ac:dyDescent="0.25">
      <c r="A67" s="131">
        <f>VLOOKUP(B67,Data[],24,FALSE)</f>
        <v>11</v>
      </c>
      <c r="B67" t="s">
        <v>199</v>
      </c>
      <c r="C67" t="str">
        <f>VLOOKUP(B67,Data[],2,FALSE)</f>
        <v>BRONX</v>
      </c>
      <c r="D67" t="str">
        <f>VLOOKUP(all[[#This Row],[DEVELOPMENT]],Data[],3,FALSE)</f>
        <v>SACK WERN</v>
      </c>
      <c r="E67">
        <f>VLOOKUP(B67,Data[],8,FALSE)</f>
        <v>0</v>
      </c>
      <c r="F67">
        <f>VLOOKUP(B67,Data[],9,FALSE)</f>
        <v>0</v>
      </c>
      <c r="G67">
        <f>IFERROR(VLOOKUP(B67,Data[],4,FALSE),"")</f>
        <v>2024</v>
      </c>
      <c r="H67" t="str">
        <f ca="1">IF(G67="","",IF((G67-YEAR(TODAY()))&lt;=5,"Yes",""))</f>
        <v>Yes</v>
      </c>
      <c r="I67">
        <f>VLOOKUP(all[[#This Row],[DEVELOPMENT]],Data[],7,FALSE)</f>
        <v>401</v>
      </c>
      <c r="J67">
        <f>VLOOKUP(all[[#This Row],[DEVELOPMENT]],Data[],25,FALSE)</f>
        <v>0</v>
      </c>
      <c r="K67">
        <f>VLOOKUP(all[[#This Row],[DEVELOPMENT]],Data[],5,FALSE)</f>
        <v>46</v>
      </c>
      <c r="L67">
        <f>VLOOKUP(all[[#This Row],[DEVELOPMENT]],Data[],27,FALSE)</f>
        <v>0</v>
      </c>
      <c r="M67">
        <f>VLOOKUP(all[[#This Row],[DEVELOPMENT]],Data[],31,FALSE)</f>
        <v>0</v>
      </c>
      <c r="N67">
        <f>VLOOKUP(all[[#This Row],[DEVELOPMENT]],Data[],26,FALSE)</f>
        <v>0</v>
      </c>
      <c r="O67">
        <f>VLOOKUP(all[[#This Row],[DEVELOPMENT]],Data[],30,FALSE)</f>
        <v>0</v>
      </c>
      <c r="P67">
        <f>VLOOKUP(all[[#This Row],[DEVELOPMENT]],Data[],28,FALSE)</f>
        <v>0</v>
      </c>
      <c r="Q67">
        <f>IF(all[[#This Row],['# Bulk Crushers]]=0,1,0)</f>
        <v>1</v>
      </c>
      <c r="R67" s="5">
        <f>IFERROR(INDEX(FWD[],MATCH($B67,FWD[DEVELOPMENT],0),MATCH("ESTIMATE",FWD[#Headers],0)),0)</f>
        <v>0</v>
      </c>
      <c r="S67" s="5">
        <f>IFERROR(INDEX(EHD[],MATCH($B67,EHD[DEVELOPMENT],0),MATCH("ESTIMATE",EHD[#Headers],0)),0)</f>
        <v>0</v>
      </c>
      <c r="T67" s="5">
        <f ca="1">IFERROR(INDEX(IntComp[],MATCH($B67,IntComp[DEVELOPMENT],0),MATCH("ESTIMATE",IntComp[#Headers],0)),0)</f>
        <v>0</v>
      </c>
      <c r="U67" s="5">
        <f>IFERROR(INDEX(Yards[],MATCH($B67,Yards[DEVELOPMENT],0),MATCH("ESTIMATE",Yards[#Headers],0)),0)</f>
        <v>0</v>
      </c>
      <c r="V67" s="128">
        <f ca="1">SUM(R67:U67)</f>
        <v>0</v>
      </c>
      <c r="W67" s="5"/>
    </row>
    <row r="68" spans="1:23" x14ac:dyDescent="0.25">
      <c r="A68" s="131">
        <f>VLOOKUP(B68,Data[],24,FALSE)</f>
        <v>123</v>
      </c>
      <c r="B68" t="s">
        <v>129</v>
      </c>
      <c r="C68" t="str">
        <f>VLOOKUP(B68,Data[],2,FALSE)</f>
        <v>MANHATTAN</v>
      </c>
      <c r="D68" t="str">
        <f>VLOOKUP(all[[#This Row],[DEVELOPMENT]],Data[],3,FALSE)</f>
        <v>CLINTON</v>
      </c>
      <c r="E68" t="str">
        <f>VLOOKUP(B68,Data[],8,FALSE)</f>
        <v>Zone 2</v>
      </c>
      <c r="F68" t="str">
        <f>VLOOKUP(B68,Data[],9,FALSE)</f>
        <v>$$$$</v>
      </c>
      <c r="G68" t="str">
        <f>IFERROR(VLOOKUP(B68,Data[],4,FALSE),"")</f>
        <v/>
      </c>
      <c r="H68" t="str">
        <f ca="1">IF(G68="","",IF((G68-YEAR(TODAY()))&lt;=5,"Yes",""))</f>
        <v/>
      </c>
      <c r="I68">
        <f>VLOOKUP(all[[#This Row],[DEVELOPMENT]],Data[],7,FALSE)</f>
        <v>748</v>
      </c>
      <c r="J68">
        <f>VLOOKUP(all[[#This Row],[DEVELOPMENT]],Data[],25,FALSE)</f>
        <v>0</v>
      </c>
      <c r="K68">
        <f>VLOOKUP(all[[#This Row],[DEVELOPMENT]],Data[],5,FALSE)</f>
        <v>6</v>
      </c>
      <c r="L68">
        <f>VLOOKUP(all[[#This Row],[DEVELOPMENT]],Data[],27,FALSE)</f>
        <v>6</v>
      </c>
      <c r="M68">
        <f>VLOOKUP(all[[#This Row],[DEVELOPMENT]],Data[],31,FALSE)</f>
        <v>6</v>
      </c>
      <c r="N68">
        <f>VLOOKUP(all[[#This Row],[DEVELOPMENT]],Data[],26,FALSE)</f>
        <v>1</v>
      </c>
      <c r="O68">
        <f>VLOOKUP(all[[#This Row],[DEVELOPMENT]],Data[],30,FALSE)</f>
        <v>1</v>
      </c>
      <c r="P68">
        <f>VLOOKUP(all[[#This Row],[DEVELOPMENT]],Data[],28,FALSE)</f>
        <v>0</v>
      </c>
      <c r="Q68">
        <f>IF(all[[#This Row],['# Bulk Crushers]]=0,1,0)</f>
        <v>1</v>
      </c>
      <c r="R68" s="5">
        <f>IFERROR(INDEX(FWD[],MATCH($B68,FWD[DEVELOPMENT],0),MATCH("ESTIMATE",FWD[#Headers],0)),0)</f>
        <v>0</v>
      </c>
      <c r="S68" s="5">
        <f>IFERROR(INDEX(EHD[],MATCH($B68,EHD[DEVELOPMENT],0),MATCH("ESTIMATE",EHD[#Headers],0)),0)</f>
        <v>44613.861000000004</v>
      </c>
      <c r="T68" s="5">
        <f ca="1">IFERROR(INDEX(IntComp[],MATCH($B68,IntComp[DEVELOPMENT],0),MATCH("ESTIMATE",IntComp[#Headers],0)),0)</f>
        <v>441920.36699999991</v>
      </c>
      <c r="U68" s="5">
        <f ca="1">IFERROR(INDEX(Yards[],MATCH($B68,Yards[DEVELOPMENT],0),MATCH("ESTIMATE",Yards[#Headers],0)),0)</f>
        <v>1159792.78</v>
      </c>
      <c r="V68" s="128">
        <f ca="1">SUM(R68:U68)</f>
        <v>1646327.0079999999</v>
      </c>
      <c r="W68" s="5"/>
    </row>
    <row r="69" spans="1:23" x14ac:dyDescent="0.25">
      <c r="A69" s="131">
        <f>VLOOKUP(B69,Data[],24,FALSE)</f>
        <v>236</v>
      </c>
      <c r="B69" t="s">
        <v>145</v>
      </c>
      <c r="C69" t="str">
        <f>VLOOKUP(B69,Data[],2,FALSE)</f>
        <v>BRONX</v>
      </c>
      <c r="D69" t="str">
        <f>VLOOKUP(all[[#This Row],[DEVELOPMENT]],Data[],3,FALSE)</f>
        <v>CLAREMONT CONSOLIDATED</v>
      </c>
      <c r="E69" t="str">
        <f>VLOOKUP(B69,Data[],8,FALSE)</f>
        <v>Zone 1</v>
      </c>
      <c r="F69" t="str">
        <f>VLOOKUP(B69,Data[],9,FALSE)</f>
        <v>$</v>
      </c>
      <c r="G69">
        <f>IFERROR(VLOOKUP(B69,Data[],4,FALSE),"")</f>
        <v>2025</v>
      </c>
      <c r="H69" t="str">
        <f ca="1">IF(G69="","",IF((G69-YEAR(TODAY()))&lt;=5,"Yes",""))</f>
        <v/>
      </c>
      <c r="I69">
        <f>VLOOKUP(all[[#This Row],[DEVELOPMENT]],Data[],7,FALSE)</f>
        <v>95</v>
      </c>
      <c r="J69">
        <f>VLOOKUP(all[[#This Row],[DEVELOPMENT]],Data[],25,FALSE)</f>
        <v>0</v>
      </c>
      <c r="K69">
        <f>VLOOKUP(all[[#This Row],[DEVELOPMENT]],Data[],5,FALSE)</f>
        <v>1</v>
      </c>
      <c r="L69">
        <f>VLOOKUP(all[[#This Row],[DEVELOPMENT]],Data[],27,FALSE)</f>
        <v>1</v>
      </c>
      <c r="M69">
        <f>VLOOKUP(all[[#This Row],[DEVELOPMENT]],Data[],31,FALSE)</f>
        <v>1</v>
      </c>
      <c r="N69">
        <f>VLOOKUP(all[[#This Row],[DEVELOPMENT]],Data[],26,FALSE)</f>
        <v>0</v>
      </c>
      <c r="O69">
        <f>VLOOKUP(all[[#This Row],[DEVELOPMENT]],Data[],30,FALSE)</f>
        <v>0</v>
      </c>
      <c r="P69">
        <f>VLOOKUP(all[[#This Row],[DEVELOPMENT]],Data[],28,FALSE)</f>
        <v>0</v>
      </c>
      <c r="Q69">
        <f>IF(all[[#This Row],['# Bulk Crushers]]=0,1,0)</f>
        <v>1</v>
      </c>
      <c r="R69" s="5">
        <f>IFERROR(INDEX(FWD[],MATCH($B69,FWD[DEVELOPMENT],0),MATCH("ESTIMATE",FWD[#Headers],0)),0)</f>
        <v>0</v>
      </c>
      <c r="S69" s="5">
        <f>IFERROR(INDEX(EHD[],MATCH($B69,EHD[DEVELOPMENT],0),MATCH("ESTIMATE",EHD[#Headers],0)),0)</f>
        <v>7435.6435000000001</v>
      </c>
      <c r="T69" s="5">
        <f ca="1">IFERROR(INDEX(IntComp[],MATCH($B69,IntComp[DEVELOPMENT],0),MATCH("ESTIMATE",IntComp[#Headers],0)),0)</f>
        <v>0</v>
      </c>
      <c r="U69" s="5">
        <f>IFERROR(INDEX(Yards[],MATCH($B69,Yards[DEVELOPMENT],0),MATCH("ESTIMATE",Yards[#Headers],0)),0)</f>
        <v>0</v>
      </c>
      <c r="V69" s="128">
        <f ca="1">SUM(R69:U69)</f>
        <v>7435.6435000000001</v>
      </c>
      <c r="W69" s="5"/>
    </row>
    <row r="70" spans="1:23" x14ac:dyDescent="0.25">
      <c r="A70" s="131">
        <f>VLOOKUP(B70,Data[],24,FALSE)</f>
        <v>94</v>
      </c>
      <c r="B70" t="s">
        <v>200</v>
      </c>
      <c r="C70" t="str">
        <f>VLOOKUP(B70,Data[],2,FALSE)</f>
        <v>BROOKLYN</v>
      </c>
      <c r="D70" t="str">
        <f>VLOOKUP(all[[#This Row],[DEVELOPMENT]],Data[],3,FALSE)</f>
        <v>SURFSIDE GARDENS</v>
      </c>
      <c r="E70">
        <f>VLOOKUP(B70,Data[],8,FALSE)</f>
        <v>0</v>
      </c>
      <c r="F70">
        <f>VLOOKUP(B70,Data[],9,FALSE)</f>
        <v>0</v>
      </c>
      <c r="G70" t="str">
        <f>IFERROR(VLOOKUP(B70,Data[],4,FALSE),"")</f>
        <v/>
      </c>
      <c r="H70" t="str">
        <f ca="1">IF(G70="","",IF((G70-YEAR(TODAY()))&lt;=5,"Yes",""))</f>
        <v/>
      </c>
      <c r="I70">
        <f>VLOOKUP(all[[#This Row],[DEVELOPMENT]],Data[],7,FALSE)</f>
        <v>530</v>
      </c>
      <c r="J70">
        <f>VLOOKUP(all[[#This Row],[DEVELOPMENT]],Data[],25,FALSE)</f>
        <v>0</v>
      </c>
      <c r="K70">
        <f>VLOOKUP(all[[#This Row],[DEVELOPMENT]],Data[],5,FALSE)</f>
        <v>5</v>
      </c>
      <c r="L70">
        <f>VLOOKUP(all[[#This Row],[DEVELOPMENT]],Data[],27,FALSE)</f>
        <v>5</v>
      </c>
      <c r="M70">
        <f>VLOOKUP(all[[#This Row],[DEVELOPMENT]],Data[],31,FALSE)</f>
        <v>5</v>
      </c>
      <c r="N70">
        <f>VLOOKUP(all[[#This Row],[DEVELOPMENT]],Data[],26,FALSE)</f>
        <v>0</v>
      </c>
      <c r="O70">
        <f>VLOOKUP(all[[#This Row],[DEVELOPMENT]],Data[],30,FALSE)</f>
        <v>0</v>
      </c>
      <c r="P70">
        <f>VLOOKUP(all[[#This Row],[DEVELOPMENT]],Data[],28,FALSE)</f>
        <v>0</v>
      </c>
      <c r="Q70">
        <f>IF(all[[#This Row],['# Bulk Crushers]]=0,1,0)</f>
        <v>1</v>
      </c>
      <c r="R70" s="5">
        <f>IFERROR(INDEX(FWD[],MATCH($B70,FWD[DEVELOPMENT],0),MATCH("ESTIMATE",FWD[#Headers],0)),0)</f>
        <v>0</v>
      </c>
      <c r="S70" s="5">
        <f>IFERROR(INDEX(EHD[],MATCH($B70,EHD[DEVELOPMENT],0),MATCH("ESTIMATE",EHD[#Headers],0)),0)</f>
        <v>37178.217499999999</v>
      </c>
      <c r="T70" s="5">
        <f ca="1">IFERROR(INDEX(IntComp[],MATCH($B70,IntComp[DEVELOPMENT],0),MATCH("ESTIMATE",IntComp[#Headers],0)),0)</f>
        <v>368266.97249999997</v>
      </c>
      <c r="U70" s="5">
        <f>IFERROR(INDEX(Yards[],MATCH($B70,Yards[DEVELOPMENT],0),MATCH("ESTIMATE",Yards[#Headers],0)),0)</f>
        <v>1159792.78</v>
      </c>
      <c r="V70" s="128">
        <f ca="1">SUM(R70:U70)</f>
        <v>1565237.97</v>
      </c>
      <c r="W70" s="5"/>
    </row>
    <row r="71" spans="1:23" x14ac:dyDescent="0.25">
      <c r="A71" s="131">
        <f>VLOOKUP(B71,Data[],24,FALSE)</f>
        <v>239</v>
      </c>
      <c r="B71" t="s">
        <v>201</v>
      </c>
      <c r="C71" t="str">
        <f>VLOOKUP(B71,Data[],2,FALSE)</f>
        <v>BROOKLYN</v>
      </c>
      <c r="D71" t="str">
        <f>VLOOKUP(all[[#This Row],[DEVELOPMENT]],Data[],3,FALSE)</f>
        <v>CAREY GARDENS</v>
      </c>
      <c r="E71">
        <f>VLOOKUP(B71,Data[],8,FALSE)</f>
        <v>0</v>
      </c>
      <c r="F71">
        <f>VLOOKUP(B71,Data[],9,FALSE)</f>
        <v>0</v>
      </c>
      <c r="G71" t="str">
        <f>IFERROR(VLOOKUP(B71,Data[],4,FALSE),"")</f>
        <v/>
      </c>
      <c r="H71" t="str">
        <f ca="1">IF(G71="","",IF((G71-YEAR(TODAY()))&lt;=5,"Yes",""))</f>
        <v/>
      </c>
      <c r="I71">
        <f>VLOOKUP(all[[#This Row],[DEVELOPMENT]],Data[],7,FALSE)</f>
        <v>192</v>
      </c>
      <c r="J71">
        <f>VLOOKUP(all[[#This Row],[DEVELOPMENT]],Data[],25,FALSE)</f>
        <v>0</v>
      </c>
      <c r="K71">
        <f>VLOOKUP(all[[#This Row],[DEVELOPMENT]],Data[],5,FALSE)</f>
        <v>1</v>
      </c>
      <c r="L71">
        <f>VLOOKUP(all[[#This Row],[DEVELOPMENT]],Data[],27,FALSE)</f>
        <v>1</v>
      </c>
      <c r="M71">
        <f>VLOOKUP(all[[#This Row],[DEVELOPMENT]],Data[],31,FALSE)</f>
        <v>1</v>
      </c>
      <c r="N71">
        <f>VLOOKUP(all[[#This Row],[DEVELOPMENT]],Data[],26,FALSE)</f>
        <v>0</v>
      </c>
      <c r="O71">
        <f>VLOOKUP(all[[#This Row],[DEVELOPMENT]],Data[],30,FALSE)</f>
        <v>0</v>
      </c>
      <c r="P71">
        <f>VLOOKUP(all[[#This Row],[DEVELOPMENT]],Data[],28,FALSE)</f>
        <v>0</v>
      </c>
      <c r="Q71">
        <f>IF(all[[#This Row],['# Bulk Crushers]]=0,1,0)</f>
        <v>1</v>
      </c>
      <c r="R71" s="5">
        <f>IFERROR(INDEX(FWD[],MATCH($B71,FWD[DEVELOPMENT],0),MATCH("ESTIMATE",FWD[#Headers],0)),0)</f>
        <v>0</v>
      </c>
      <c r="S71" s="5">
        <f>IFERROR(INDEX(EHD[],MATCH($B71,EHD[DEVELOPMENT],0),MATCH("ESTIMATE",EHD[#Headers],0)),0)</f>
        <v>7435.6435000000001</v>
      </c>
      <c r="T71" s="5">
        <f ca="1">IFERROR(INDEX(IntComp[],MATCH($B71,IntComp[DEVELOPMENT],0),MATCH("ESTIMATE",IntComp[#Headers],0)),0)</f>
        <v>73653.394499999995</v>
      </c>
      <c r="U71" s="5">
        <f>IFERROR(INDEX(Yards[],MATCH($B71,Yards[DEVELOPMENT],0),MATCH("ESTIMATE",Yards[#Headers],0)),0)</f>
        <v>1159792.78</v>
      </c>
      <c r="V71" s="128">
        <f ca="1">SUM(R71:U71)</f>
        <v>1240881.818</v>
      </c>
      <c r="W71" s="5"/>
    </row>
    <row r="72" spans="1:23" x14ac:dyDescent="0.25">
      <c r="A72" s="131">
        <f>VLOOKUP(B72,Data[],24,FALSE)</f>
        <v>238</v>
      </c>
      <c r="B72" t="s">
        <v>202</v>
      </c>
      <c r="C72" t="str">
        <f>VLOOKUP(B72,Data[],2,FALSE)</f>
        <v>BROOKLYN</v>
      </c>
      <c r="D72" t="str">
        <f>VLOOKUP(all[[#This Row],[DEVELOPMENT]],Data[],3,FALSE)</f>
        <v>O'DWYER GARDENS</v>
      </c>
      <c r="E72">
        <f>VLOOKUP(B72,Data[],8,FALSE)</f>
        <v>0</v>
      </c>
      <c r="F72">
        <f>VLOOKUP(B72,Data[],9,FALSE)</f>
        <v>0</v>
      </c>
      <c r="G72" t="str">
        <f>IFERROR(VLOOKUP(B72,Data[],4,FALSE),"")</f>
        <v/>
      </c>
      <c r="H72" t="str">
        <f ca="1">IF(G72="","",IF((G72-YEAR(TODAY()))&lt;=5,"Yes",""))</f>
        <v/>
      </c>
      <c r="I72">
        <f>VLOOKUP(all[[#This Row],[DEVELOPMENT]],Data[],7,FALSE)</f>
        <v>124</v>
      </c>
      <c r="J72">
        <f>VLOOKUP(all[[#This Row],[DEVELOPMENT]],Data[],25,FALSE)</f>
        <v>0</v>
      </c>
      <c r="K72">
        <f>VLOOKUP(all[[#This Row],[DEVELOPMENT]],Data[],5,FALSE)</f>
        <v>1</v>
      </c>
      <c r="L72">
        <f>VLOOKUP(all[[#This Row],[DEVELOPMENT]],Data[],27,FALSE)</f>
        <v>1</v>
      </c>
      <c r="M72">
        <f>VLOOKUP(all[[#This Row],[DEVELOPMENT]],Data[],31,FALSE)</f>
        <v>1</v>
      </c>
      <c r="N72">
        <f>VLOOKUP(all[[#This Row],[DEVELOPMENT]],Data[],26,FALSE)</f>
        <v>0</v>
      </c>
      <c r="O72">
        <f>VLOOKUP(all[[#This Row],[DEVELOPMENT]],Data[],30,FALSE)</f>
        <v>0</v>
      </c>
      <c r="P72">
        <f>VLOOKUP(all[[#This Row],[DEVELOPMENT]],Data[],28,FALSE)</f>
        <v>0</v>
      </c>
      <c r="Q72">
        <f>IF(all[[#This Row],['# Bulk Crushers]]=0,1,0)</f>
        <v>1</v>
      </c>
      <c r="R72" s="5">
        <f>IFERROR(INDEX(FWD[],MATCH($B72,FWD[DEVELOPMENT],0),MATCH("ESTIMATE",FWD[#Headers],0)),0)</f>
        <v>0</v>
      </c>
      <c r="S72" s="5">
        <f>IFERROR(INDEX(EHD[],MATCH($B72,EHD[DEVELOPMENT],0),MATCH("ESTIMATE",EHD[#Headers],0)),0)</f>
        <v>7435.6435000000001</v>
      </c>
      <c r="T72" s="5">
        <f ca="1">IFERROR(INDEX(IntComp[],MATCH($B72,IntComp[DEVELOPMENT],0),MATCH("ESTIMATE",IntComp[#Headers],0)),0)</f>
        <v>73653.394499999995</v>
      </c>
      <c r="U72" s="5">
        <f>IFERROR(INDEX(Yards[],MATCH($B72,Yards[DEVELOPMENT],0),MATCH("ESTIMATE",Yards[#Headers],0)),0)</f>
        <v>1159792.78</v>
      </c>
      <c r="V72" s="128">
        <f ca="1">SUM(R72:U72)</f>
        <v>1240881.818</v>
      </c>
      <c r="W72" s="5"/>
    </row>
    <row r="73" spans="1:23" x14ac:dyDescent="0.25">
      <c r="A73" s="131">
        <f>VLOOKUP(B73,Data[],24,FALSE)</f>
        <v>216</v>
      </c>
      <c r="B73" t="s">
        <v>203</v>
      </c>
      <c r="C73" t="str">
        <f>VLOOKUP(B73,Data[],2,FALSE)</f>
        <v>BROOKLYN</v>
      </c>
      <c r="D73" t="str">
        <f>VLOOKUP(all[[#This Row],[DEVELOPMENT]],Data[],3,FALSE)</f>
        <v>SURFSIDE GARDENS</v>
      </c>
      <c r="E73">
        <f>VLOOKUP(B73,Data[],8,FALSE)</f>
        <v>0</v>
      </c>
      <c r="F73">
        <f>VLOOKUP(B73,Data[],9,FALSE)</f>
        <v>0</v>
      </c>
      <c r="G73" t="str">
        <f>IFERROR(VLOOKUP(B73,Data[],4,FALSE),"")</f>
        <v/>
      </c>
      <c r="H73" t="str">
        <f ca="1">IF(G73="","",IF((G73-YEAR(TODAY()))&lt;=5,"Yes",""))</f>
        <v/>
      </c>
      <c r="I73">
        <f>VLOOKUP(all[[#This Row],[DEVELOPMENT]],Data[],7,FALSE)</f>
        <v>376</v>
      </c>
      <c r="J73">
        <f>VLOOKUP(all[[#This Row],[DEVELOPMENT]],Data[],25,FALSE)</f>
        <v>0</v>
      </c>
      <c r="K73">
        <f>VLOOKUP(all[[#This Row],[DEVELOPMENT]],Data[],5,FALSE)</f>
        <v>1</v>
      </c>
      <c r="L73">
        <f>VLOOKUP(all[[#This Row],[DEVELOPMENT]],Data[],27,FALSE)</f>
        <v>3</v>
      </c>
      <c r="M73">
        <f>VLOOKUP(all[[#This Row],[DEVELOPMENT]],Data[],31,FALSE)</f>
        <v>3</v>
      </c>
      <c r="N73">
        <f>VLOOKUP(all[[#This Row],[DEVELOPMENT]],Data[],26,FALSE)</f>
        <v>1</v>
      </c>
      <c r="O73">
        <f>VLOOKUP(all[[#This Row],[DEVELOPMENT]],Data[],30,FALSE)</f>
        <v>1</v>
      </c>
      <c r="P73">
        <f>VLOOKUP(all[[#This Row],[DEVELOPMENT]],Data[],28,FALSE)</f>
        <v>1</v>
      </c>
      <c r="Q73">
        <f>IF(all[[#This Row],['# Bulk Crushers]]=0,1,0)</f>
        <v>0</v>
      </c>
      <c r="R73" s="5">
        <f>IFERROR(INDEX(FWD[],MATCH($B73,FWD[DEVELOPMENT],0),MATCH("ESTIMATE",FWD[#Headers],0)),0)</f>
        <v>0</v>
      </c>
      <c r="S73" s="5">
        <f>IFERROR(INDEX(EHD[],MATCH($B73,EHD[DEVELOPMENT],0),MATCH("ESTIMATE",EHD[#Headers],0)),0)</f>
        <v>22306.930500000002</v>
      </c>
      <c r="T73" s="5">
        <f ca="1">IFERROR(INDEX(IntComp[],MATCH($B73,IntComp[DEVELOPMENT],0),MATCH("ESTIMATE",IntComp[#Headers],0)),0)</f>
        <v>220960.18349999996</v>
      </c>
      <c r="U73" s="5">
        <f ca="1">IFERROR(INDEX(Yards[],MATCH($B73,Yards[DEVELOPMENT],0),MATCH("ESTIMATE",Yards[#Headers],0)),0)</f>
        <v>1159792.78</v>
      </c>
      <c r="V73" s="128">
        <f ca="1">SUM(R73:U73)</f>
        <v>1403059.8939999999</v>
      </c>
      <c r="W73" s="5"/>
    </row>
    <row r="74" spans="1:23" x14ac:dyDescent="0.25">
      <c r="A74" s="131">
        <f>VLOOKUP(B74,Data[],24,FALSE)</f>
        <v>232</v>
      </c>
      <c r="B74" t="s">
        <v>204</v>
      </c>
      <c r="C74" t="str">
        <f>VLOOKUP(B74,Data[],2,FALSE)</f>
        <v>QUEENS</v>
      </c>
      <c r="D74" t="str">
        <f>VLOOKUP(all[[#This Row],[DEVELOPMENT]],Data[],3,FALSE)</f>
        <v>BAISLEY PARK</v>
      </c>
      <c r="E74">
        <f>VLOOKUP(B74,Data[],8,FALSE)</f>
        <v>0</v>
      </c>
      <c r="F74">
        <f>VLOOKUP(B74,Data[],9,FALSE)</f>
        <v>0</v>
      </c>
      <c r="G74" t="str">
        <f>IFERROR(VLOOKUP(B74,Data[],4,FALSE),"")</f>
        <v/>
      </c>
      <c r="H74" t="str">
        <f ca="1">IF(G74="","",IF((G74-YEAR(TODAY()))&lt;=5,"Yes",""))</f>
        <v/>
      </c>
      <c r="I74">
        <f>VLOOKUP(all[[#This Row],[DEVELOPMENT]],Data[],7,FALSE)</f>
        <v>214</v>
      </c>
      <c r="J74">
        <f>VLOOKUP(all[[#This Row],[DEVELOPMENT]],Data[],25,FALSE)</f>
        <v>0</v>
      </c>
      <c r="K74">
        <f>VLOOKUP(all[[#This Row],[DEVELOPMENT]],Data[],5,FALSE)</f>
        <v>1</v>
      </c>
      <c r="L74">
        <f>VLOOKUP(all[[#This Row],[DEVELOPMENT]],Data[],27,FALSE)</f>
        <v>1</v>
      </c>
      <c r="M74">
        <f>VLOOKUP(all[[#This Row],[DEVELOPMENT]],Data[],31,FALSE)</f>
        <v>1</v>
      </c>
      <c r="N74">
        <f>VLOOKUP(all[[#This Row],[DEVELOPMENT]],Data[],26,FALSE)</f>
        <v>2</v>
      </c>
      <c r="O74">
        <f>VLOOKUP(all[[#This Row],[DEVELOPMENT]],Data[],30,FALSE)</f>
        <v>2</v>
      </c>
      <c r="P74">
        <f>VLOOKUP(all[[#This Row],[DEVELOPMENT]],Data[],28,FALSE)</f>
        <v>0</v>
      </c>
      <c r="Q74">
        <f>IF(all[[#This Row],['# Bulk Crushers]]=0,1,0)</f>
        <v>1</v>
      </c>
      <c r="R74" s="5">
        <f>IFERROR(INDEX(FWD[],MATCH($B74,FWD[DEVELOPMENT],0),MATCH("ESTIMATE",FWD[#Headers],0)),0)</f>
        <v>0</v>
      </c>
      <c r="S74" s="5">
        <f>IFERROR(INDEX(EHD[],MATCH($B74,EHD[DEVELOPMENT],0),MATCH("ESTIMATE",EHD[#Headers],0)),0)</f>
        <v>0</v>
      </c>
      <c r="T74" s="5">
        <f ca="1">IFERROR(INDEX(IntComp[],MATCH($B74,IntComp[DEVELOPMENT],0),MATCH("ESTIMATE",IntComp[#Headers],0)),0)</f>
        <v>73653.394499999995</v>
      </c>
      <c r="U74" s="5">
        <f ca="1">IFERROR(INDEX(Yards[],MATCH($B74,Yards[DEVELOPMENT],0),MATCH("ESTIMATE",Yards[#Headers],0)),0)</f>
        <v>1591050.0199999998</v>
      </c>
      <c r="V74" s="128">
        <f ca="1">SUM(R74:U74)</f>
        <v>1664703.4144999997</v>
      </c>
      <c r="W74" s="5"/>
    </row>
    <row r="75" spans="1:23" x14ac:dyDescent="0.25">
      <c r="A75" s="131">
        <f>VLOOKUP(B75,Data[],24,FALSE)</f>
        <v>69</v>
      </c>
      <c r="B75" t="s">
        <v>205</v>
      </c>
      <c r="C75" t="str">
        <f>VLOOKUP(B75,Data[],2,FALSE)</f>
        <v>BROOKLYN</v>
      </c>
      <c r="D75" t="str">
        <f>VLOOKUP(all[[#This Row],[DEVELOPMENT]],Data[],3,FALSE)</f>
        <v>COOPER PARK</v>
      </c>
      <c r="E75">
        <f>VLOOKUP(B75,Data[],8,FALSE)</f>
        <v>0</v>
      </c>
      <c r="F75">
        <f>VLOOKUP(B75,Data[],9,FALSE)</f>
        <v>0</v>
      </c>
      <c r="G75" t="str">
        <f>IFERROR(VLOOKUP(B75,Data[],4,FALSE),"")</f>
        <v/>
      </c>
      <c r="H75" t="str">
        <f ca="1">IF(G75="","",IF((G75-YEAR(TODAY()))&lt;=5,"Yes",""))</f>
        <v/>
      </c>
      <c r="I75">
        <f>VLOOKUP(all[[#This Row],[DEVELOPMENT]],Data[],7,FALSE)</f>
        <v>700</v>
      </c>
      <c r="J75" t="str">
        <f>VLOOKUP(all[[#This Row],[DEVELOPMENT]],Data[],25,FALSE)</f>
        <v>Yes</v>
      </c>
      <c r="K75">
        <f>VLOOKUP(all[[#This Row],[DEVELOPMENT]],Data[],5,FALSE)</f>
        <v>11</v>
      </c>
      <c r="L75">
        <f>VLOOKUP(all[[#This Row],[DEVELOPMENT]],Data[],27,FALSE)</f>
        <v>13</v>
      </c>
      <c r="M75">
        <f>VLOOKUP(all[[#This Row],[DEVELOPMENT]],Data[],31,FALSE)</f>
        <v>13</v>
      </c>
      <c r="N75">
        <f>VLOOKUP(all[[#This Row],[DEVELOPMENT]],Data[],26,FALSE)</f>
        <v>2</v>
      </c>
      <c r="O75">
        <f>VLOOKUP(all[[#This Row],[DEVELOPMENT]],Data[],30,FALSE)</f>
        <v>2</v>
      </c>
      <c r="P75">
        <f>VLOOKUP(all[[#This Row],[DEVELOPMENT]],Data[],28,FALSE)</f>
        <v>0</v>
      </c>
      <c r="Q75">
        <f>IF(all[[#This Row],['# Bulk Crushers]]=0,1,0)</f>
        <v>1</v>
      </c>
      <c r="R75" s="5">
        <f>IFERROR(INDEX(FWD[],MATCH($B75,FWD[DEVELOPMENT],0),MATCH("ESTIMATE",FWD[#Headers],0)),0)</f>
        <v>1203115.1631760078</v>
      </c>
      <c r="S75" s="5">
        <f>IFERROR(INDEX(EHD[],MATCH($B75,EHD[DEVELOPMENT],0),MATCH("ESTIMATE",EHD[#Headers],0)),0)</f>
        <v>96663.3655</v>
      </c>
      <c r="T75" s="5">
        <f ca="1">IFERROR(INDEX(IntComp[],MATCH($B75,IntComp[DEVELOPMENT],0),MATCH("ESTIMATE",IntComp[#Headers],0)),0)</f>
        <v>957494.12849999988</v>
      </c>
      <c r="U75" s="5">
        <f ca="1">IFERROR(INDEX(Yards[],MATCH($B75,Yards[DEVELOPMENT],0),MATCH("ESTIMATE",Yards[#Headers],0)),0)</f>
        <v>1591050.0199999998</v>
      </c>
      <c r="V75" s="128">
        <f ca="1">SUM(R75:U75)</f>
        <v>3848322.6771760071</v>
      </c>
      <c r="W75" s="5"/>
    </row>
    <row r="76" spans="1:23" x14ac:dyDescent="0.25">
      <c r="A76" s="131">
        <f>VLOOKUP(B76,Data[],24,FALSE)</f>
        <v>199</v>
      </c>
      <c r="B76" t="s">
        <v>74</v>
      </c>
      <c r="C76" t="str">
        <f>VLOOKUP(B76,Data[],2,FALSE)</f>
        <v>MANHATTAN</v>
      </c>
      <c r="D76" t="str">
        <f>VLOOKUP(all[[#This Row],[DEVELOPMENT]],Data[],3,FALSE)</f>
        <v>JEFFERSON</v>
      </c>
      <c r="E76" t="str">
        <f>VLOOKUP(B76,Data[],8,FALSE)</f>
        <v>Zone 2</v>
      </c>
      <c r="F76" t="str">
        <f>VLOOKUP(B76,Data[],9,FALSE)</f>
        <v>$</v>
      </c>
      <c r="G76">
        <f>IFERROR(VLOOKUP(B76,Data[],4,FALSE),"")</f>
        <v>2026</v>
      </c>
      <c r="H76" t="str">
        <f ca="1">IF(G76="","",IF((G76-YEAR(TODAY()))&lt;=5,"Yes",""))</f>
        <v/>
      </c>
      <c r="I76">
        <f>VLOOKUP(all[[#This Row],[DEVELOPMENT]],Data[],7,FALSE)</f>
        <v>171</v>
      </c>
      <c r="J76">
        <f>VLOOKUP(all[[#This Row],[DEVELOPMENT]],Data[],25,FALSE)</f>
        <v>0</v>
      </c>
      <c r="K76">
        <f>VLOOKUP(all[[#This Row],[DEVELOPMENT]],Data[],5,FALSE)</f>
        <v>1</v>
      </c>
      <c r="L76">
        <f>VLOOKUP(all[[#This Row],[DEVELOPMENT]],Data[],27,FALSE)</f>
        <v>1</v>
      </c>
      <c r="M76">
        <f>VLOOKUP(all[[#This Row],[DEVELOPMENT]],Data[],31,FALSE)</f>
        <v>1</v>
      </c>
      <c r="N76">
        <f>VLOOKUP(all[[#This Row],[DEVELOPMENT]],Data[],26,FALSE)</f>
        <v>0</v>
      </c>
      <c r="O76">
        <f>VLOOKUP(all[[#This Row],[DEVELOPMENT]],Data[],30,FALSE)</f>
        <v>0</v>
      </c>
      <c r="P76">
        <f>VLOOKUP(all[[#This Row],[DEVELOPMENT]],Data[],28,FALSE)</f>
        <v>0</v>
      </c>
      <c r="Q76">
        <f>IF(all[[#This Row],['# Bulk Crushers]]=0,1,0)</f>
        <v>1</v>
      </c>
      <c r="R76" s="5">
        <f>IFERROR(INDEX(FWD[],MATCH($B76,FWD[DEVELOPMENT],0),MATCH("ESTIMATE",FWD[#Headers],0)),0)</f>
        <v>0</v>
      </c>
      <c r="S76" s="5">
        <f>IFERROR(INDEX(EHD[],MATCH($B76,EHD[DEVELOPMENT],0),MATCH("ESTIMATE",EHD[#Headers],0)),0)</f>
        <v>0</v>
      </c>
      <c r="T76" s="5">
        <f ca="1">IFERROR(INDEX(IntComp[],MATCH($B76,IntComp[DEVELOPMENT],0),MATCH("ESTIMATE",IntComp[#Headers],0)),0)</f>
        <v>73653.394499999995</v>
      </c>
      <c r="U76" s="5">
        <f>IFERROR(INDEX(Yards[],MATCH($B76,Yards[DEVELOPMENT],0),MATCH("ESTIMATE",Yards[#Headers],0)),0)</f>
        <v>1159792.78</v>
      </c>
      <c r="V76" s="128">
        <f ca="1">SUM(R76:U76)</f>
        <v>1233446.1745</v>
      </c>
      <c r="W76" s="5"/>
    </row>
    <row r="77" spans="1:23" x14ac:dyDescent="0.25">
      <c r="A77" s="131">
        <f>VLOOKUP(B77,Data[],24,FALSE)</f>
        <v>312</v>
      </c>
      <c r="B77" t="s">
        <v>206</v>
      </c>
      <c r="C77" t="str">
        <f>VLOOKUP(B77,Data[],2,FALSE)</f>
        <v>BROOKLYN</v>
      </c>
      <c r="D77" t="str">
        <f>VLOOKUP(all[[#This Row],[DEVELOPMENT]],Data[],3,FALSE)</f>
        <v>PARK ROCK CONSOLIDATED</v>
      </c>
      <c r="E77" t="str">
        <f>VLOOKUP(B77,Data[],8,FALSE)</f>
        <v>Zone 4</v>
      </c>
      <c r="F77">
        <f>VLOOKUP(B77,Data[],9,FALSE)</f>
        <v>0</v>
      </c>
      <c r="G77">
        <f>IFERROR(VLOOKUP(B77,Data[],4,FALSE),"")</f>
        <v>2025</v>
      </c>
      <c r="H77" t="str">
        <f ca="1">IF(G77="","",IF((G77-YEAR(TODAY()))&lt;=5,"Yes",""))</f>
        <v/>
      </c>
      <c r="I77">
        <f>VLOOKUP(all[[#This Row],[DEVELOPMENT]],Data[],7,FALSE)</f>
        <v>121</v>
      </c>
      <c r="J77" t="str">
        <f>VLOOKUP(all[[#This Row],[DEVELOPMENT]],Data[],25,FALSE)</f>
        <v>Yes</v>
      </c>
      <c r="K77">
        <f>VLOOKUP(all[[#This Row],[DEVELOPMENT]],Data[],5,FALSE)</f>
        <v>8</v>
      </c>
      <c r="L77">
        <f>VLOOKUP(all[[#This Row],[DEVELOPMENT]],Data[],27,FALSE)</f>
        <v>8</v>
      </c>
      <c r="M77">
        <f>VLOOKUP(all[[#This Row],[DEVELOPMENT]],Data[],31,FALSE)</f>
        <v>8</v>
      </c>
      <c r="N77">
        <f>VLOOKUP(all[[#This Row],[DEVELOPMENT]],Data[],26,FALSE)</f>
        <v>0</v>
      </c>
      <c r="O77">
        <f>VLOOKUP(all[[#This Row],[DEVELOPMENT]],Data[],30,FALSE)</f>
        <v>0</v>
      </c>
      <c r="P77">
        <f>VLOOKUP(all[[#This Row],[DEVELOPMENT]],Data[],28,FALSE)</f>
        <v>0</v>
      </c>
      <c r="Q77">
        <f>IF(all[[#This Row],['# Bulk Crushers]]=0,1,0)</f>
        <v>1</v>
      </c>
      <c r="R77" s="5">
        <f>IFERROR(INDEX(FWD[],MATCH($B77,FWD[DEVELOPMENT],0),MATCH("ESTIMATE",FWD[#Headers],0)),0)</f>
        <v>207967.04963470993</v>
      </c>
      <c r="S77" s="5">
        <f>IFERROR(INDEX(EHD[],MATCH($B77,EHD[DEVELOPMENT],0),MATCH("ESTIMATE",EHD[#Headers],0)),0)</f>
        <v>59485.148000000001</v>
      </c>
      <c r="T77" s="5">
        <f ca="1">IFERROR(INDEX(IntComp[],MATCH($B77,IntComp[DEVELOPMENT],0),MATCH("ESTIMATE",IntComp[#Headers],0)),0)</f>
        <v>0</v>
      </c>
      <c r="U77" s="5">
        <f>IFERROR(INDEX(Yards[],MATCH($B77,Yards[DEVELOPMENT],0),MATCH("ESTIMATE",Yards[#Headers],0)),0)</f>
        <v>0</v>
      </c>
      <c r="V77" s="128">
        <f ca="1">SUM(R77:U77)</f>
        <v>267452.19763470994</v>
      </c>
      <c r="W77" s="5"/>
    </row>
    <row r="78" spans="1:23" x14ac:dyDescent="0.25">
      <c r="A78" s="131">
        <f>VLOOKUP(B78,Data[],24,FALSE)</f>
        <v>70</v>
      </c>
      <c r="B78" t="s">
        <v>207</v>
      </c>
      <c r="C78" t="str">
        <f>VLOOKUP(B78,Data[],2,FALSE)</f>
        <v>BROOKLYN</v>
      </c>
      <c r="D78" t="str">
        <f>VLOOKUP(all[[#This Row],[DEVELOPMENT]],Data[],3,FALSE)</f>
        <v>CYPRESS HILLS</v>
      </c>
      <c r="E78">
        <f>VLOOKUP(B78,Data[],8,FALSE)</f>
        <v>0</v>
      </c>
      <c r="F78">
        <f>VLOOKUP(B78,Data[],9,FALSE)</f>
        <v>0</v>
      </c>
      <c r="G78">
        <f>IFERROR(VLOOKUP(B78,Data[],4,FALSE),"")</f>
        <v>2023</v>
      </c>
      <c r="H78" t="str">
        <f ca="1">IF(G78="","",IF((G78-YEAR(TODAY()))&lt;=5,"Yes",""))</f>
        <v>Yes</v>
      </c>
      <c r="I78">
        <f>VLOOKUP(all[[#This Row],[DEVELOPMENT]],Data[],7,FALSE)</f>
        <v>1439</v>
      </c>
      <c r="J78">
        <f>VLOOKUP(all[[#This Row],[DEVELOPMENT]],Data[],25,FALSE)</f>
        <v>0</v>
      </c>
      <c r="K78">
        <f>VLOOKUP(all[[#This Row],[DEVELOPMENT]],Data[],5,FALSE)</f>
        <v>15</v>
      </c>
      <c r="L78">
        <f>VLOOKUP(all[[#This Row],[DEVELOPMENT]],Data[],27,FALSE)</f>
        <v>29</v>
      </c>
      <c r="M78">
        <f>VLOOKUP(all[[#This Row],[DEVELOPMENT]],Data[],31,FALSE)</f>
        <v>29</v>
      </c>
      <c r="N78">
        <f>VLOOKUP(all[[#This Row],[DEVELOPMENT]],Data[],26,FALSE)</f>
        <v>3</v>
      </c>
      <c r="O78">
        <f>VLOOKUP(all[[#This Row],[DEVELOPMENT]],Data[],30,FALSE)</f>
        <v>0</v>
      </c>
      <c r="P78">
        <f>VLOOKUP(all[[#This Row],[DEVELOPMENT]],Data[],28,FALSE)</f>
        <v>0</v>
      </c>
      <c r="Q78">
        <f>IF(all[[#This Row],['# Bulk Crushers]]=0,1,0)</f>
        <v>1</v>
      </c>
      <c r="R78" s="5">
        <f>IFERROR(INDEX(FWD[],MATCH($B78,FWD[DEVELOPMENT],0),MATCH("ESTIMATE",FWD[#Headers],0)),0)</f>
        <v>0</v>
      </c>
      <c r="S78" s="5">
        <f>IFERROR(INDEX(EHD[],MATCH($B78,EHD[DEVELOPMENT],0),MATCH("ESTIMATE",EHD[#Headers],0)),0)</f>
        <v>215633.66150000002</v>
      </c>
      <c r="T78" s="5">
        <f ca="1">IFERROR(INDEX(IntComp[],MATCH($B78,IntComp[DEVELOPMENT],0),MATCH("ESTIMATE",IntComp[#Headers],0)),0)</f>
        <v>0</v>
      </c>
      <c r="U78" s="5">
        <f>IFERROR(INDEX(Yards[],MATCH($B78,Yards[DEVELOPMENT],0),MATCH("ESTIMATE",Yards[#Headers],0)),0)</f>
        <v>0</v>
      </c>
      <c r="V78" s="128">
        <f ca="1">SUM(R78:U78)</f>
        <v>215633.66150000002</v>
      </c>
      <c r="W78" s="5"/>
    </row>
    <row r="79" spans="1:23" x14ac:dyDescent="0.25">
      <c r="A79" s="131">
        <f>VLOOKUP(B79,Data[],24,FALSE)</f>
        <v>190</v>
      </c>
      <c r="B79" t="s">
        <v>105</v>
      </c>
      <c r="C79" t="str">
        <f>VLOOKUP(B79,Data[],2,FALSE)</f>
        <v>BRONX</v>
      </c>
      <c r="D79" t="str">
        <f>VLOOKUP(all[[#This Row],[DEVELOPMENT]],Data[],3,FALSE)</f>
        <v>UNION AVENUE CONSOLIDATED</v>
      </c>
      <c r="E79" t="str">
        <f>VLOOKUP(B79,Data[],8,FALSE)</f>
        <v>Zone 3</v>
      </c>
      <c r="F79" t="str">
        <f>VLOOKUP(B79,Data[],9,FALSE)</f>
        <v>$</v>
      </c>
      <c r="G79">
        <f>IFERROR(VLOOKUP(B79,Data[],4,FALSE),"")</f>
        <v>2026</v>
      </c>
      <c r="H79" t="str">
        <f ca="1">IF(G79="","",IF((G79-YEAR(TODAY()))&lt;=5,"Yes",""))</f>
        <v/>
      </c>
      <c r="I79">
        <f>VLOOKUP(all[[#This Row],[DEVELOPMENT]],Data[],7,FALSE)</f>
        <v>175</v>
      </c>
      <c r="J79">
        <f>VLOOKUP(all[[#This Row],[DEVELOPMENT]],Data[],25,FALSE)</f>
        <v>0</v>
      </c>
      <c r="K79">
        <f>VLOOKUP(all[[#This Row],[DEVELOPMENT]],Data[],5,FALSE)</f>
        <v>1</v>
      </c>
      <c r="L79">
        <f>VLOOKUP(all[[#This Row],[DEVELOPMENT]],Data[],27,FALSE)</f>
        <v>1</v>
      </c>
      <c r="M79">
        <f>VLOOKUP(all[[#This Row],[DEVELOPMENT]],Data[],31,FALSE)</f>
        <v>1</v>
      </c>
      <c r="N79">
        <f>VLOOKUP(all[[#This Row],[DEVELOPMENT]],Data[],26,FALSE)</f>
        <v>0</v>
      </c>
      <c r="O79">
        <f>VLOOKUP(all[[#This Row],[DEVELOPMENT]],Data[],30,FALSE)</f>
        <v>0</v>
      </c>
      <c r="P79">
        <f>VLOOKUP(all[[#This Row],[DEVELOPMENT]],Data[],28,FALSE)</f>
        <v>0</v>
      </c>
      <c r="Q79">
        <f>IF(all[[#This Row],['# Bulk Crushers]]=0,1,0)</f>
        <v>1</v>
      </c>
      <c r="R79" s="5">
        <f>IFERROR(INDEX(FWD[],MATCH($B79,FWD[DEVELOPMENT],0),MATCH("ESTIMATE",FWD[#Headers],0)),0)</f>
        <v>0</v>
      </c>
      <c r="S79" s="5">
        <f>IFERROR(INDEX(EHD[],MATCH($B79,EHD[DEVELOPMENT],0),MATCH("ESTIMATE",EHD[#Headers],0)),0)</f>
        <v>7435.6435000000001</v>
      </c>
      <c r="T79" s="5">
        <f ca="1">IFERROR(INDEX(IntComp[],MATCH($B79,IntComp[DEVELOPMENT],0),MATCH("ESTIMATE",IntComp[#Headers],0)),0)</f>
        <v>73653.394499999995</v>
      </c>
      <c r="U79" s="5">
        <f>IFERROR(INDEX(Yards[],MATCH($B79,Yards[DEVELOPMENT],0),MATCH("ESTIMATE",Yards[#Headers],0)),0)</f>
        <v>1159792.78</v>
      </c>
      <c r="V79" s="128">
        <f ca="1">SUM(R79:U79)</f>
        <v>1240881.818</v>
      </c>
      <c r="W79" s="5"/>
    </row>
    <row r="80" spans="1:23" x14ac:dyDescent="0.25">
      <c r="A80" s="131">
        <f>VLOOKUP(B80,Data[],24,FALSE)</f>
        <v>155</v>
      </c>
      <c r="B80" t="s">
        <v>208</v>
      </c>
      <c r="C80" t="str">
        <f>VLOOKUP(B80,Data[],2,FALSE)</f>
        <v>MANHATTAN</v>
      </c>
      <c r="D80" t="str">
        <f>VLOOKUP(all[[#This Row],[DEVELOPMENT]],Data[],3,FALSE)</f>
        <v>WISE TOWERS</v>
      </c>
      <c r="E80">
        <f>VLOOKUP(B80,Data[],8,FALSE)</f>
        <v>0</v>
      </c>
      <c r="F80">
        <f>VLOOKUP(B80,Data[],9,FALSE)</f>
        <v>0</v>
      </c>
      <c r="G80" t="str">
        <f>IFERROR(VLOOKUP(B80,Data[],4,FALSE),"")</f>
        <v/>
      </c>
      <c r="H80" t="str">
        <f ca="1">IF(G80="","",IF((G80-YEAR(TODAY()))&lt;=5,"Yes",""))</f>
        <v/>
      </c>
      <c r="I80">
        <f>VLOOKUP(all[[#This Row],[DEVELOPMENT]],Data[],7,FALSE)</f>
        <v>219</v>
      </c>
      <c r="J80">
        <f>VLOOKUP(all[[#This Row],[DEVELOPMENT]],Data[],25,FALSE)</f>
        <v>0</v>
      </c>
      <c r="K80">
        <f>VLOOKUP(all[[#This Row],[DEVELOPMENT]],Data[],5,FALSE)</f>
        <v>1</v>
      </c>
      <c r="L80">
        <f>VLOOKUP(all[[#This Row],[DEVELOPMENT]],Data[],27,FALSE)</f>
        <v>2</v>
      </c>
      <c r="M80">
        <f>VLOOKUP(all[[#This Row],[DEVELOPMENT]],Data[],31,FALSE)</f>
        <v>2</v>
      </c>
      <c r="N80">
        <f>VLOOKUP(all[[#This Row],[DEVELOPMENT]],Data[],26,FALSE)</f>
        <v>0</v>
      </c>
      <c r="O80">
        <f>VLOOKUP(all[[#This Row],[DEVELOPMENT]],Data[],30,FALSE)</f>
        <v>0</v>
      </c>
      <c r="P80">
        <f>VLOOKUP(all[[#This Row],[DEVELOPMENT]],Data[],28,FALSE)</f>
        <v>0</v>
      </c>
      <c r="Q80">
        <f>IF(all[[#This Row],['# Bulk Crushers]]=0,1,0)</f>
        <v>1</v>
      </c>
      <c r="R80" s="5">
        <f>IFERROR(INDEX(FWD[],MATCH($B80,FWD[DEVELOPMENT],0),MATCH("ESTIMATE",FWD[#Headers],0)),0)</f>
        <v>0</v>
      </c>
      <c r="S80" s="5">
        <f>IFERROR(INDEX(EHD[],MATCH($B80,EHD[DEVELOPMENT],0),MATCH("ESTIMATE",EHD[#Headers],0)),0)</f>
        <v>14871.287</v>
      </c>
      <c r="T80" s="5">
        <f ca="1">IFERROR(INDEX(IntComp[],MATCH($B80,IntComp[DEVELOPMENT],0),MATCH("ESTIMATE",IntComp[#Headers],0)),0)</f>
        <v>147306.78899999999</v>
      </c>
      <c r="U80" s="5">
        <f>IFERROR(INDEX(Yards[],MATCH($B80,Yards[DEVELOPMENT],0),MATCH("ESTIMATE",Yards[#Headers],0)),0)</f>
        <v>1159792.78</v>
      </c>
      <c r="V80" s="128">
        <f ca="1">SUM(R80:U80)</f>
        <v>1321970.8560000001</v>
      </c>
      <c r="W80" s="5"/>
    </row>
    <row r="81" spans="1:23" x14ac:dyDescent="0.25">
      <c r="A81" s="131">
        <f>VLOOKUP(B81,Data[],24,FALSE)</f>
        <v>148</v>
      </c>
      <c r="B81" t="s">
        <v>75</v>
      </c>
      <c r="C81" t="str">
        <f>VLOOKUP(B81,Data[],2,FALSE)</f>
        <v>MANHATTAN</v>
      </c>
      <c r="D81" t="str">
        <f>VLOOKUP(all[[#This Row],[DEVELOPMENT]],Data[],3,FALSE)</f>
        <v>DOUGLASS</v>
      </c>
      <c r="E81" t="str">
        <f>VLOOKUP(B81,Data[],8,FALSE)</f>
        <v>Zone 3</v>
      </c>
      <c r="F81" t="str">
        <f>VLOOKUP(B81,Data[],9,FALSE)</f>
        <v>$</v>
      </c>
      <c r="G81" t="str">
        <f>IFERROR(VLOOKUP(B81,Data[],4,FALSE),"")</f>
        <v/>
      </c>
      <c r="H81" t="str">
        <f ca="1">IF(G81="","",IF((G81-YEAR(TODAY()))&lt;=5,"Yes",""))</f>
        <v/>
      </c>
      <c r="I81">
        <f>VLOOKUP(all[[#This Row],[DEVELOPMENT]],Data[],7,FALSE)</f>
        <v>135</v>
      </c>
      <c r="J81">
        <f>VLOOKUP(all[[#This Row],[DEVELOPMENT]],Data[],25,FALSE)</f>
        <v>0</v>
      </c>
      <c r="K81">
        <f>VLOOKUP(all[[#This Row],[DEVELOPMENT]],Data[],5,FALSE)</f>
        <v>1</v>
      </c>
      <c r="L81">
        <f>VLOOKUP(all[[#This Row],[DEVELOPMENT]],Data[],27,FALSE)</f>
        <v>1</v>
      </c>
      <c r="M81">
        <f>VLOOKUP(all[[#This Row],[DEVELOPMENT]],Data[],31,FALSE)</f>
        <v>1</v>
      </c>
      <c r="N81">
        <f>VLOOKUP(all[[#This Row],[DEVELOPMENT]],Data[],26,FALSE)</f>
        <v>0</v>
      </c>
      <c r="O81">
        <f>VLOOKUP(all[[#This Row],[DEVELOPMENT]],Data[],30,FALSE)</f>
        <v>0</v>
      </c>
      <c r="P81">
        <f>VLOOKUP(all[[#This Row],[DEVELOPMENT]],Data[],28,FALSE)</f>
        <v>0</v>
      </c>
      <c r="Q81">
        <f>IF(all[[#This Row],['# Bulk Crushers]]=0,1,0)</f>
        <v>1</v>
      </c>
      <c r="R81" s="5">
        <f>IFERROR(INDEX(FWD[],MATCH($B81,FWD[DEVELOPMENT],0),MATCH("ESTIMATE",FWD[#Headers],0)),0)</f>
        <v>0</v>
      </c>
      <c r="S81" s="5">
        <f>IFERROR(INDEX(EHD[],MATCH($B81,EHD[DEVELOPMENT],0),MATCH("ESTIMATE",EHD[#Headers],0)),0)</f>
        <v>7435.6435000000001</v>
      </c>
      <c r="T81" s="5">
        <f ca="1">IFERROR(INDEX(IntComp[],MATCH($B81,IntComp[DEVELOPMENT],0),MATCH("ESTIMATE",IntComp[#Headers],0)),0)</f>
        <v>73653.394499999995</v>
      </c>
      <c r="U81" s="5">
        <f>IFERROR(INDEX(Yards[],MATCH($B81,Yards[DEVELOPMENT],0),MATCH("ESTIMATE",Yards[#Headers],0)),0)</f>
        <v>1159792.78</v>
      </c>
      <c r="V81" s="128">
        <f ca="1">SUM(R81:U81)</f>
        <v>1240881.818</v>
      </c>
      <c r="W81" s="5"/>
    </row>
    <row r="82" spans="1:23" x14ac:dyDescent="0.25">
      <c r="A82" s="131">
        <f>VLOOKUP(B82,Data[],24,FALSE)</f>
        <v>82</v>
      </c>
      <c r="B82" t="s">
        <v>130</v>
      </c>
      <c r="C82" t="str">
        <f>VLOOKUP(B82,Data[],2,FALSE)</f>
        <v>MANHATTAN</v>
      </c>
      <c r="D82" t="str">
        <f>VLOOKUP(all[[#This Row],[DEVELOPMENT]],Data[],3,FALSE)</f>
        <v>DOUGLASS</v>
      </c>
      <c r="E82" t="str">
        <f>VLOOKUP(B82,Data[],8,FALSE)</f>
        <v>Zone 3</v>
      </c>
      <c r="F82" t="str">
        <f>VLOOKUP(B82,Data[],9,FALSE)</f>
        <v>$$$</v>
      </c>
      <c r="G82" t="str">
        <f>IFERROR(VLOOKUP(B82,Data[],4,FALSE),"")</f>
        <v/>
      </c>
      <c r="H82" t="str">
        <f ca="1">IF(G82="","",IF((G82-YEAR(TODAY()))&lt;=5,"Yes",""))</f>
        <v/>
      </c>
      <c r="I82">
        <f>VLOOKUP(all[[#This Row],[DEVELOPMENT]],Data[],7,FALSE)</f>
        <v>1302</v>
      </c>
      <c r="J82">
        <f>VLOOKUP(all[[#This Row],[DEVELOPMENT]],Data[],25,FALSE)</f>
        <v>0</v>
      </c>
      <c r="K82">
        <f>VLOOKUP(all[[#This Row],[DEVELOPMENT]],Data[],5,FALSE)</f>
        <v>11</v>
      </c>
      <c r="L82">
        <f>VLOOKUP(all[[#This Row],[DEVELOPMENT]],Data[],27,FALSE)</f>
        <v>11</v>
      </c>
      <c r="M82">
        <f>VLOOKUP(all[[#This Row],[DEVELOPMENT]],Data[],31,FALSE)</f>
        <v>11</v>
      </c>
      <c r="N82">
        <f>VLOOKUP(all[[#This Row],[DEVELOPMENT]],Data[],26,FALSE)</f>
        <v>0</v>
      </c>
      <c r="O82">
        <f>VLOOKUP(all[[#This Row],[DEVELOPMENT]],Data[],30,FALSE)</f>
        <v>0</v>
      </c>
      <c r="P82">
        <f>VLOOKUP(all[[#This Row],[DEVELOPMENT]],Data[],28,FALSE)</f>
        <v>0</v>
      </c>
      <c r="Q82">
        <f>IF(all[[#This Row],['# Bulk Crushers]]=0,1,0)</f>
        <v>1</v>
      </c>
      <c r="R82" s="5">
        <f>IFERROR(INDEX(FWD[],MATCH($B82,FWD[DEVELOPMENT],0),MATCH("ESTIMATE",FWD[#Headers],0)),0)</f>
        <v>0</v>
      </c>
      <c r="S82" s="5">
        <f>IFERROR(INDEX(EHD[],MATCH($B82,EHD[DEVELOPMENT],0),MATCH("ESTIMATE",EHD[#Headers],0)),0)</f>
        <v>81792.078500000003</v>
      </c>
      <c r="T82" s="5">
        <f ca="1">IFERROR(INDEX(IntComp[],MATCH($B82,IntComp[DEVELOPMENT],0),MATCH("ESTIMATE",IntComp[#Headers],0)),0)</f>
        <v>810187.33949999989</v>
      </c>
      <c r="U82" s="5">
        <f>IFERROR(INDEX(Yards[],MATCH($B82,Yards[DEVELOPMENT],0),MATCH("ESTIMATE",Yards[#Headers],0)),0)</f>
        <v>1159792.78</v>
      </c>
      <c r="V82" s="128">
        <f ca="1">SUM(R82:U82)</f>
        <v>2051772.1979999999</v>
      </c>
      <c r="W82" s="5"/>
    </row>
    <row r="83" spans="1:23" x14ac:dyDescent="0.25">
      <c r="A83" s="131">
        <f>VLOOKUP(B83,Data[],24,FALSE)</f>
        <v>582</v>
      </c>
      <c r="B83" t="s">
        <v>76</v>
      </c>
      <c r="C83" t="str">
        <f>VLOOKUP(B83,Data[],2,FALSE)</f>
        <v>MANHATTAN</v>
      </c>
      <c r="D83" t="str">
        <f>VLOOKUP(all[[#This Row],[DEVELOPMENT]],Data[],3,FALSE)</f>
        <v>DOUGLASS</v>
      </c>
      <c r="E83" t="str">
        <f>VLOOKUP(B83,Data[],8,FALSE)</f>
        <v>Zone 3</v>
      </c>
      <c r="F83" t="str">
        <f>VLOOKUP(B83,Data[],9,FALSE)</f>
        <v>$$$</v>
      </c>
      <c r="G83" t="str">
        <f>IFERROR(VLOOKUP(B83,Data[],4,FALSE),"")</f>
        <v/>
      </c>
      <c r="H83" t="str">
        <f ca="1">IF(G83="","",IF((G83-YEAR(TODAY()))&lt;=5,"Yes",""))</f>
        <v/>
      </c>
      <c r="I83">
        <f>VLOOKUP(all[[#This Row],[DEVELOPMENT]],Data[],7,FALSE)</f>
        <v>752</v>
      </c>
      <c r="J83">
        <f>VLOOKUP(all[[#This Row],[DEVELOPMENT]],Data[],25,FALSE)</f>
        <v>0</v>
      </c>
      <c r="K83">
        <f>VLOOKUP(all[[#This Row],[DEVELOPMENT]],Data[],5,FALSE)</f>
        <v>6</v>
      </c>
      <c r="L83">
        <f>VLOOKUP(all[[#This Row],[DEVELOPMENT]],Data[],27,FALSE)</f>
        <v>6</v>
      </c>
      <c r="M83">
        <f>VLOOKUP(all[[#This Row],[DEVELOPMENT]],Data[],31,FALSE)</f>
        <v>6</v>
      </c>
      <c r="N83">
        <f>VLOOKUP(all[[#This Row],[DEVELOPMENT]],Data[],26,FALSE)</f>
        <v>0</v>
      </c>
      <c r="O83">
        <f>VLOOKUP(all[[#This Row],[DEVELOPMENT]],Data[],30,FALSE)</f>
        <v>0</v>
      </c>
      <c r="P83">
        <f>VLOOKUP(all[[#This Row],[DEVELOPMENT]],Data[],28,FALSE)</f>
        <v>0</v>
      </c>
      <c r="Q83">
        <f>IF(all[[#This Row],['# Bulk Crushers]]=0,1,0)</f>
        <v>1</v>
      </c>
      <c r="R83" s="5">
        <f>IFERROR(INDEX(FWD[],MATCH($B83,FWD[DEVELOPMENT],0),MATCH("ESTIMATE",FWD[#Headers],0)),0)</f>
        <v>0</v>
      </c>
      <c r="S83" s="5">
        <f>IFERROR(INDEX(EHD[],MATCH($B83,EHD[DEVELOPMENT],0),MATCH("ESTIMATE",EHD[#Headers],0)),0)</f>
        <v>44613.861000000004</v>
      </c>
      <c r="T83" s="5">
        <f ca="1">IFERROR(INDEX(IntComp[],MATCH($B83,IntComp[DEVELOPMENT],0),MATCH("ESTIMATE",IntComp[#Headers],0)),0)</f>
        <v>441920.36699999991</v>
      </c>
      <c r="U83" s="5">
        <f>IFERROR(INDEX(Yards[],MATCH($B83,Yards[DEVELOPMENT],0),MATCH("ESTIMATE",Yards[#Headers],0)),0)</f>
        <v>1159792.78</v>
      </c>
      <c r="V83" s="128">
        <f ca="1">SUM(R83:U83)</f>
        <v>1646327.0079999999</v>
      </c>
      <c r="W83" s="5"/>
    </row>
    <row r="84" spans="1:23" x14ac:dyDescent="0.25">
      <c r="A84" s="131">
        <f>VLOOKUP(B84,Data[],24,FALSE)</f>
        <v>111</v>
      </c>
      <c r="B84" t="s">
        <v>77</v>
      </c>
      <c r="C84" t="str">
        <f>VLOOKUP(B84,Data[],2,FALSE)</f>
        <v>MANHATTAN</v>
      </c>
      <c r="D84" t="str">
        <f>VLOOKUP(all[[#This Row],[DEVELOPMENT]],Data[],3,FALSE)</f>
        <v>DREW-HAMILTON</v>
      </c>
      <c r="E84" t="str">
        <f>VLOOKUP(B84,Data[],8,FALSE)</f>
        <v>Zone 2</v>
      </c>
      <c r="F84" t="str">
        <f>VLOOKUP(B84,Data[],9,FALSE)</f>
        <v>$</v>
      </c>
      <c r="G84" t="str">
        <f>IFERROR(VLOOKUP(B84,Data[],4,FALSE),"")</f>
        <v/>
      </c>
      <c r="H84" t="str">
        <f ca="1">IF(G84="","",IF((G84-YEAR(TODAY()))&lt;=5,"Yes",""))</f>
        <v/>
      </c>
      <c r="I84">
        <f>VLOOKUP(all[[#This Row],[DEVELOPMENT]],Data[],7,FALSE)</f>
        <v>1211</v>
      </c>
      <c r="J84">
        <f>VLOOKUP(all[[#This Row],[DEVELOPMENT]],Data[],25,FALSE)</f>
        <v>0</v>
      </c>
      <c r="K84">
        <f>VLOOKUP(all[[#This Row],[DEVELOPMENT]],Data[],5,FALSE)</f>
        <v>5</v>
      </c>
      <c r="L84">
        <f>VLOOKUP(all[[#This Row],[DEVELOPMENT]],Data[],27,FALSE)</f>
        <v>5</v>
      </c>
      <c r="M84">
        <f>VLOOKUP(all[[#This Row],[DEVELOPMENT]],Data[],31,FALSE)</f>
        <v>5</v>
      </c>
      <c r="N84">
        <f>VLOOKUP(all[[#This Row],[DEVELOPMENT]],Data[],26,FALSE)</f>
        <v>2</v>
      </c>
      <c r="O84">
        <f>VLOOKUP(all[[#This Row],[DEVELOPMENT]],Data[],30,FALSE)</f>
        <v>2</v>
      </c>
      <c r="P84">
        <f>VLOOKUP(all[[#This Row],[DEVELOPMENT]],Data[],28,FALSE)</f>
        <v>0</v>
      </c>
      <c r="Q84">
        <f>IF(all[[#This Row],['# Bulk Crushers]]=0,1,0)</f>
        <v>1</v>
      </c>
      <c r="R84" s="5">
        <f>IFERROR(INDEX(FWD[],MATCH($B84,FWD[DEVELOPMENT],0),MATCH("ESTIMATE",FWD[#Headers],0)),0)</f>
        <v>0</v>
      </c>
      <c r="S84" s="5">
        <f>IFERROR(INDEX(EHD[],MATCH($B84,EHD[DEVELOPMENT],0),MATCH("ESTIMATE",EHD[#Headers],0)),0)</f>
        <v>37178.217499999999</v>
      </c>
      <c r="T84" s="5">
        <f ca="1">IFERROR(INDEX(IntComp[],MATCH($B84,IntComp[DEVELOPMENT],0),MATCH("ESTIMATE",IntComp[#Headers],0)),0)</f>
        <v>368266.97249999997</v>
      </c>
      <c r="U84" s="5">
        <f ca="1">IFERROR(INDEX(Yards[],MATCH($B84,Yards[DEVELOPMENT],0),MATCH("ESTIMATE",Yards[#Headers],0)),0)</f>
        <v>1591050.0199999998</v>
      </c>
      <c r="V84" s="128">
        <f ca="1">SUM(R84:U84)</f>
        <v>1996495.2099999997</v>
      </c>
      <c r="W84" s="5"/>
    </row>
    <row r="85" spans="1:23" x14ac:dyDescent="0.25">
      <c r="A85" s="131">
        <f>VLOOKUP(B85,Data[],24,FALSE)</f>
        <v>41</v>
      </c>
      <c r="B85" t="s">
        <v>209</v>
      </c>
      <c r="C85" t="str">
        <f>VLOOKUP(B85,Data[],2,FALSE)</f>
        <v>MANHATTAN</v>
      </c>
      <c r="D85" t="str">
        <f>VLOOKUP(all[[#This Row],[DEVELOPMENT]],Data[],3,FALSE)</f>
        <v>DYCKMAN</v>
      </c>
      <c r="E85">
        <f>VLOOKUP(B85,Data[],8,FALSE)</f>
        <v>0</v>
      </c>
      <c r="F85">
        <f>VLOOKUP(B85,Data[],9,FALSE)</f>
        <v>0</v>
      </c>
      <c r="G85" t="str">
        <f>IFERROR(VLOOKUP(B85,Data[],4,FALSE),"")</f>
        <v/>
      </c>
      <c r="H85" t="str">
        <f ca="1">IF(G85="","",IF((G85-YEAR(TODAY()))&lt;=5,"Yes",""))</f>
        <v/>
      </c>
      <c r="I85">
        <f>VLOOKUP(all[[#This Row],[DEVELOPMENT]],Data[],7,FALSE)</f>
        <v>1167</v>
      </c>
      <c r="J85">
        <f>VLOOKUP(all[[#This Row],[DEVELOPMENT]],Data[],25,FALSE)</f>
        <v>0</v>
      </c>
      <c r="K85">
        <f>VLOOKUP(all[[#This Row],[DEVELOPMENT]],Data[],5,FALSE)</f>
        <v>7</v>
      </c>
      <c r="L85">
        <f>VLOOKUP(all[[#This Row],[DEVELOPMENT]],Data[],27,FALSE)</f>
        <v>14</v>
      </c>
      <c r="M85">
        <f>VLOOKUP(all[[#This Row],[DEVELOPMENT]],Data[],31,FALSE)</f>
        <v>14</v>
      </c>
      <c r="N85">
        <f>VLOOKUP(all[[#This Row],[DEVELOPMENT]],Data[],26,FALSE)</f>
        <v>2</v>
      </c>
      <c r="O85">
        <f>VLOOKUP(all[[#This Row],[DEVELOPMENT]],Data[],30,FALSE)</f>
        <v>0</v>
      </c>
      <c r="P85">
        <f>VLOOKUP(all[[#This Row],[DEVELOPMENT]],Data[],28,FALSE)</f>
        <v>0</v>
      </c>
      <c r="Q85">
        <f>IF(all[[#This Row],['# Bulk Crushers]]=0,1,0)</f>
        <v>1</v>
      </c>
      <c r="R85" s="5">
        <f>IFERROR(INDEX(FWD[],MATCH($B85,FWD[DEVELOPMENT],0),MATCH("ESTIMATE",FWD[#Headers],0)),0)</f>
        <v>0</v>
      </c>
      <c r="S85" s="5">
        <f>IFERROR(INDEX(EHD[],MATCH($B85,EHD[DEVELOPMENT],0),MATCH("ESTIMATE",EHD[#Headers],0)),0)</f>
        <v>104099.00900000001</v>
      </c>
      <c r="T85" s="5">
        <f ca="1">IFERROR(INDEX(IntComp[],MATCH($B85,IntComp[DEVELOPMENT],0),MATCH("ESTIMATE",IntComp[#Headers],0)),0)</f>
        <v>1031147.5229999998</v>
      </c>
      <c r="U85" s="5">
        <f>IFERROR(INDEX(Yards[],MATCH($B85,Yards[DEVELOPMENT],0),MATCH("ESTIMATE",Yards[#Headers],0)),0)</f>
        <v>1159792.78</v>
      </c>
      <c r="V85" s="128">
        <f ca="1">SUM(R85:U85)</f>
        <v>2295039.3119999999</v>
      </c>
      <c r="W85" s="5"/>
    </row>
    <row r="86" spans="1:23" x14ac:dyDescent="0.25">
      <c r="A86" s="131">
        <f>VLOOKUP(B86,Data[],24,FALSE)</f>
        <v>224</v>
      </c>
      <c r="B86" t="s">
        <v>210</v>
      </c>
      <c r="C86" t="str">
        <f>VLOOKUP(B86,Data[],2,FALSE)</f>
        <v>BRONX</v>
      </c>
      <c r="D86" t="str">
        <f>VLOOKUP(all[[#This Row],[DEVELOPMENT]],Data[],3,FALSE)</f>
        <v>FOREST</v>
      </c>
      <c r="E86">
        <f>VLOOKUP(B86,Data[],8,FALSE)</f>
        <v>0</v>
      </c>
      <c r="F86">
        <f>VLOOKUP(B86,Data[],9,FALSE)</f>
        <v>0</v>
      </c>
      <c r="G86" t="str">
        <f>IFERROR(VLOOKUP(B86,Data[],4,FALSE),"")</f>
        <v/>
      </c>
      <c r="H86" t="str">
        <f ca="1">IF(G86="","",IF((G86-YEAR(TODAY()))&lt;=5,"Yes",""))</f>
        <v/>
      </c>
      <c r="I86">
        <f>VLOOKUP(all[[#This Row],[DEVELOPMENT]],Data[],7,FALSE)</f>
        <v>65</v>
      </c>
      <c r="J86">
        <f>VLOOKUP(all[[#This Row],[DEVELOPMENT]],Data[],25,FALSE)</f>
        <v>0</v>
      </c>
      <c r="K86">
        <f>VLOOKUP(all[[#This Row],[DEVELOPMENT]],Data[],5,FALSE)</f>
        <v>1</v>
      </c>
      <c r="L86">
        <f>VLOOKUP(all[[#This Row],[DEVELOPMENT]],Data[],27,FALSE)</f>
        <v>1</v>
      </c>
      <c r="M86">
        <f>VLOOKUP(all[[#This Row],[DEVELOPMENT]],Data[],31,FALSE)</f>
        <v>1</v>
      </c>
      <c r="N86">
        <f>VLOOKUP(all[[#This Row],[DEVELOPMENT]],Data[],26,FALSE)</f>
        <v>0</v>
      </c>
      <c r="O86">
        <f>VLOOKUP(all[[#This Row],[DEVELOPMENT]],Data[],30,FALSE)</f>
        <v>0</v>
      </c>
      <c r="P86">
        <f>VLOOKUP(all[[#This Row],[DEVELOPMENT]],Data[],28,FALSE)</f>
        <v>0</v>
      </c>
      <c r="Q86">
        <f>IF(all[[#This Row],['# Bulk Crushers]]=0,1,0)</f>
        <v>1</v>
      </c>
      <c r="R86" s="5">
        <f>IFERROR(INDEX(FWD[],MATCH($B86,FWD[DEVELOPMENT],0),MATCH("ESTIMATE",FWD[#Headers],0)),0)</f>
        <v>0</v>
      </c>
      <c r="S86" s="5">
        <f>IFERROR(INDEX(EHD[],MATCH($B86,EHD[DEVELOPMENT],0),MATCH("ESTIMATE",EHD[#Headers],0)),0)</f>
        <v>7435.6435000000001</v>
      </c>
      <c r="T86" s="5">
        <f ca="1">IFERROR(INDEX(IntComp[],MATCH($B86,IntComp[DEVELOPMENT],0),MATCH("ESTIMATE",IntComp[#Headers],0)),0)</f>
        <v>73653.394499999995</v>
      </c>
      <c r="U86" s="5">
        <f>IFERROR(INDEX(Yards[],MATCH($B86,Yards[DEVELOPMENT],0),MATCH("ESTIMATE",Yards[#Headers],0)),0)</f>
        <v>1159792.78</v>
      </c>
      <c r="V86" s="128">
        <f ca="1">SUM(R86:U86)</f>
        <v>1240881.818</v>
      </c>
      <c r="W86" s="5"/>
    </row>
    <row r="87" spans="1:23" x14ac:dyDescent="0.25">
      <c r="A87" s="131">
        <f>VLOOKUP(B87,Data[],24,FALSE)</f>
        <v>237</v>
      </c>
      <c r="B87" t="s">
        <v>211</v>
      </c>
      <c r="C87" t="str">
        <f>VLOOKUP(B87,Data[],2,FALSE)</f>
        <v>BRONX</v>
      </c>
      <c r="D87" t="str">
        <f>VLOOKUP(all[[#This Row],[DEVELOPMENT]],Data[],3,FALSE)</f>
        <v>MELROSE</v>
      </c>
      <c r="E87">
        <f>VLOOKUP(B87,Data[],8,FALSE)</f>
        <v>0</v>
      </c>
      <c r="F87">
        <f>VLOOKUP(B87,Data[],9,FALSE)</f>
        <v>0</v>
      </c>
      <c r="G87">
        <f>IFERROR(VLOOKUP(B87,Data[],4,FALSE),"")</f>
        <v>2023</v>
      </c>
      <c r="H87" t="str">
        <f ca="1">IF(G87="","",IF((G87-YEAR(TODAY()))&lt;=5,"Yes",""))</f>
        <v>Yes</v>
      </c>
      <c r="I87">
        <f>VLOOKUP(all[[#This Row],[DEVELOPMENT]],Data[],7,FALSE)</f>
        <v>221</v>
      </c>
      <c r="J87">
        <f>VLOOKUP(all[[#This Row],[DEVELOPMENT]],Data[],25,FALSE)</f>
        <v>0</v>
      </c>
      <c r="K87">
        <f>VLOOKUP(all[[#This Row],[DEVELOPMENT]],Data[],5,FALSE)</f>
        <v>2</v>
      </c>
      <c r="L87">
        <f>VLOOKUP(all[[#This Row],[DEVELOPMENT]],Data[],27,FALSE)</f>
        <v>2</v>
      </c>
      <c r="M87">
        <f>VLOOKUP(all[[#This Row],[DEVELOPMENT]],Data[],31,FALSE)</f>
        <v>2</v>
      </c>
      <c r="N87">
        <f>VLOOKUP(all[[#This Row],[DEVELOPMENT]],Data[],26,FALSE)</f>
        <v>1</v>
      </c>
      <c r="O87">
        <f>VLOOKUP(all[[#This Row],[DEVELOPMENT]],Data[],30,FALSE)</f>
        <v>1</v>
      </c>
      <c r="P87">
        <f>VLOOKUP(all[[#This Row],[DEVELOPMENT]],Data[],28,FALSE)</f>
        <v>0</v>
      </c>
      <c r="Q87">
        <f>IF(all[[#This Row],['# Bulk Crushers]]=0,1,0)</f>
        <v>1</v>
      </c>
      <c r="R87" s="5">
        <f>IFERROR(INDEX(FWD[],MATCH($B87,FWD[DEVELOPMENT],0),MATCH("ESTIMATE",FWD[#Headers],0)),0)</f>
        <v>0</v>
      </c>
      <c r="S87" s="5">
        <f>IFERROR(INDEX(EHD[],MATCH($B87,EHD[DEVELOPMENT],0),MATCH("ESTIMATE",EHD[#Headers],0)),0)</f>
        <v>14871.287</v>
      </c>
      <c r="T87" s="5">
        <f ca="1">IFERROR(INDEX(IntComp[],MATCH($B87,IntComp[DEVELOPMENT],0),MATCH("ESTIMATE",IntComp[#Headers],0)),0)</f>
        <v>0</v>
      </c>
      <c r="U87" s="5">
        <f>IFERROR(INDEX(Yards[],MATCH($B87,Yards[DEVELOPMENT],0),MATCH("ESTIMATE",Yards[#Headers],0)),0)</f>
        <v>0</v>
      </c>
      <c r="V87" s="128">
        <f ca="1">SUM(R87:U87)</f>
        <v>14871.287</v>
      </c>
      <c r="W87" s="5"/>
    </row>
    <row r="88" spans="1:23" x14ac:dyDescent="0.25">
      <c r="A88" s="131">
        <f>VLOOKUP(B88,Data[],24,FALSE)</f>
        <v>304</v>
      </c>
      <c r="B88" t="s">
        <v>212</v>
      </c>
      <c r="C88" t="str">
        <f>VLOOKUP(B88,Data[],2,FALSE)</f>
        <v>BRONX</v>
      </c>
      <c r="D88" t="str">
        <f>VLOOKUP(all[[#This Row],[DEVELOPMENT]],Data[],3,FALSE)</f>
        <v>BUILDING MANAGEMENT ASSOCIATES (PRIVATE - BX 1)</v>
      </c>
      <c r="E88" t="str">
        <f>VLOOKUP(B88,Data[],8,FALSE)</f>
        <v>Zone 4</v>
      </c>
      <c r="F88">
        <f>VLOOKUP(B88,Data[],9,FALSE)</f>
        <v>0</v>
      </c>
      <c r="G88" t="str">
        <f>IFERROR(VLOOKUP(B88,Data[],4,FALSE),"")</f>
        <v/>
      </c>
      <c r="H88" t="str">
        <f ca="1">IF(G88="","",IF((G88-YEAR(TODAY()))&lt;=5,"Yes",""))</f>
        <v/>
      </c>
      <c r="I88">
        <f>VLOOKUP(all[[#This Row],[DEVELOPMENT]],Data[],7,FALSE)</f>
        <v>111</v>
      </c>
      <c r="J88">
        <f>VLOOKUP(all[[#This Row],[DEVELOPMENT]],Data[],25,FALSE)</f>
        <v>0</v>
      </c>
      <c r="K88">
        <f>VLOOKUP(all[[#This Row],[DEVELOPMENT]],Data[],5,FALSE)</f>
        <v>5</v>
      </c>
      <c r="L88">
        <f>VLOOKUP(all[[#This Row],[DEVELOPMENT]],Data[],27,FALSE)</f>
        <v>0</v>
      </c>
      <c r="M88">
        <f>VLOOKUP(all[[#This Row],[DEVELOPMENT]],Data[],31,FALSE)</f>
        <v>0</v>
      </c>
      <c r="N88">
        <f>VLOOKUP(all[[#This Row],[DEVELOPMENT]],Data[],26,FALSE)</f>
        <v>0</v>
      </c>
      <c r="O88">
        <f>VLOOKUP(all[[#This Row],[DEVELOPMENT]],Data[],30,FALSE)</f>
        <v>0</v>
      </c>
      <c r="P88">
        <f>VLOOKUP(all[[#This Row],[DEVELOPMENT]],Data[],28,FALSE)</f>
        <v>0</v>
      </c>
      <c r="Q88">
        <f>IF(all[[#This Row],['# Bulk Crushers]]=0,1,0)</f>
        <v>1</v>
      </c>
      <c r="R88" s="5">
        <f>IFERROR(INDEX(FWD[],MATCH($B88,FWD[DEVELOPMENT],0),MATCH("ESTIMATE",FWD[#Headers],0)),0)</f>
        <v>0</v>
      </c>
      <c r="S88" s="5">
        <f>IFERROR(INDEX(EHD[],MATCH($B88,EHD[DEVELOPMENT],0),MATCH("ESTIMATE",EHD[#Headers],0)),0)</f>
        <v>0</v>
      </c>
      <c r="T88" s="5">
        <f ca="1">IFERROR(INDEX(IntComp[],MATCH($B88,IntComp[DEVELOPMENT],0),MATCH("ESTIMATE",IntComp[#Headers],0)),0)</f>
        <v>0</v>
      </c>
      <c r="U88" s="5">
        <f>IFERROR(INDEX(Yards[],MATCH($B88,Yards[DEVELOPMENT],0),MATCH("ESTIMATE",Yards[#Headers],0)),0)</f>
        <v>1159792.78</v>
      </c>
      <c r="V88" s="128">
        <f ca="1">SUM(R88:U88)</f>
        <v>1159792.78</v>
      </c>
      <c r="W88" s="5"/>
    </row>
    <row r="89" spans="1:23" x14ac:dyDescent="0.25">
      <c r="A89" s="131">
        <f>VLOOKUP(B89,Data[],24,FALSE)</f>
        <v>338</v>
      </c>
      <c r="B89" t="s">
        <v>213</v>
      </c>
      <c r="C89" t="str">
        <f>VLOOKUP(B89,Data[],2,FALSE)</f>
        <v>BRONX</v>
      </c>
      <c r="D89" t="str">
        <f>VLOOKUP(all[[#This Row],[DEVELOPMENT]],Data[],3,FALSE)</f>
        <v>BUILDING MANAGEMENT ASSOCIATES (PRIVATE - BX 1)</v>
      </c>
      <c r="E89" t="str">
        <f>VLOOKUP(B89,Data[],8,FALSE)</f>
        <v>Zone 4</v>
      </c>
      <c r="F89">
        <f>VLOOKUP(B89,Data[],9,FALSE)</f>
        <v>0</v>
      </c>
      <c r="G89" t="str">
        <f>IFERROR(VLOOKUP(B89,Data[],4,FALSE),"")</f>
        <v/>
      </c>
      <c r="H89" t="str">
        <f ca="1">IF(G89="","",IF((G89-YEAR(TODAY()))&lt;=5,"Yes",""))</f>
        <v/>
      </c>
      <c r="I89">
        <f>VLOOKUP(all[[#This Row],[DEVELOPMENT]],Data[],7,FALSE)</f>
        <v>168</v>
      </c>
      <c r="J89">
        <f>VLOOKUP(all[[#This Row],[DEVELOPMENT]],Data[],25,FALSE)</f>
        <v>0</v>
      </c>
      <c r="K89">
        <f>VLOOKUP(all[[#This Row],[DEVELOPMENT]],Data[],5,FALSE)</f>
        <v>7</v>
      </c>
      <c r="L89">
        <f>VLOOKUP(all[[#This Row],[DEVELOPMENT]],Data[],27,FALSE)</f>
        <v>0</v>
      </c>
      <c r="M89">
        <f>VLOOKUP(all[[#This Row],[DEVELOPMENT]],Data[],31,FALSE)</f>
        <v>0</v>
      </c>
      <c r="N89">
        <f>VLOOKUP(all[[#This Row],[DEVELOPMENT]],Data[],26,FALSE)</f>
        <v>0</v>
      </c>
      <c r="O89">
        <f>VLOOKUP(all[[#This Row],[DEVELOPMENT]],Data[],30,FALSE)</f>
        <v>0</v>
      </c>
      <c r="P89">
        <f>VLOOKUP(all[[#This Row],[DEVELOPMENT]],Data[],28,FALSE)</f>
        <v>0</v>
      </c>
      <c r="Q89">
        <f>IF(all[[#This Row],['# Bulk Crushers]]=0,1,0)</f>
        <v>1</v>
      </c>
      <c r="R89" s="5">
        <f>IFERROR(INDEX(FWD[],MATCH($B89,FWD[DEVELOPMENT],0),MATCH("ESTIMATE",FWD[#Headers],0)),0)</f>
        <v>0</v>
      </c>
      <c r="S89" s="5">
        <f>IFERROR(INDEX(EHD[],MATCH($B89,EHD[DEVELOPMENT],0),MATCH("ESTIMATE",EHD[#Headers],0)),0)</f>
        <v>0</v>
      </c>
      <c r="T89" s="5">
        <f ca="1">IFERROR(INDEX(IntComp[],MATCH($B89,IntComp[DEVELOPMENT],0),MATCH("ESTIMATE",IntComp[#Headers],0)),0)</f>
        <v>0</v>
      </c>
      <c r="U89" s="5">
        <f>IFERROR(INDEX(Yards[],MATCH($B89,Yards[DEVELOPMENT],0),MATCH("ESTIMATE",Yards[#Headers],0)),0)</f>
        <v>0</v>
      </c>
      <c r="V89" s="128">
        <f ca="1">SUM(R89:U89)</f>
        <v>0</v>
      </c>
      <c r="W89" s="5"/>
    </row>
    <row r="90" spans="1:23" x14ac:dyDescent="0.25">
      <c r="A90" s="131">
        <f>VLOOKUP(B90,Data[],24,FALSE)</f>
        <v>208</v>
      </c>
      <c r="B90" t="s">
        <v>121</v>
      </c>
      <c r="C90" t="str">
        <f>VLOOKUP(B90,Data[],2,FALSE)</f>
        <v>BRONX</v>
      </c>
      <c r="D90" t="str">
        <f>VLOOKUP(all[[#This Row],[DEVELOPMENT]],Data[],3,FALSE)</f>
        <v>TWIN PARKS CONSOLIDATED</v>
      </c>
      <c r="E90" t="str">
        <f>VLOOKUP(B90,Data[],8,FALSE)</f>
        <v>Zone 1</v>
      </c>
      <c r="F90" t="str">
        <f>VLOOKUP(B90,Data[],9,FALSE)</f>
        <v>$$</v>
      </c>
      <c r="G90" t="str">
        <f>IFERROR(VLOOKUP(B90,Data[],4,FALSE),"")</f>
        <v/>
      </c>
      <c r="H90" t="str">
        <f ca="1">IF(G90="","",IF((G90-YEAR(TODAY()))&lt;=5,"Yes",""))</f>
        <v/>
      </c>
      <c r="I90">
        <f>VLOOKUP(all[[#This Row],[DEVELOPMENT]],Data[],7,FALSE)</f>
        <v>239</v>
      </c>
      <c r="J90">
        <f>VLOOKUP(all[[#This Row],[DEVELOPMENT]],Data[],25,FALSE)</f>
        <v>0</v>
      </c>
      <c r="K90">
        <f>VLOOKUP(all[[#This Row],[DEVELOPMENT]],Data[],5,FALSE)</f>
        <v>1</v>
      </c>
      <c r="L90">
        <f>VLOOKUP(all[[#This Row],[DEVELOPMENT]],Data[],27,FALSE)</f>
        <v>2</v>
      </c>
      <c r="M90">
        <f>VLOOKUP(all[[#This Row],[DEVELOPMENT]],Data[],31,FALSE)</f>
        <v>2</v>
      </c>
      <c r="N90">
        <f>VLOOKUP(all[[#This Row],[DEVELOPMENT]],Data[],26,FALSE)</f>
        <v>1</v>
      </c>
      <c r="O90">
        <f>VLOOKUP(all[[#This Row],[DEVELOPMENT]],Data[],30,FALSE)</f>
        <v>1</v>
      </c>
      <c r="P90">
        <f>VLOOKUP(all[[#This Row],[DEVELOPMENT]],Data[],28,FALSE)</f>
        <v>0</v>
      </c>
      <c r="Q90">
        <f>IF(all[[#This Row],['# Bulk Crushers]]=0,1,0)</f>
        <v>1</v>
      </c>
      <c r="R90" s="5">
        <f>IFERROR(INDEX(FWD[],MATCH($B90,FWD[DEVELOPMENT],0),MATCH("ESTIMATE",FWD[#Headers],0)),0)</f>
        <v>0</v>
      </c>
      <c r="S90" s="5">
        <f>IFERROR(INDEX(EHD[],MATCH($B90,EHD[DEVELOPMENT],0),MATCH("ESTIMATE",EHD[#Headers],0)),0)</f>
        <v>14871.287</v>
      </c>
      <c r="T90" s="5">
        <f ca="1">IFERROR(INDEX(IntComp[],MATCH($B90,IntComp[DEVELOPMENT],0),MATCH("ESTIMATE",IntComp[#Headers],0)),0)</f>
        <v>147306.78899999999</v>
      </c>
      <c r="U90" s="5">
        <f ca="1">IFERROR(INDEX(Yards[],MATCH($B90,Yards[DEVELOPMENT],0),MATCH("ESTIMATE",Yards[#Headers],0)),0)</f>
        <v>1159792.78</v>
      </c>
      <c r="V90" s="128">
        <f ca="1">SUM(R90:U90)</f>
        <v>1321970.8560000001</v>
      </c>
      <c r="W90" s="5"/>
    </row>
    <row r="91" spans="1:23" x14ac:dyDescent="0.25">
      <c r="A91" s="131">
        <f>VLOOKUP(B91,Data[],24,FALSE)</f>
        <v>263</v>
      </c>
      <c r="B91" t="s">
        <v>214</v>
      </c>
      <c r="C91" t="str">
        <f>VLOOKUP(B91,Data[],2,FALSE)</f>
        <v>BROOKLYN</v>
      </c>
      <c r="D91" t="str">
        <f>VLOOKUP(all[[#This Row],[DEVELOPMENT]],Data[],3,FALSE)</f>
        <v>CYPRESS HILLS</v>
      </c>
      <c r="E91">
        <f>VLOOKUP(B91,Data[],8,FALSE)</f>
        <v>0</v>
      </c>
      <c r="F91">
        <f>VLOOKUP(B91,Data[],9,FALSE)</f>
        <v>0</v>
      </c>
      <c r="G91">
        <f>IFERROR(VLOOKUP(B91,Data[],4,FALSE),"")</f>
        <v>2023</v>
      </c>
      <c r="H91" t="str">
        <f ca="1">IF(G91="","",IF((G91-YEAR(TODAY()))&lt;=5,"Yes",""))</f>
        <v>Yes</v>
      </c>
      <c r="I91">
        <f>VLOOKUP(all[[#This Row],[DEVELOPMENT]],Data[],7,FALSE)</f>
        <v>66</v>
      </c>
      <c r="J91">
        <f>VLOOKUP(all[[#This Row],[DEVELOPMENT]],Data[],25,FALSE)</f>
        <v>0</v>
      </c>
      <c r="K91">
        <f>VLOOKUP(all[[#This Row],[DEVELOPMENT]],Data[],5,FALSE)</f>
        <v>33</v>
      </c>
      <c r="L91">
        <f>VLOOKUP(all[[#This Row],[DEVELOPMENT]],Data[],27,FALSE)</f>
        <v>0</v>
      </c>
      <c r="M91">
        <f>VLOOKUP(all[[#This Row],[DEVELOPMENT]],Data[],31,FALSE)</f>
        <v>0</v>
      </c>
      <c r="N91">
        <f>VLOOKUP(all[[#This Row],[DEVELOPMENT]],Data[],26,FALSE)</f>
        <v>0</v>
      </c>
      <c r="O91">
        <f>VLOOKUP(all[[#This Row],[DEVELOPMENT]],Data[],30,FALSE)</f>
        <v>0</v>
      </c>
      <c r="P91">
        <f>VLOOKUP(all[[#This Row],[DEVELOPMENT]],Data[],28,FALSE)</f>
        <v>0</v>
      </c>
      <c r="Q91">
        <f>IF(all[[#This Row],['# Bulk Crushers]]=0,1,0)</f>
        <v>1</v>
      </c>
      <c r="R91" s="5">
        <f>IFERROR(INDEX(FWD[],MATCH($B91,FWD[DEVELOPMENT],0),MATCH("ESTIMATE",FWD[#Headers],0)),0)</f>
        <v>0</v>
      </c>
      <c r="S91" s="5">
        <f>IFERROR(INDEX(EHD[],MATCH($B91,EHD[DEVELOPMENT],0),MATCH("ESTIMATE",EHD[#Headers],0)),0)</f>
        <v>0</v>
      </c>
      <c r="T91" s="5">
        <f ca="1">IFERROR(INDEX(IntComp[],MATCH($B91,IntComp[DEVELOPMENT],0),MATCH("ESTIMATE",IntComp[#Headers],0)),0)</f>
        <v>0</v>
      </c>
      <c r="U91" s="5">
        <f>IFERROR(INDEX(Yards[],MATCH($B91,Yards[DEVELOPMENT],0),MATCH("ESTIMATE",Yards[#Headers],0)),0)</f>
        <v>0</v>
      </c>
      <c r="V91" s="128">
        <f ca="1">SUM(R91:U91)</f>
        <v>0</v>
      </c>
      <c r="W91" s="5"/>
    </row>
    <row r="92" spans="1:23" x14ac:dyDescent="0.25">
      <c r="A92" s="131">
        <f>VLOOKUP(B92,Data[],24,FALSE)</f>
        <v>9</v>
      </c>
      <c r="B92" t="s">
        <v>78</v>
      </c>
      <c r="C92" t="str">
        <f>VLOOKUP(B92,Data[],2,FALSE)</f>
        <v>MANHATTAN</v>
      </c>
      <c r="D92" t="str">
        <f>VLOOKUP(all[[#This Row],[DEVELOPMENT]],Data[],3,FALSE)</f>
        <v>EAST RIVER</v>
      </c>
      <c r="E92" t="str">
        <f>VLOOKUP(B92,Data[],8,FALSE)</f>
        <v>Zone 2</v>
      </c>
      <c r="F92" t="str">
        <f>VLOOKUP(B92,Data[],9,FALSE)</f>
        <v>$</v>
      </c>
      <c r="G92">
        <f>IFERROR(VLOOKUP(B92,Data[],4,FALSE),"")</f>
        <v>2024</v>
      </c>
      <c r="H92" t="str">
        <f ca="1">IF(G92="","",IF((G92-YEAR(TODAY()))&lt;=5,"Yes",""))</f>
        <v>Yes</v>
      </c>
      <c r="I92">
        <f>VLOOKUP(all[[#This Row],[DEVELOPMENT]],Data[],7,FALSE)</f>
        <v>1156</v>
      </c>
      <c r="J92">
        <f>VLOOKUP(all[[#This Row],[DEVELOPMENT]],Data[],25,FALSE)</f>
        <v>0</v>
      </c>
      <c r="K92">
        <f>VLOOKUP(all[[#This Row],[DEVELOPMENT]],Data[],5,FALSE)</f>
        <v>10</v>
      </c>
      <c r="L92">
        <f>VLOOKUP(all[[#This Row],[DEVELOPMENT]],Data[],27,FALSE)</f>
        <v>29</v>
      </c>
      <c r="M92">
        <f>VLOOKUP(all[[#This Row],[DEVELOPMENT]],Data[],31,FALSE)</f>
        <v>29</v>
      </c>
      <c r="N92">
        <f>VLOOKUP(all[[#This Row],[DEVELOPMENT]],Data[],26,FALSE)</f>
        <v>2</v>
      </c>
      <c r="O92">
        <f>VLOOKUP(all[[#This Row],[DEVELOPMENT]],Data[],30,FALSE)</f>
        <v>2</v>
      </c>
      <c r="P92">
        <f>VLOOKUP(all[[#This Row],[DEVELOPMENT]],Data[],28,FALSE)</f>
        <v>0</v>
      </c>
      <c r="Q92">
        <f>IF(all[[#This Row],['# Bulk Crushers]]=0,1,0)</f>
        <v>1</v>
      </c>
      <c r="R92" s="5">
        <f>IFERROR(INDEX(FWD[],MATCH($B92,FWD[DEVELOPMENT],0),MATCH("ESTIMATE",FWD[#Headers],0)),0)</f>
        <v>0</v>
      </c>
      <c r="S92" s="5">
        <f>IFERROR(INDEX(EHD[],MATCH($B92,EHD[DEVELOPMENT],0),MATCH("ESTIMATE",EHD[#Headers],0)),0)</f>
        <v>215633.66150000002</v>
      </c>
      <c r="T92" s="5">
        <f ca="1">IFERROR(INDEX(IntComp[],MATCH($B92,IntComp[DEVELOPMENT],0),MATCH("ESTIMATE",IntComp[#Headers],0)),0)</f>
        <v>0</v>
      </c>
      <c r="U92" s="5">
        <f>IFERROR(INDEX(Yards[],MATCH($B92,Yards[DEVELOPMENT],0),MATCH("ESTIMATE",Yards[#Headers],0)),0)</f>
        <v>0</v>
      </c>
      <c r="V92" s="128">
        <f ca="1">SUM(R92:U92)</f>
        <v>215633.66150000002</v>
      </c>
      <c r="W92" s="5"/>
    </row>
    <row r="93" spans="1:23" x14ac:dyDescent="0.25">
      <c r="A93" s="131">
        <f>VLOOKUP(B93,Data[],24,FALSE)</f>
        <v>34</v>
      </c>
      <c r="B93" t="s">
        <v>215</v>
      </c>
      <c r="C93" t="str">
        <f>VLOOKUP(B93,Data[],2,FALSE)</f>
        <v>BRONX</v>
      </c>
      <c r="D93" t="str">
        <f>VLOOKUP(all[[#This Row],[DEVELOPMENT]],Data[],3,FALSE)</f>
        <v>EASTCHESTER GARDENS</v>
      </c>
      <c r="E93">
        <f>VLOOKUP(B93,Data[],8,FALSE)</f>
        <v>0</v>
      </c>
      <c r="F93">
        <f>VLOOKUP(B93,Data[],9,FALSE)</f>
        <v>0</v>
      </c>
      <c r="G93">
        <f>IFERROR(VLOOKUP(B93,Data[],4,FALSE),"")</f>
        <v>2026</v>
      </c>
      <c r="H93" t="str">
        <f ca="1">IF(G93="","",IF((G93-YEAR(TODAY()))&lt;=5,"Yes",""))</f>
        <v/>
      </c>
      <c r="I93">
        <f>VLOOKUP(all[[#This Row],[DEVELOPMENT]],Data[],7,FALSE)</f>
        <v>877</v>
      </c>
      <c r="J93">
        <f>VLOOKUP(all[[#This Row],[DEVELOPMENT]],Data[],25,FALSE)</f>
        <v>0</v>
      </c>
      <c r="K93">
        <f>VLOOKUP(all[[#This Row],[DEVELOPMENT]],Data[],5,FALSE)</f>
        <v>10</v>
      </c>
      <c r="L93">
        <f>VLOOKUP(all[[#This Row],[DEVELOPMENT]],Data[],27,FALSE)</f>
        <v>15</v>
      </c>
      <c r="M93">
        <f>VLOOKUP(all[[#This Row],[DEVELOPMENT]],Data[],31,FALSE)</f>
        <v>15</v>
      </c>
      <c r="N93">
        <f>VLOOKUP(all[[#This Row],[DEVELOPMENT]],Data[],26,FALSE)</f>
        <v>2</v>
      </c>
      <c r="O93">
        <f>VLOOKUP(all[[#This Row],[DEVELOPMENT]],Data[],30,FALSE)</f>
        <v>2</v>
      </c>
      <c r="P93">
        <f>VLOOKUP(all[[#This Row],[DEVELOPMENT]],Data[],28,FALSE)</f>
        <v>0</v>
      </c>
      <c r="Q93">
        <f>IF(all[[#This Row],['# Bulk Crushers]]=0,1,0)</f>
        <v>1</v>
      </c>
      <c r="R93" s="5">
        <f>IFERROR(INDEX(FWD[],MATCH($B93,FWD[DEVELOPMENT],0),MATCH("ESTIMATE",FWD[#Headers],0)),0)</f>
        <v>0</v>
      </c>
      <c r="S93" s="5">
        <f>IFERROR(INDEX(EHD[],MATCH($B93,EHD[DEVELOPMENT],0),MATCH("ESTIMATE",EHD[#Headers],0)),0)</f>
        <v>111534.6525</v>
      </c>
      <c r="T93" s="5">
        <f ca="1">IFERROR(INDEX(IntComp[],MATCH($B93,IntComp[DEVELOPMENT],0),MATCH("ESTIMATE",IntComp[#Headers],0)),0)</f>
        <v>1104800.9175</v>
      </c>
      <c r="U93" s="5">
        <f ca="1">IFERROR(INDEX(Yards[],MATCH($B93,Yards[DEVELOPMENT],0),MATCH("ESTIMATE",Yards[#Headers],0)),0)</f>
        <v>1591050.0199999998</v>
      </c>
      <c r="V93" s="128">
        <f ca="1">SUM(R93:U93)</f>
        <v>2807385.59</v>
      </c>
      <c r="W93" s="5"/>
    </row>
    <row r="94" spans="1:23" x14ac:dyDescent="0.25">
      <c r="A94" s="131">
        <f>VLOOKUP(B94,Data[],24,FALSE)</f>
        <v>57</v>
      </c>
      <c r="B94" t="s">
        <v>216</v>
      </c>
      <c r="C94" t="str">
        <f>VLOOKUP(B94,Data[],2,FALSE)</f>
        <v>BRONX</v>
      </c>
      <c r="D94" t="str">
        <f>VLOOKUP(all[[#This Row],[DEVELOPMENT]],Data[],3,FALSE)</f>
        <v>EDENWALD</v>
      </c>
      <c r="E94">
        <f>VLOOKUP(B94,Data[],8,FALSE)</f>
        <v>0</v>
      </c>
      <c r="F94">
        <f>VLOOKUP(B94,Data[],9,FALSE)</f>
        <v>0</v>
      </c>
      <c r="G94">
        <f>IFERROR(VLOOKUP(B94,Data[],4,FALSE),"")</f>
        <v>2022</v>
      </c>
      <c r="H94" t="str">
        <f ca="1">IF(G94="","",IF((G94-YEAR(TODAY()))&lt;=5,"Yes",""))</f>
        <v>Yes</v>
      </c>
      <c r="I94">
        <f>VLOOKUP(all[[#This Row],[DEVELOPMENT]],Data[],7,FALSE)</f>
        <v>2035</v>
      </c>
      <c r="J94">
        <f>VLOOKUP(all[[#This Row],[DEVELOPMENT]],Data[],25,FALSE)</f>
        <v>0</v>
      </c>
      <c r="K94">
        <f>VLOOKUP(all[[#This Row],[DEVELOPMENT]],Data[],5,FALSE)</f>
        <v>40</v>
      </c>
      <c r="L94">
        <f>VLOOKUP(all[[#This Row],[DEVELOPMENT]],Data[],27,FALSE)</f>
        <v>62</v>
      </c>
      <c r="M94">
        <f>VLOOKUP(all[[#This Row],[DEVELOPMENT]],Data[],31,FALSE)</f>
        <v>3</v>
      </c>
      <c r="N94">
        <f>VLOOKUP(all[[#This Row],[DEVELOPMENT]],Data[],26,FALSE)</f>
        <v>5</v>
      </c>
      <c r="O94">
        <f>VLOOKUP(all[[#This Row],[DEVELOPMENT]],Data[],30,FALSE)</f>
        <v>0</v>
      </c>
      <c r="P94">
        <f>VLOOKUP(all[[#This Row],[DEVELOPMENT]],Data[],28,FALSE)</f>
        <v>0</v>
      </c>
      <c r="Q94">
        <f>IF(all[[#This Row],['# Bulk Crushers]]=0,1,0)</f>
        <v>1</v>
      </c>
      <c r="R94" s="5">
        <f>IFERROR(INDEX(FWD[],MATCH($B94,FWD[DEVELOPMENT],0),MATCH("ESTIMATE",FWD[#Headers],0)),0)</f>
        <v>0</v>
      </c>
      <c r="S94" s="5">
        <f>IFERROR(INDEX(EHD[],MATCH($B94,EHD[DEVELOPMENT],0),MATCH("ESTIMATE",EHD[#Headers],0)),0)</f>
        <v>461009.897</v>
      </c>
      <c r="T94" s="5">
        <f ca="1">IFERROR(INDEX(IntComp[],MATCH($B94,IntComp[DEVELOPMENT],0),MATCH("ESTIMATE",IntComp[#Headers],0)),0)</f>
        <v>0</v>
      </c>
      <c r="U94" s="5">
        <f>IFERROR(INDEX(Yards[],MATCH($B94,Yards[DEVELOPMENT],0),MATCH("ESTIMATE",Yards[#Headers],0)),0)</f>
        <v>0</v>
      </c>
      <c r="V94" s="128">
        <f ca="1">SUM(R94:U94)</f>
        <v>461009.897</v>
      </c>
      <c r="W94" s="5"/>
    </row>
    <row r="95" spans="1:23" x14ac:dyDescent="0.25">
      <c r="A95" s="131">
        <f>VLOOKUP(B95,Data[],24,FALSE)</f>
        <v>15</v>
      </c>
      <c r="B95" t="s">
        <v>217</v>
      </c>
      <c r="C95" t="str">
        <f>VLOOKUP(B95,Data[],2,FALSE)</f>
        <v>MANHATTAN</v>
      </c>
      <c r="D95" t="str">
        <f>VLOOKUP(all[[#This Row],[DEVELOPMENT]],Data[],3,FALSE)</f>
        <v>CHELSEA</v>
      </c>
      <c r="E95">
        <f>VLOOKUP(B95,Data[],8,FALSE)</f>
        <v>0</v>
      </c>
      <c r="F95">
        <f>VLOOKUP(B95,Data[],9,FALSE)</f>
        <v>0</v>
      </c>
      <c r="G95" t="str">
        <f>IFERROR(VLOOKUP(B95,Data[],4,FALSE),"")</f>
        <v/>
      </c>
      <c r="H95" t="str">
        <f ca="1">IF(G95="","",IF((G95-YEAR(TODAY()))&lt;=5,"Yes",""))</f>
        <v/>
      </c>
      <c r="I95">
        <f>VLOOKUP(all[[#This Row],[DEVELOPMENT]],Data[],7,FALSE)</f>
        <v>606</v>
      </c>
      <c r="J95">
        <f>VLOOKUP(all[[#This Row],[DEVELOPMENT]],Data[],25,FALSE)</f>
        <v>0</v>
      </c>
      <c r="K95">
        <f>VLOOKUP(all[[#This Row],[DEVELOPMENT]],Data[],5,FALSE)</f>
        <v>4</v>
      </c>
      <c r="L95">
        <f>VLOOKUP(all[[#This Row],[DEVELOPMENT]],Data[],27,FALSE)</f>
        <v>8</v>
      </c>
      <c r="M95">
        <f>VLOOKUP(all[[#This Row],[DEVELOPMENT]],Data[],31,FALSE)</f>
        <v>8</v>
      </c>
      <c r="N95">
        <f>VLOOKUP(all[[#This Row],[DEVELOPMENT]],Data[],26,FALSE)</f>
        <v>2</v>
      </c>
      <c r="O95">
        <f>VLOOKUP(all[[#This Row],[DEVELOPMENT]],Data[],30,FALSE)</f>
        <v>0</v>
      </c>
      <c r="P95">
        <f>VLOOKUP(all[[#This Row],[DEVELOPMENT]],Data[],28,FALSE)</f>
        <v>0</v>
      </c>
      <c r="Q95">
        <f>IF(all[[#This Row],['# Bulk Crushers]]=0,1,0)</f>
        <v>1</v>
      </c>
      <c r="R95" s="5">
        <f>IFERROR(INDEX(FWD[],MATCH($B95,FWD[DEVELOPMENT],0),MATCH("ESTIMATE",FWD[#Headers],0)),0)</f>
        <v>0</v>
      </c>
      <c r="S95" s="5">
        <f>IFERROR(INDEX(EHD[],MATCH($B95,EHD[DEVELOPMENT],0),MATCH("ESTIMATE",EHD[#Headers],0)),0)</f>
        <v>59485.148000000001</v>
      </c>
      <c r="T95" s="5">
        <f ca="1">IFERROR(INDEX(IntComp[],MATCH($B95,IntComp[DEVELOPMENT],0),MATCH("ESTIMATE",IntComp[#Headers],0)),0)</f>
        <v>589227.15599999996</v>
      </c>
      <c r="U95" s="5">
        <f>IFERROR(INDEX(Yards[],MATCH($B95,Yards[DEVELOPMENT],0),MATCH("ESTIMATE",Yards[#Headers],0)),0)</f>
        <v>1159792.78</v>
      </c>
      <c r="V95" s="128">
        <f ca="1">SUM(R95:U95)</f>
        <v>1808505.084</v>
      </c>
      <c r="W95" s="5"/>
    </row>
    <row r="96" spans="1:23" x14ac:dyDescent="0.25">
      <c r="A96" s="131">
        <f>VLOOKUP(B96,Data[],24,FALSE)</f>
        <v>29</v>
      </c>
      <c r="B96" t="s">
        <v>218</v>
      </c>
      <c r="C96" t="str">
        <f>VLOOKUP(B96,Data[],2,FALSE)</f>
        <v>BROOKLYN</v>
      </c>
      <c r="D96" t="str">
        <f>VLOOKUP(all[[#This Row],[DEVELOPMENT]],Data[],3,FALSE)</f>
        <v>FARRAGUT</v>
      </c>
      <c r="E96">
        <f>VLOOKUP(B96,Data[],8,FALSE)</f>
        <v>0</v>
      </c>
      <c r="F96">
        <f>VLOOKUP(B96,Data[],9,FALSE)</f>
        <v>0</v>
      </c>
      <c r="G96">
        <f>IFERROR(VLOOKUP(B96,Data[],4,FALSE),"")</f>
        <v>2027</v>
      </c>
      <c r="H96" t="str">
        <f ca="1">IF(G96="","",IF((G96-YEAR(TODAY()))&lt;=5,"Yes",""))</f>
        <v/>
      </c>
      <c r="I96">
        <f>VLOOKUP(all[[#This Row],[DEVELOPMENT]],Data[],7,FALSE)</f>
        <v>1389</v>
      </c>
      <c r="J96" t="str">
        <f>VLOOKUP(all[[#This Row],[DEVELOPMENT]],Data[],25,FALSE)</f>
        <v>Yes</v>
      </c>
      <c r="K96">
        <f>VLOOKUP(all[[#This Row],[DEVELOPMENT]],Data[],5,FALSE)</f>
        <v>10</v>
      </c>
      <c r="L96">
        <f>VLOOKUP(all[[#This Row],[DEVELOPMENT]],Data[],27,FALSE)</f>
        <v>10</v>
      </c>
      <c r="M96">
        <f>VLOOKUP(all[[#This Row],[DEVELOPMENT]],Data[],31,FALSE)</f>
        <v>10</v>
      </c>
      <c r="N96">
        <f>VLOOKUP(all[[#This Row],[DEVELOPMENT]],Data[],26,FALSE)</f>
        <v>1</v>
      </c>
      <c r="O96">
        <f>VLOOKUP(all[[#This Row],[DEVELOPMENT]],Data[],30,FALSE)</f>
        <v>1</v>
      </c>
      <c r="P96">
        <f>VLOOKUP(all[[#This Row],[DEVELOPMENT]],Data[],28,FALSE)</f>
        <v>0</v>
      </c>
      <c r="Q96">
        <f>IF(all[[#This Row],['# Bulk Crushers]]=0,1,0)</f>
        <v>1</v>
      </c>
      <c r="R96" s="5">
        <f>IFERROR(INDEX(FWD[],MATCH($B96,FWD[DEVELOPMENT],0),MATCH("ESTIMATE",FWD[#Headers],0)),0)</f>
        <v>2387324.2309306785</v>
      </c>
      <c r="S96" s="5">
        <f>IFERROR(INDEX(EHD[],MATCH($B96,EHD[DEVELOPMENT],0),MATCH("ESTIMATE",EHD[#Headers],0)),0)</f>
        <v>74356.434999999998</v>
      </c>
      <c r="T96" s="5">
        <f ca="1">IFERROR(INDEX(IntComp[],MATCH($B96,IntComp[DEVELOPMENT],0),MATCH("ESTIMATE",IntComp[#Headers],0)),0)</f>
        <v>736533.94499999995</v>
      </c>
      <c r="U96" s="5">
        <f ca="1">IFERROR(INDEX(Yards[],MATCH($B96,Yards[DEVELOPMENT],0),MATCH("ESTIMATE",Yards[#Headers],0)),0)</f>
        <v>1159792.78</v>
      </c>
      <c r="V96" s="128">
        <f ca="1">SUM(R96:U96)</f>
        <v>4358007.3909306787</v>
      </c>
      <c r="W96" s="5"/>
    </row>
    <row r="97" spans="1:23" x14ac:dyDescent="0.25">
      <c r="A97" s="131">
        <f>VLOOKUP(B97,Data[],24,FALSE)</f>
        <v>205</v>
      </c>
      <c r="B97" t="s">
        <v>219</v>
      </c>
      <c r="C97" t="str">
        <f>VLOOKUP(B97,Data[],2,FALSE)</f>
        <v>BROOKLYN</v>
      </c>
      <c r="D97" t="str">
        <f>VLOOKUP(all[[#This Row],[DEVELOPMENT]],Data[],3,FALSE)</f>
        <v>REID APARTMENTS</v>
      </c>
      <c r="E97">
        <f>VLOOKUP(B97,Data[],8,FALSE)</f>
        <v>0</v>
      </c>
      <c r="F97">
        <f>VLOOKUP(B97,Data[],9,FALSE)</f>
        <v>0</v>
      </c>
      <c r="G97">
        <f>IFERROR(VLOOKUP(B97,Data[],4,FALSE),"")</f>
        <v>2021</v>
      </c>
      <c r="H97" t="str">
        <f ca="1">IF(G97="","",IF((G97-YEAR(TODAY()))&lt;=5,"Yes",""))</f>
        <v>Yes</v>
      </c>
      <c r="I97">
        <f>VLOOKUP(all[[#This Row],[DEVELOPMENT]],Data[],7,FALSE)</f>
        <v>36</v>
      </c>
      <c r="J97">
        <f>VLOOKUP(all[[#This Row],[DEVELOPMENT]],Data[],25,FALSE)</f>
        <v>0</v>
      </c>
      <c r="K97">
        <f>VLOOKUP(all[[#This Row],[DEVELOPMENT]],Data[],5,FALSE)</f>
        <v>18</v>
      </c>
      <c r="L97">
        <f>VLOOKUP(all[[#This Row],[DEVELOPMENT]],Data[],27,FALSE)</f>
        <v>0</v>
      </c>
      <c r="M97">
        <f>VLOOKUP(all[[#This Row],[DEVELOPMENT]],Data[],31,FALSE)</f>
        <v>0</v>
      </c>
      <c r="N97">
        <f>VLOOKUP(all[[#This Row],[DEVELOPMENT]],Data[],26,FALSE)</f>
        <v>0</v>
      </c>
      <c r="O97">
        <f>VLOOKUP(all[[#This Row],[DEVELOPMENT]],Data[],30,FALSE)</f>
        <v>0</v>
      </c>
      <c r="P97">
        <f>VLOOKUP(all[[#This Row],[DEVELOPMENT]],Data[],28,FALSE)</f>
        <v>0</v>
      </c>
      <c r="Q97">
        <f>IF(all[[#This Row],['# Bulk Crushers]]=0,1,0)</f>
        <v>1</v>
      </c>
      <c r="R97" s="5">
        <f>IFERROR(INDEX(FWD[],MATCH($B97,FWD[DEVELOPMENT],0),MATCH("ESTIMATE",FWD[#Headers],0)),0)</f>
        <v>0</v>
      </c>
      <c r="S97" s="5">
        <f>IFERROR(INDEX(EHD[],MATCH($B97,EHD[DEVELOPMENT],0),MATCH("ESTIMATE",EHD[#Headers],0)),0)</f>
        <v>0</v>
      </c>
      <c r="T97" s="5">
        <f ca="1">IFERROR(INDEX(IntComp[],MATCH($B97,IntComp[DEVELOPMENT],0),MATCH("ESTIMATE",IntComp[#Headers],0)),0)</f>
        <v>0</v>
      </c>
      <c r="U97" s="5">
        <f>IFERROR(INDEX(Yards[],MATCH($B97,Yards[DEVELOPMENT],0),MATCH("ESTIMATE",Yards[#Headers],0)),0)</f>
        <v>0</v>
      </c>
      <c r="V97" s="128">
        <f ca="1">SUM(R97:U97)</f>
        <v>0</v>
      </c>
      <c r="W97" s="5"/>
    </row>
    <row r="98" spans="1:23" x14ac:dyDescent="0.25">
      <c r="A98" s="131">
        <f>VLOOKUP(B98,Data[],24,FALSE)</f>
        <v>209</v>
      </c>
      <c r="B98" t="s">
        <v>220</v>
      </c>
      <c r="C98">
        <f>VLOOKUP(B98,Data[],2,FALSE)</f>
        <v>0</v>
      </c>
      <c r="D98" t="str">
        <f>VLOOKUP(all[[#This Row],[DEVELOPMENT]],Data[],3,FALSE)</f>
        <v>BAISLEY PARK</v>
      </c>
      <c r="E98">
        <f>VLOOKUP(B98,Data[],8,FALSE)</f>
        <v>0</v>
      </c>
      <c r="F98">
        <f>VLOOKUP(B98,Data[],9,FALSE)</f>
        <v>0</v>
      </c>
      <c r="G98" t="str">
        <f>IFERROR(VLOOKUP(B98,Data[],4,FALSE),"")</f>
        <v/>
      </c>
      <c r="H98" t="str">
        <f ca="1">IF(G98="","",IF((G98-YEAR(TODAY()))&lt;=5,"Yes",""))</f>
        <v/>
      </c>
      <c r="I98">
        <f>VLOOKUP(all[[#This Row],[DEVELOPMENT]],Data[],7,FALSE)</f>
        <v>21</v>
      </c>
      <c r="J98">
        <f>VLOOKUP(all[[#This Row],[DEVELOPMENT]],Data[],25,FALSE)</f>
        <v>0</v>
      </c>
      <c r="K98">
        <f>VLOOKUP(all[[#This Row],[DEVELOPMENT]],Data[],5,FALSE)</f>
        <v>26</v>
      </c>
      <c r="L98">
        <f>VLOOKUP(all[[#This Row],[DEVELOPMENT]],Data[],27,FALSE)</f>
        <v>0</v>
      </c>
      <c r="M98">
        <f>VLOOKUP(all[[#This Row],[DEVELOPMENT]],Data[],31,FALSE)</f>
        <v>0</v>
      </c>
      <c r="N98">
        <f>VLOOKUP(all[[#This Row],[DEVELOPMENT]],Data[],26,FALSE)</f>
        <v>0</v>
      </c>
      <c r="O98">
        <f>VLOOKUP(all[[#This Row],[DEVELOPMENT]],Data[],30,FALSE)</f>
        <v>0</v>
      </c>
      <c r="P98">
        <f>VLOOKUP(all[[#This Row],[DEVELOPMENT]],Data[],28,FALSE)</f>
        <v>0</v>
      </c>
      <c r="Q98">
        <f>IF(all[[#This Row],['# Bulk Crushers]]=0,1,0)</f>
        <v>1</v>
      </c>
      <c r="R98" s="5">
        <f>IFERROR(INDEX(FWD[],MATCH($B98,FWD[DEVELOPMENT],0),MATCH("ESTIMATE",FWD[#Headers],0)),0)</f>
        <v>0</v>
      </c>
      <c r="S98" s="5">
        <f>IFERROR(INDEX(EHD[],MATCH($B98,EHD[DEVELOPMENT],0),MATCH("ESTIMATE",EHD[#Headers],0)),0)</f>
        <v>0</v>
      </c>
      <c r="T98" s="5">
        <f ca="1">IFERROR(INDEX(IntComp[],MATCH($B98,IntComp[DEVELOPMENT],0),MATCH("ESTIMATE",IntComp[#Headers],0)),0)</f>
        <v>0</v>
      </c>
      <c r="U98" s="5">
        <f>IFERROR(INDEX(Yards[],MATCH($B98,Yards[DEVELOPMENT],0),MATCH("ESTIMATE",Yards[#Headers],0)),0)</f>
        <v>0</v>
      </c>
      <c r="V98" s="128">
        <f ca="1">SUM(R98:U98)</f>
        <v>0</v>
      </c>
      <c r="W98" s="5"/>
    </row>
    <row r="99" spans="1:23" x14ac:dyDescent="0.25">
      <c r="A99" s="131">
        <f>VLOOKUP(B99,Data[],24,FALSE)</f>
        <v>212</v>
      </c>
      <c r="B99" t="s">
        <v>221</v>
      </c>
      <c r="C99">
        <f>VLOOKUP(B99,Data[],2,FALSE)</f>
        <v>0</v>
      </c>
      <c r="D99" t="str">
        <f>VLOOKUP(all[[#This Row],[DEVELOPMENT]],Data[],3,FALSE)</f>
        <v>BAISELY PARK</v>
      </c>
      <c r="E99">
        <f>VLOOKUP(B99,Data[],8,FALSE)</f>
        <v>0</v>
      </c>
      <c r="F99">
        <f>VLOOKUP(B99,Data[],9,FALSE)</f>
        <v>0</v>
      </c>
      <c r="G99" t="str">
        <f>IFERROR(VLOOKUP(B99,Data[],4,FALSE),"")</f>
        <v/>
      </c>
      <c r="H99" t="str">
        <f ca="1">IF(G99="","",IF((G99-YEAR(TODAY()))&lt;=5,"Yes",""))</f>
        <v/>
      </c>
      <c r="I99">
        <f>VLOOKUP(all[[#This Row],[DEVELOPMENT]],Data[],7,FALSE)</f>
        <v>10</v>
      </c>
      <c r="J99">
        <f>VLOOKUP(all[[#This Row],[DEVELOPMENT]],Data[],25,FALSE)</f>
        <v>0</v>
      </c>
      <c r="K99">
        <f>VLOOKUP(all[[#This Row],[DEVELOPMENT]],Data[],5,FALSE)</f>
        <v>12</v>
      </c>
      <c r="L99">
        <f>VLOOKUP(all[[#This Row],[DEVELOPMENT]],Data[],27,FALSE)</f>
        <v>0</v>
      </c>
      <c r="M99">
        <f>VLOOKUP(all[[#This Row],[DEVELOPMENT]],Data[],31,FALSE)</f>
        <v>0</v>
      </c>
      <c r="N99">
        <f>VLOOKUP(all[[#This Row],[DEVELOPMENT]],Data[],26,FALSE)</f>
        <v>0</v>
      </c>
      <c r="O99">
        <f>VLOOKUP(all[[#This Row],[DEVELOPMENT]],Data[],30,FALSE)</f>
        <v>0</v>
      </c>
      <c r="P99">
        <f>VLOOKUP(all[[#This Row],[DEVELOPMENT]],Data[],28,FALSE)</f>
        <v>0</v>
      </c>
      <c r="Q99">
        <f>IF(all[[#This Row],['# Bulk Crushers]]=0,1,0)</f>
        <v>1</v>
      </c>
      <c r="R99" s="5">
        <f>IFERROR(INDEX(FWD[],MATCH($B99,FWD[DEVELOPMENT],0),MATCH("ESTIMATE",FWD[#Headers],0)),0)</f>
        <v>0</v>
      </c>
      <c r="S99" s="5">
        <f>IFERROR(INDEX(EHD[],MATCH($B99,EHD[DEVELOPMENT],0),MATCH("ESTIMATE",EHD[#Headers],0)),0)</f>
        <v>0</v>
      </c>
      <c r="T99" s="5">
        <f ca="1">IFERROR(INDEX(IntComp[],MATCH($B99,IntComp[DEVELOPMENT],0),MATCH("ESTIMATE",IntComp[#Headers],0)),0)</f>
        <v>0</v>
      </c>
      <c r="U99" s="5">
        <f>IFERROR(INDEX(Yards[],MATCH($B99,Yards[DEVELOPMENT],0),MATCH("ESTIMATE",Yards[#Headers],0)),0)</f>
        <v>0</v>
      </c>
      <c r="V99" s="128">
        <f ca="1">SUM(R99:U99)</f>
        <v>0</v>
      </c>
      <c r="W99" s="5"/>
    </row>
    <row r="100" spans="1:23" x14ac:dyDescent="0.25">
      <c r="A100" s="131">
        <f>VLOOKUP(B100,Data[],24,FALSE)</f>
        <v>213</v>
      </c>
      <c r="B100" t="s">
        <v>222</v>
      </c>
      <c r="C100">
        <f>VLOOKUP(B100,Data[],2,FALSE)</f>
        <v>0</v>
      </c>
      <c r="D100" t="str">
        <f>VLOOKUP(all[[#This Row],[DEVELOPMENT]],Data[],3,FALSE)</f>
        <v>BAISLEY PARK</v>
      </c>
      <c r="E100">
        <f>VLOOKUP(B100,Data[],8,FALSE)</f>
        <v>0</v>
      </c>
      <c r="F100">
        <f>VLOOKUP(B100,Data[],9,FALSE)</f>
        <v>0</v>
      </c>
      <c r="G100" t="str">
        <f>IFERROR(VLOOKUP(B100,Data[],4,FALSE),"")</f>
        <v/>
      </c>
      <c r="H100" t="str">
        <f ca="1">IF(G100="","",IF((G100-YEAR(TODAY()))&lt;=5,"Yes",""))</f>
        <v/>
      </c>
      <c r="I100">
        <f>VLOOKUP(all[[#This Row],[DEVELOPMENT]],Data[],7,FALSE)</f>
        <v>11</v>
      </c>
      <c r="J100">
        <f>VLOOKUP(all[[#This Row],[DEVELOPMENT]],Data[],25,FALSE)</f>
        <v>0</v>
      </c>
      <c r="K100">
        <f>VLOOKUP(all[[#This Row],[DEVELOPMENT]],Data[],5,FALSE)</f>
        <v>12</v>
      </c>
      <c r="L100">
        <f>VLOOKUP(all[[#This Row],[DEVELOPMENT]],Data[],27,FALSE)</f>
        <v>0</v>
      </c>
      <c r="M100">
        <f>VLOOKUP(all[[#This Row],[DEVELOPMENT]],Data[],31,FALSE)</f>
        <v>0</v>
      </c>
      <c r="N100">
        <f>VLOOKUP(all[[#This Row],[DEVELOPMENT]],Data[],26,FALSE)</f>
        <v>0</v>
      </c>
      <c r="O100">
        <f>VLOOKUP(all[[#This Row],[DEVELOPMENT]],Data[],30,FALSE)</f>
        <v>0</v>
      </c>
      <c r="P100">
        <f>VLOOKUP(all[[#This Row],[DEVELOPMENT]],Data[],28,FALSE)</f>
        <v>0</v>
      </c>
      <c r="Q100">
        <f>IF(all[[#This Row],['# Bulk Crushers]]=0,1,0)</f>
        <v>1</v>
      </c>
      <c r="R100" s="5">
        <f>IFERROR(INDEX(FWD[],MATCH($B100,FWD[DEVELOPMENT],0),MATCH("ESTIMATE",FWD[#Headers],0)),0)</f>
        <v>0</v>
      </c>
      <c r="S100" s="5">
        <f>IFERROR(INDEX(EHD[],MATCH($B100,EHD[DEVELOPMENT],0),MATCH("ESTIMATE",EHD[#Headers],0)),0)</f>
        <v>0</v>
      </c>
      <c r="T100" s="5">
        <f ca="1">IFERROR(INDEX(IntComp[],MATCH($B100,IntComp[DEVELOPMENT],0),MATCH("ESTIMATE",IntComp[#Headers],0)),0)</f>
        <v>0</v>
      </c>
      <c r="U100" s="5">
        <f>IFERROR(INDEX(Yards[],MATCH($B100,Yards[DEVELOPMENT],0),MATCH("ESTIMATE",Yards[#Headers],0)),0)</f>
        <v>0</v>
      </c>
      <c r="V100" s="128">
        <f ca="1">SUM(R100:U100)</f>
        <v>0</v>
      </c>
      <c r="W100" s="5"/>
    </row>
    <row r="101" spans="1:23" x14ac:dyDescent="0.25">
      <c r="A101" s="131">
        <f>VLOOKUP(B101,Data[],24,FALSE)</f>
        <v>226</v>
      </c>
      <c r="B101" t="s">
        <v>223</v>
      </c>
      <c r="C101">
        <f>VLOOKUP(B101,Data[],2,FALSE)</f>
        <v>0</v>
      </c>
      <c r="D101" t="str">
        <f>VLOOKUP(all[[#This Row],[DEVELOPMENT]],Data[],3,FALSE)</f>
        <v>BAISLEY PARK</v>
      </c>
      <c r="E101">
        <f>VLOOKUP(B101,Data[],8,FALSE)</f>
        <v>0</v>
      </c>
      <c r="F101">
        <f>VLOOKUP(B101,Data[],9,FALSE)</f>
        <v>0</v>
      </c>
      <c r="G101" t="str">
        <f>IFERROR(VLOOKUP(B101,Data[],4,FALSE),"")</f>
        <v/>
      </c>
      <c r="H101" t="str">
        <f ca="1">IF(G101="","",IF((G101-YEAR(TODAY()))&lt;=5,"Yes",""))</f>
        <v/>
      </c>
      <c r="I101">
        <f>VLOOKUP(all[[#This Row],[DEVELOPMENT]],Data[],7,FALSE)</f>
        <v>10</v>
      </c>
      <c r="J101">
        <f>VLOOKUP(all[[#This Row],[DEVELOPMENT]],Data[],25,FALSE)</f>
        <v>0</v>
      </c>
      <c r="K101">
        <f>VLOOKUP(all[[#This Row],[DEVELOPMENT]],Data[],5,FALSE)</f>
        <v>13</v>
      </c>
      <c r="L101">
        <f>VLOOKUP(all[[#This Row],[DEVELOPMENT]],Data[],27,FALSE)</f>
        <v>0</v>
      </c>
      <c r="M101">
        <f>VLOOKUP(all[[#This Row],[DEVELOPMENT]],Data[],31,FALSE)</f>
        <v>0</v>
      </c>
      <c r="N101">
        <f>VLOOKUP(all[[#This Row],[DEVELOPMENT]],Data[],26,FALSE)</f>
        <v>0</v>
      </c>
      <c r="O101">
        <f>VLOOKUP(all[[#This Row],[DEVELOPMENT]],Data[],30,FALSE)</f>
        <v>0</v>
      </c>
      <c r="P101">
        <f>VLOOKUP(all[[#This Row],[DEVELOPMENT]],Data[],28,FALSE)</f>
        <v>0</v>
      </c>
      <c r="Q101">
        <f>IF(all[[#This Row],['# Bulk Crushers]]=0,1,0)</f>
        <v>1</v>
      </c>
      <c r="R101" s="5">
        <f>IFERROR(INDEX(FWD[],MATCH($B101,FWD[DEVELOPMENT],0),MATCH("ESTIMATE",FWD[#Headers],0)),0)</f>
        <v>0</v>
      </c>
      <c r="S101" s="5">
        <f>IFERROR(INDEX(EHD[],MATCH($B101,EHD[DEVELOPMENT],0),MATCH("ESTIMATE",EHD[#Headers],0)),0)</f>
        <v>0</v>
      </c>
      <c r="T101" s="5">
        <f ca="1">IFERROR(INDEX(IntComp[],MATCH($B101,IntComp[DEVELOPMENT],0),MATCH("ESTIMATE",IntComp[#Headers],0)),0)</f>
        <v>0</v>
      </c>
      <c r="U101" s="5">
        <f>IFERROR(INDEX(Yards[],MATCH($B101,Yards[DEVELOPMENT],0),MATCH("ESTIMATE",Yards[#Headers],0)),0)</f>
        <v>0</v>
      </c>
      <c r="V101" s="128">
        <f ca="1">SUM(R101:U101)</f>
        <v>0</v>
      </c>
      <c r="W101" s="5"/>
    </row>
    <row r="102" spans="1:23" x14ac:dyDescent="0.25">
      <c r="A102" s="131">
        <f>VLOOKUP(B102,Data[],24,FALSE)</f>
        <v>283</v>
      </c>
      <c r="B102" t="s">
        <v>224</v>
      </c>
      <c r="C102">
        <f>VLOOKUP(B102,Data[],2,FALSE)</f>
        <v>0</v>
      </c>
      <c r="D102" t="str">
        <f>VLOOKUP(all[[#This Row],[DEVELOPMENT]],Data[],3,FALSE)</f>
        <v>BAISLEY PARK</v>
      </c>
      <c r="E102" t="str">
        <f>VLOOKUP(B102,Data[],8,FALSE)</f>
        <v>Zone 4</v>
      </c>
      <c r="F102">
        <f>VLOOKUP(B102,Data[],9,FALSE)</f>
        <v>0</v>
      </c>
      <c r="G102" t="str">
        <f>IFERROR(VLOOKUP(B102,Data[],4,FALSE),"")</f>
        <v/>
      </c>
      <c r="H102" t="str">
        <f ca="1">IF(G102="","",IF((G102-YEAR(TODAY()))&lt;=5,"Yes",""))</f>
        <v/>
      </c>
      <c r="I102">
        <f>VLOOKUP(all[[#This Row],[DEVELOPMENT]],Data[],7,FALSE)</f>
        <v>16</v>
      </c>
      <c r="J102" t="str">
        <f>VLOOKUP(all[[#This Row],[DEVELOPMENT]],Data[],25,FALSE)</f>
        <v>Yes</v>
      </c>
      <c r="K102">
        <f>VLOOKUP(all[[#This Row],[DEVELOPMENT]],Data[],5,FALSE)</f>
        <v>16</v>
      </c>
      <c r="L102">
        <f>VLOOKUP(all[[#This Row],[DEVELOPMENT]],Data[],27,FALSE)</f>
        <v>0</v>
      </c>
      <c r="M102">
        <f>VLOOKUP(all[[#This Row],[DEVELOPMENT]],Data[],31,FALSE)</f>
        <v>0</v>
      </c>
      <c r="N102">
        <f>VLOOKUP(all[[#This Row],[DEVELOPMENT]],Data[],26,FALSE)</f>
        <v>0</v>
      </c>
      <c r="O102">
        <f>VLOOKUP(all[[#This Row],[DEVELOPMENT]],Data[],30,FALSE)</f>
        <v>0</v>
      </c>
      <c r="P102">
        <f>VLOOKUP(all[[#This Row],[DEVELOPMENT]],Data[],28,FALSE)</f>
        <v>0</v>
      </c>
      <c r="Q102">
        <f>IF(all[[#This Row],['# Bulk Crushers]]=0,1,0)</f>
        <v>1</v>
      </c>
      <c r="R102" s="5">
        <f>IFERROR(INDEX(FWD[],MATCH($B102,FWD[DEVELOPMENT],0),MATCH("ESTIMATE",FWD[#Headers],0)),0)</f>
        <v>27499.775158308752</v>
      </c>
      <c r="S102" s="5">
        <f>IFERROR(INDEX(EHD[],MATCH($B102,EHD[DEVELOPMENT],0),MATCH("ESTIMATE",EHD[#Headers],0)),0)</f>
        <v>0</v>
      </c>
      <c r="T102" s="5">
        <f ca="1">IFERROR(INDEX(IntComp[],MATCH($B102,IntComp[DEVELOPMENT],0),MATCH("ESTIMATE",IntComp[#Headers],0)),0)</f>
        <v>0</v>
      </c>
      <c r="U102" s="5">
        <f>IFERROR(INDEX(Yards[],MATCH($B102,Yards[DEVELOPMENT],0),MATCH("ESTIMATE",Yards[#Headers],0)),0)</f>
        <v>0</v>
      </c>
      <c r="V102" s="128">
        <f ca="1">SUM(R102:U102)</f>
        <v>27499.775158308752</v>
      </c>
      <c r="W102" s="5"/>
    </row>
    <row r="103" spans="1:23" x14ac:dyDescent="0.25">
      <c r="A103" s="131">
        <f>VLOOKUP(B103,Data[],24,FALSE)</f>
        <v>260</v>
      </c>
      <c r="B103" t="s">
        <v>225</v>
      </c>
      <c r="C103">
        <f>VLOOKUP(B103,Data[],2,FALSE)</f>
        <v>0</v>
      </c>
      <c r="D103" t="str">
        <f>VLOOKUP(all[[#This Row],[DEVELOPMENT]],Data[],3,FALSE)</f>
        <v>BAISLEY PARK</v>
      </c>
      <c r="E103">
        <f>VLOOKUP(B103,Data[],8,FALSE)</f>
        <v>0</v>
      </c>
      <c r="F103">
        <f>VLOOKUP(B103,Data[],9,FALSE)</f>
        <v>0</v>
      </c>
      <c r="G103" t="str">
        <f>IFERROR(VLOOKUP(B103,Data[],4,FALSE),"")</f>
        <v/>
      </c>
      <c r="H103" t="str">
        <f ca="1">IF(G103="","",IF((G103-YEAR(TODAY()))&lt;=5,"Yes",""))</f>
        <v/>
      </c>
      <c r="I103">
        <f>VLOOKUP(all[[#This Row],[DEVELOPMENT]],Data[],7,FALSE)</f>
        <v>29</v>
      </c>
      <c r="J103">
        <f>VLOOKUP(all[[#This Row],[DEVELOPMENT]],Data[],25,FALSE)</f>
        <v>0</v>
      </c>
      <c r="K103">
        <f>VLOOKUP(all[[#This Row],[DEVELOPMENT]],Data[],5,FALSE)</f>
        <v>31</v>
      </c>
      <c r="L103">
        <f>VLOOKUP(all[[#This Row],[DEVELOPMENT]],Data[],27,FALSE)</f>
        <v>0</v>
      </c>
      <c r="M103">
        <f>VLOOKUP(all[[#This Row],[DEVELOPMENT]],Data[],31,FALSE)</f>
        <v>0</v>
      </c>
      <c r="N103">
        <f>VLOOKUP(all[[#This Row],[DEVELOPMENT]],Data[],26,FALSE)</f>
        <v>0</v>
      </c>
      <c r="O103">
        <f>VLOOKUP(all[[#This Row],[DEVELOPMENT]],Data[],30,FALSE)</f>
        <v>0</v>
      </c>
      <c r="P103">
        <f>VLOOKUP(all[[#This Row],[DEVELOPMENT]],Data[],28,FALSE)</f>
        <v>0</v>
      </c>
      <c r="Q103">
        <f>IF(all[[#This Row],['# Bulk Crushers]]=0,1,0)</f>
        <v>1</v>
      </c>
      <c r="R103" s="5">
        <f>IFERROR(INDEX(FWD[],MATCH($B103,FWD[DEVELOPMENT],0),MATCH("ESTIMATE",FWD[#Headers],0)),0)</f>
        <v>0</v>
      </c>
      <c r="S103" s="5">
        <f>IFERROR(INDEX(EHD[],MATCH($B103,EHD[DEVELOPMENT],0),MATCH("ESTIMATE",EHD[#Headers],0)),0)</f>
        <v>0</v>
      </c>
      <c r="T103" s="5">
        <f ca="1">IFERROR(INDEX(IntComp[],MATCH($B103,IntComp[DEVELOPMENT],0),MATCH("ESTIMATE",IntComp[#Headers],0)),0)</f>
        <v>0</v>
      </c>
      <c r="U103" s="5">
        <f>IFERROR(INDEX(Yards[],MATCH($B103,Yards[DEVELOPMENT],0),MATCH("ESTIMATE",Yards[#Headers],0)),0)</f>
        <v>0</v>
      </c>
      <c r="V103" s="128">
        <f ca="1">SUM(R103:U103)</f>
        <v>0</v>
      </c>
      <c r="W103" s="5"/>
    </row>
    <row r="104" spans="1:23" x14ac:dyDescent="0.25">
      <c r="A104" s="131">
        <f>VLOOKUP(B104,Data[],24,FALSE)</f>
        <v>273</v>
      </c>
      <c r="B104" t="s">
        <v>226</v>
      </c>
      <c r="C104">
        <f>VLOOKUP(B104,Data[],2,FALSE)</f>
        <v>0</v>
      </c>
      <c r="D104" t="str">
        <f>VLOOKUP(all[[#This Row],[DEVELOPMENT]],Data[],3,FALSE)</f>
        <v>BAISLEY PARK</v>
      </c>
      <c r="E104">
        <f>VLOOKUP(B104,Data[],8,FALSE)</f>
        <v>0</v>
      </c>
      <c r="F104">
        <f>VLOOKUP(B104,Data[],9,FALSE)</f>
        <v>0</v>
      </c>
      <c r="G104" t="str">
        <f>IFERROR(VLOOKUP(B104,Data[],4,FALSE),"")</f>
        <v/>
      </c>
      <c r="H104" t="str">
        <f ca="1">IF(G104="","",IF((G104-YEAR(TODAY()))&lt;=5,"Yes",""))</f>
        <v/>
      </c>
      <c r="I104">
        <f>VLOOKUP(all[[#This Row],[DEVELOPMENT]],Data[],7,FALSE)</f>
        <v>6</v>
      </c>
      <c r="J104">
        <f>VLOOKUP(all[[#This Row],[DEVELOPMENT]],Data[],25,FALSE)</f>
        <v>0</v>
      </c>
      <c r="K104">
        <f>VLOOKUP(all[[#This Row],[DEVELOPMENT]],Data[],5,FALSE)</f>
        <v>7</v>
      </c>
      <c r="L104">
        <f>VLOOKUP(all[[#This Row],[DEVELOPMENT]],Data[],27,FALSE)</f>
        <v>0</v>
      </c>
      <c r="M104">
        <f>VLOOKUP(all[[#This Row],[DEVELOPMENT]],Data[],31,FALSE)</f>
        <v>0</v>
      </c>
      <c r="N104">
        <f>VLOOKUP(all[[#This Row],[DEVELOPMENT]],Data[],26,FALSE)</f>
        <v>0</v>
      </c>
      <c r="O104">
        <f>VLOOKUP(all[[#This Row],[DEVELOPMENT]],Data[],30,FALSE)</f>
        <v>0</v>
      </c>
      <c r="P104">
        <f>VLOOKUP(all[[#This Row],[DEVELOPMENT]],Data[],28,FALSE)</f>
        <v>0</v>
      </c>
      <c r="Q104">
        <f>IF(all[[#This Row],['# Bulk Crushers]]=0,1,0)</f>
        <v>1</v>
      </c>
      <c r="R104" s="5">
        <f>IFERROR(INDEX(FWD[],MATCH($B104,FWD[DEVELOPMENT],0),MATCH("ESTIMATE",FWD[#Headers],0)),0)</f>
        <v>0</v>
      </c>
      <c r="S104" s="5">
        <f>IFERROR(INDEX(EHD[],MATCH($B104,EHD[DEVELOPMENT],0),MATCH("ESTIMATE",EHD[#Headers],0)),0)</f>
        <v>0</v>
      </c>
      <c r="T104" s="5">
        <f ca="1">IFERROR(INDEX(IntComp[],MATCH($B104,IntComp[DEVELOPMENT],0),MATCH("ESTIMATE",IntComp[#Headers],0)),0)</f>
        <v>0</v>
      </c>
      <c r="U104" s="5">
        <f>IFERROR(INDEX(Yards[],MATCH($B104,Yards[DEVELOPMENT],0),MATCH("ESTIMATE",Yards[#Headers],0)),0)</f>
        <v>0</v>
      </c>
      <c r="V104" s="128">
        <f ca="1">SUM(R104:U104)</f>
        <v>0</v>
      </c>
      <c r="W104" s="5"/>
    </row>
    <row r="105" spans="1:23" x14ac:dyDescent="0.25">
      <c r="A105" s="131">
        <f>VLOOKUP(B105,Data[],24,FALSE)</f>
        <v>274</v>
      </c>
      <c r="B105" t="s">
        <v>227</v>
      </c>
      <c r="C105">
        <f>VLOOKUP(B105,Data[],2,FALSE)</f>
        <v>0</v>
      </c>
      <c r="D105" t="str">
        <f>VLOOKUP(all[[#This Row],[DEVELOPMENT]],Data[],3,FALSE)</f>
        <v>BAISLEY PARK</v>
      </c>
      <c r="E105">
        <f>VLOOKUP(B105,Data[],8,FALSE)</f>
        <v>0</v>
      </c>
      <c r="F105">
        <f>VLOOKUP(B105,Data[],9,FALSE)</f>
        <v>0</v>
      </c>
      <c r="G105" t="str">
        <f>IFERROR(VLOOKUP(B105,Data[],4,FALSE),"")</f>
        <v/>
      </c>
      <c r="H105" t="str">
        <f ca="1">IF(G105="","",IF((G105-YEAR(TODAY()))&lt;=5,"Yes",""))</f>
        <v/>
      </c>
      <c r="I105">
        <f>VLOOKUP(all[[#This Row],[DEVELOPMENT]],Data[],7,FALSE)</f>
        <v>5</v>
      </c>
      <c r="J105">
        <f>VLOOKUP(all[[#This Row],[DEVELOPMENT]],Data[],25,FALSE)</f>
        <v>0</v>
      </c>
      <c r="K105">
        <f>VLOOKUP(all[[#This Row],[DEVELOPMENT]],Data[],5,FALSE)</f>
        <v>8</v>
      </c>
      <c r="L105">
        <f>VLOOKUP(all[[#This Row],[DEVELOPMENT]],Data[],27,FALSE)</f>
        <v>0</v>
      </c>
      <c r="M105">
        <f>VLOOKUP(all[[#This Row],[DEVELOPMENT]],Data[],31,FALSE)</f>
        <v>0</v>
      </c>
      <c r="N105">
        <f>VLOOKUP(all[[#This Row],[DEVELOPMENT]],Data[],26,FALSE)</f>
        <v>0</v>
      </c>
      <c r="O105">
        <f>VLOOKUP(all[[#This Row],[DEVELOPMENT]],Data[],30,FALSE)</f>
        <v>0</v>
      </c>
      <c r="P105">
        <f>VLOOKUP(all[[#This Row],[DEVELOPMENT]],Data[],28,FALSE)</f>
        <v>0</v>
      </c>
      <c r="Q105">
        <f>IF(all[[#This Row],['# Bulk Crushers]]=0,1,0)</f>
        <v>1</v>
      </c>
      <c r="R105" s="5">
        <f>IFERROR(INDEX(FWD[],MATCH($B105,FWD[DEVELOPMENT],0),MATCH("ESTIMATE",FWD[#Headers],0)),0)</f>
        <v>0</v>
      </c>
      <c r="S105" s="5">
        <f>IFERROR(INDEX(EHD[],MATCH($B105,EHD[DEVELOPMENT],0),MATCH("ESTIMATE",EHD[#Headers],0)),0)</f>
        <v>0</v>
      </c>
      <c r="T105" s="5">
        <f ca="1">IFERROR(INDEX(IntComp[],MATCH($B105,IntComp[DEVELOPMENT],0),MATCH("ESTIMATE",IntComp[#Headers],0)),0)</f>
        <v>0</v>
      </c>
      <c r="U105" s="5">
        <f>IFERROR(INDEX(Yards[],MATCH($B105,Yards[DEVELOPMENT],0),MATCH("ESTIMATE",Yards[#Headers],0)),0)</f>
        <v>0</v>
      </c>
      <c r="V105" s="128">
        <f ca="1">SUM(R105:U105)</f>
        <v>0</v>
      </c>
      <c r="W105" s="5"/>
    </row>
    <row r="106" spans="1:23" x14ac:dyDescent="0.25">
      <c r="A106" s="131">
        <f>VLOOKUP(B106,Data[],24,FALSE)</f>
        <v>275</v>
      </c>
      <c r="B106" t="s">
        <v>228</v>
      </c>
      <c r="C106">
        <f>VLOOKUP(B106,Data[],2,FALSE)</f>
        <v>0</v>
      </c>
      <c r="D106" t="str">
        <f>VLOOKUP(all[[#This Row],[DEVELOPMENT]],Data[],3,FALSE)</f>
        <v>BAISLEY PARK</v>
      </c>
      <c r="E106">
        <f>VLOOKUP(B106,Data[],8,FALSE)</f>
        <v>0</v>
      </c>
      <c r="F106">
        <f>VLOOKUP(B106,Data[],9,FALSE)</f>
        <v>0</v>
      </c>
      <c r="G106" t="str">
        <f>IFERROR(VLOOKUP(B106,Data[],4,FALSE),"")</f>
        <v/>
      </c>
      <c r="H106" t="str">
        <f ca="1">IF(G106="","",IF((G106-YEAR(TODAY()))&lt;=5,"Yes",""))</f>
        <v/>
      </c>
      <c r="I106">
        <f>VLOOKUP(all[[#This Row],[DEVELOPMENT]],Data[],7,FALSE)</f>
        <v>5</v>
      </c>
      <c r="J106">
        <f>VLOOKUP(all[[#This Row],[DEVELOPMENT]],Data[],25,FALSE)</f>
        <v>0</v>
      </c>
      <c r="K106">
        <f>VLOOKUP(all[[#This Row],[DEVELOPMENT]],Data[],5,FALSE)</f>
        <v>9</v>
      </c>
      <c r="L106">
        <f>VLOOKUP(all[[#This Row],[DEVELOPMENT]],Data[],27,FALSE)</f>
        <v>0</v>
      </c>
      <c r="M106">
        <f>VLOOKUP(all[[#This Row],[DEVELOPMENT]],Data[],31,FALSE)</f>
        <v>0</v>
      </c>
      <c r="N106">
        <f>VLOOKUP(all[[#This Row],[DEVELOPMENT]],Data[],26,FALSE)</f>
        <v>0</v>
      </c>
      <c r="O106">
        <f>VLOOKUP(all[[#This Row],[DEVELOPMENT]],Data[],30,FALSE)</f>
        <v>0</v>
      </c>
      <c r="P106">
        <f>VLOOKUP(all[[#This Row],[DEVELOPMENT]],Data[],28,FALSE)</f>
        <v>0</v>
      </c>
      <c r="Q106">
        <f>IF(all[[#This Row],['# Bulk Crushers]]=0,1,0)</f>
        <v>1</v>
      </c>
      <c r="R106" s="5">
        <f>IFERROR(INDEX(FWD[],MATCH($B106,FWD[DEVELOPMENT],0),MATCH("ESTIMATE",FWD[#Headers],0)),0)</f>
        <v>0</v>
      </c>
      <c r="S106" s="5">
        <f>IFERROR(INDEX(EHD[],MATCH($B106,EHD[DEVELOPMENT],0),MATCH("ESTIMATE",EHD[#Headers],0)),0)</f>
        <v>0</v>
      </c>
      <c r="T106" s="5">
        <f ca="1">IFERROR(INDEX(IntComp[],MATCH($B106,IntComp[DEVELOPMENT],0),MATCH("ESTIMATE",IntComp[#Headers],0)),0)</f>
        <v>0</v>
      </c>
      <c r="U106" s="5">
        <f>IFERROR(INDEX(Yards[],MATCH($B106,Yards[DEVELOPMENT],0),MATCH("ESTIMATE",Yards[#Headers],0)),0)</f>
        <v>0</v>
      </c>
      <c r="V106" s="128">
        <f ca="1">SUM(R106:U106)</f>
        <v>0</v>
      </c>
      <c r="W106" s="5"/>
    </row>
    <row r="107" spans="1:23" x14ac:dyDescent="0.25">
      <c r="A107" s="131">
        <f>VLOOKUP(B107,Data[],24,FALSE)</f>
        <v>284</v>
      </c>
      <c r="B107" t="s">
        <v>229</v>
      </c>
      <c r="C107">
        <f>VLOOKUP(B107,Data[],2,FALSE)</f>
        <v>0</v>
      </c>
      <c r="D107" t="str">
        <f>VLOOKUP(all[[#This Row],[DEVELOPMENT]],Data[],3,FALSE)</f>
        <v>BAISLEY PARK</v>
      </c>
      <c r="E107">
        <f>VLOOKUP(B107,Data[],8,FALSE)</f>
        <v>0</v>
      </c>
      <c r="F107">
        <f>VLOOKUP(B107,Data[],9,FALSE)</f>
        <v>0</v>
      </c>
      <c r="G107" t="str">
        <f>IFERROR(VLOOKUP(B107,Data[],4,FALSE),"")</f>
        <v/>
      </c>
      <c r="H107" t="str">
        <f ca="1">IF(G107="","",IF((G107-YEAR(TODAY()))&lt;=5,"Yes",""))</f>
        <v/>
      </c>
      <c r="I107">
        <f>VLOOKUP(all[[#This Row],[DEVELOPMENT]],Data[],7,FALSE)</f>
        <v>16</v>
      </c>
      <c r="J107">
        <f>VLOOKUP(all[[#This Row],[DEVELOPMENT]],Data[],25,FALSE)</f>
        <v>0</v>
      </c>
      <c r="K107">
        <f>VLOOKUP(all[[#This Row],[DEVELOPMENT]],Data[],5,FALSE)</f>
        <v>20</v>
      </c>
      <c r="L107">
        <f>VLOOKUP(all[[#This Row],[DEVELOPMENT]],Data[],27,FALSE)</f>
        <v>0</v>
      </c>
      <c r="M107">
        <f>VLOOKUP(all[[#This Row],[DEVELOPMENT]],Data[],31,FALSE)</f>
        <v>0</v>
      </c>
      <c r="N107">
        <f>VLOOKUP(all[[#This Row],[DEVELOPMENT]],Data[],26,FALSE)</f>
        <v>0</v>
      </c>
      <c r="O107">
        <f>VLOOKUP(all[[#This Row],[DEVELOPMENT]],Data[],30,FALSE)</f>
        <v>0</v>
      </c>
      <c r="P107">
        <f>VLOOKUP(all[[#This Row],[DEVELOPMENT]],Data[],28,FALSE)</f>
        <v>0</v>
      </c>
      <c r="Q107">
        <f>IF(all[[#This Row],['# Bulk Crushers]]=0,1,0)</f>
        <v>1</v>
      </c>
      <c r="R107" s="5">
        <f>IFERROR(INDEX(FWD[],MATCH($B107,FWD[DEVELOPMENT],0),MATCH("ESTIMATE",FWD[#Headers],0)),0)</f>
        <v>0</v>
      </c>
      <c r="S107" s="5">
        <f>IFERROR(INDEX(EHD[],MATCH($B107,EHD[DEVELOPMENT],0),MATCH("ESTIMATE",EHD[#Headers],0)),0)</f>
        <v>0</v>
      </c>
      <c r="T107" s="5">
        <f ca="1">IFERROR(INDEX(IntComp[],MATCH($B107,IntComp[DEVELOPMENT],0),MATCH("ESTIMATE",IntComp[#Headers],0)),0)</f>
        <v>0</v>
      </c>
      <c r="U107" s="5">
        <f>IFERROR(INDEX(Yards[],MATCH($B107,Yards[DEVELOPMENT],0),MATCH("ESTIMATE",Yards[#Headers],0)),0)</f>
        <v>0</v>
      </c>
      <c r="V107" s="128">
        <f ca="1">SUM(R107:U107)</f>
        <v>0</v>
      </c>
      <c r="W107" s="5"/>
    </row>
    <row r="108" spans="1:23" x14ac:dyDescent="0.25">
      <c r="A108" s="131">
        <f>VLOOKUP(B108,Data[],24,FALSE)</f>
        <v>207</v>
      </c>
      <c r="B108" t="s">
        <v>230</v>
      </c>
      <c r="C108" t="str">
        <f>VLOOKUP(B108,Data[],2,FALSE)</f>
        <v>BROOKLYN</v>
      </c>
      <c r="D108" t="str">
        <f>VLOOKUP(all[[#This Row],[DEVELOPMENT]],Data[],3,FALSE)</f>
        <v>UNITY PLAZA</v>
      </c>
      <c r="E108">
        <f>VLOOKUP(B108,Data[],8,FALSE)</f>
        <v>0</v>
      </c>
      <c r="F108">
        <f>VLOOKUP(B108,Data[],9,FALSE)</f>
        <v>0</v>
      </c>
      <c r="G108">
        <f>IFERROR(VLOOKUP(B108,Data[],4,FALSE),"")</f>
        <v>2026</v>
      </c>
      <c r="H108" t="str">
        <f ca="1">IF(G108="","",IF((G108-YEAR(TODAY()))&lt;=5,"Yes",""))</f>
        <v/>
      </c>
      <c r="I108">
        <f>VLOOKUP(all[[#This Row],[DEVELOPMENT]],Data[],7,FALSE)</f>
        <v>158</v>
      </c>
      <c r="J108">
        <f>VLOOKUP(all[[#This Row],[DEVELOPMENT]],Data[],25,FALSE)</f>
        <v>0</v>
      </c>
      <c r="K108">
        <f>VLOOKUP(all[[#This Row],[DEVELOPMENT]],Data[],5,FALSE)</f>
        <v>8</v>
      </c>
      <c r="L108">
        <f>VLOOKUP(all[[#This Row],[DEVELOPMENT]],Data[],27,FALSE)</f>
        <v>3</v>
      </c>
      <c r="M108">
        <f>VLOOKUP(all[[#This Row],[DEVELOPMENT]],Data[],31,FALSE)</f>
        <v>3</v>
      </c>
      <c r="N108">
        <f>VLOOKUP(all[[#This Row],[DEVELOPMENT]],Data[],26,FALSE)</f>
        <v>0</v>
      </c>
      <c r="O108">
        <f>VLOOKUP(all[[#This Row],[DEVELOPMENT]],Data[],30,FALSE)</f>
        <v>0</v>
      </c>
      <c r="P108">
        <f>VLOOKUP(all[[#This Row],[DEVELOPMENT]],Data[],28,FALSE)</f>
        <v>0</v>
      </c>
      <c r="Q108">
        <f>IF(all[[#This Row],['# Bulk Crushers]]=0,1,0)</f>
        <v>1</v>
      </c>
      <c r="R108" s="5">
        <f>IFERROR(INDEX(FWD[],MATCH($B108,FWD[DEVELOPMENT],0),MATCH("ESTIMATE",FWD[#Headers],0)),0)</f>
        <v>0</v>
      </c>
      <c r="S108" s="5">
        <f>IFERROR(INDEX(EHD[],MATCH($B108,EHD[DEVELOPMENT],0),MATCH("ESTIMATE",EHD[#Headers],0)),0)</f>
        <v>22306.930500000002</v>
      </c>
      <c r="T108" s="5">
        <f ca="1">IFERROR(INDEX(IntComp[],MATCH($B108,IntComp[DEVELOPMENT],0),MATCH("ESTIMATE",IntComp[#Headers],0)),0)</f>
        <v>220960.18349999996</v>
      </c>
      <c r="U108" s="5">
        <f>IFERROR(INDEX(Yards[],MATCH($B108,Yards[DEVELOPMENT],0),MATCH("ESTIMATE",Yards[#Headers],0)),0)</f>
        <v>1159792.78</v>
      </c>
      <c r="V108" s="128">
        <f ca="1">SUM(R108:U108)</f>
        <v>1403059.8939999999</v>
      </c>
      <c r="W108" s="5"/>
    </row>
    <row r="109" spans="1:23" x14ac:dyDescent="0.25">
      <c r="A109" s="131">
        <f>VLOOKUP(B109,Data[],24,FALSE)</f>
        <v>1</v>
      </c>
      <c r="B109" t="s">
        <v>231</v>
      </c>
      <c r="C109" t="str">
        <f>VLOOKUP(B109,Data[],2,FALSE)</f>
        <v>MANHATTAN</v>
      </c>
      <c r="D109" t="str">
        <f>VLOOKUP(all[[#This Row],[DEVELOPMENT]],Data[],3,FALSE)</f>
        <v>LOWER EAST SIDE CONSOLIDATED</v>
      </c>
      <c r="E109" t="str">
        <f>VLOOKUP(B109,Data[],8,FALSE)</f>
        <v>Zone 1</v>
      </c>
      <c r="F109" t="str">
        <f>VLOOKUP(B109,Data[],9,FALSE)</f>
        <v>$</v>
      </c>
      <c r="G109">
        <f>IFERROR(VLOOKUP(B109,Data[],4,FALSE),"")</f>
        <v>2026</v>
      </c>
      <c r="H109" t="str">
        <f ca="1">IF(G109="","",IF((G109-YEAR(TODAY()))&lt;=5,"Yes",""))</f>
        <v/>
      </c>
      <c r="I109">
        <f>VLOOKUP(all[[#This Row],[DEVELOPMENT]],Data[],7,FALSE)</f>
        <v>126</v>
      </c>
      <c r="J109" t="str">
        <f>VLOOKUP(all[[#This Row],[DEVELOPMENT]],Data[],25,FALSE)</f>
        <v>Yes</v>
      </c>
      <c r="K109">
        <f>VLOOKUP(all[[#This Row],[DEVELOPMENT]],Data[],5,FALSE)</f>
        <v>8</v>
      </c>
      <c r="L109">
        <f>VLOOKUP(all[[#This Row],[DEVELOPMENT]],Data[],27,FALSE)</f>
        <v>8</v>
      </c>
      <c r="M109">
        <f>VLOOKUP(all[[#This Row],[DEVELOPMENT]],Data[],31,FALSE)</f>
        <v>8</v>
      </c>
      <c r="N109">
        <f>VLOOKUP(all[[#This Row],[DEVELOPMENT]],Data[],26,FALSE)</f>
        <v>0</v>
      </c>
      <c r="O109">
        <f>VLOOKUP(all[[#This Row],[DEVELOPMENT]],Data[],30,FALSE)</f>
        <v>0</v>
      </c>
      <c r="P109">
        <f>VLOOKUP(all[[#This Row],[DEVELOPMENT]],Data[],28,FALSE)</f>
        <v>0</v>
      </c>
      <c r="Q109">
        <f>IF(all[[#This Row],['# Bulk Crushers]]=0,1,0)</f>
        <v>1</v>
      </c>
      <c r="R109" s="5">
        <f>IFERROR(INDEX(FWD[],MATCH($B109,FWD[DEVELOPMENT],0),MATCH("ESTIMATE",FWD[#Headers],0)),0)</f>
        <v>216560.72937168143</v>
      </c>
      <c r="S109" s="5">
        <f>IFERROR(INDEX(EHD[],MATCH($B109,EHD[DEVELOPMENT],0),MATCH("ESTIMATE",EHD[#Headers],0)),0)</f>
        <v>59485.148000000001</v>
      </c>
      <c r="T109" s="5">
        <f ca="1">IFERROR(INDEX(IntComp[],MATCH($B109,IntComp[DEVELOPMENT],0),MATCH("ESTIMATE",IntComp[#Headers],0)),0)</f>
        <v>589227.15599999996</v>
      </c>
      <c r="U109" s="5">
        <f>IFERROR(INDEX(Yards[],MATCH($B109,Yards[DEVELOPMENT],0),MATCH("ESTIMATE",Yards[#Headers],0)),0)</f>
        <v>1159792.78</v>
      </c>
      <c r="V109" s="128">
        <f ca="1">SUM(R109:U109)</f>
        <v>2025065.8133716814</v>
      </c>
      <c r="W109" s="5"/>
    </row>
    <row r="110" spans="1:23" x14ac:dyDescent="0.25">
      <c r="A110" s="131">
        <f>VLOOKUP(B110,Data[],24,FALSE)</f>
        <v>59</v>
      </c>
      <c r="B110" t="s">
        <v>232</v>
      </c>
      <c r="C110" t="str">
        <f>VLOOKUP(B110,Data[],2,FALSE)</f>
        <v>BRONX</v>
      </c>
      <c r="D110" t="str">
        <f>VLOOKUP(all[[#This Row],[DEVELOPMENT]],Data[],3,FALSE)</f>
        <v>FOREST</v>
      </c>
      <c r="E110" t="str">
        <f>VLOOKUP(B110,Data[],8,FALSE)</f>
        <v>Zone 4</v>
      </c>
      <c r="F110">
        <f>VLOOKUP(B110,Data[],9,FALSE)</f>
        <v>0</v>
      </c>
      <c r="G110" t="str">
        <f>IFERROR(VLOOKUP(B110,Data[],4,FALSE),"")</f>
        <v/>
      </c>
      <c r="H110" t="str">
        <f ca="1">IF(G110="","",IF((G110-YEAR(TODAY()))&lt;=5,"Yes",""))</f>
        <v/>
      </c>
      <c r="I110">
        <f>VLOOKUP(all[[#This Row],[DEVELOPMENT]],Data[],7,FALSE)</f>
        <v>1348</v>
      </c>
      <c r="J110">
        <f>VLOOKUP(all[[#This Row],[DEVELOPMENT]],Data[],25,FALSE)</f>
        <v>0</v>
      </c>
      <c r="K110">
        <f>VLOOKUP(all[[#This Row],[DEVELOPMENT]],Data[],5,FALSE)</f>
        <v>15</v>
      </c>
      <c r="L110">
        <f>VLOOKUP(all[[#This Row],[DEVELOPMENT]],Data[],27,FALSE)</f>
        <v>15</v>
      </c>
      <c r="M110">
        <f>VLOOKUP(all[[#This Row],[DEVELOPMENT]],Data[],31,FALSE)</f>
        <v>15</v>
      </c>
      <c r="N110">
        <f>VLOOKUP(all[[#This Row],[DEVELOPMENT]],Data[],26,FALSE)</f>
        <v>3</v>
      </c>
      <c r="O110">
        <f>VLOOKUP(all[[#This Row],[DEVELOPMENT]],Data[],30,FALSE)</f>
        <v>3</v>
      </c>
      <c r="P110">
        <f>VLOOKUP(all[[#This Row],[DEVELOPMENT]],Data[],28,FALSE)</f>
        <v>0</v>
      </c>
      <c r="Q110">
        <f>IF(all[[#This Row],['# Bulk Crushers]]=0,1,0)</f>
        <v>1</v>
      </c>
      <c r="R110" s="5">
        <f>IFERROR(INDEX(FWD[],MATCH($B110,FWD[DEVELOPMENT],0),MATCH("ESTIMATE",FWD[#Headers],0)),0)</f>
        <v>0</v>
      </c>
      <c r="S110" s="5">
        <f>IFERROR(INDEX(EHD[],MATCH($B110,EHD[DEVELOPMENT],0),MATCH("ESTIMATE",EHD[#Headers],0)),0)</f>
        <v>111534.6525</v>
      </c>
      <c r="T110" s="5">
        <f ca="1">IFERROR(INDEX(IntComp[],MATCH($B110,IntComp[DEVELOPMENT],0),MATCH("ESTIMATE",IntComp[#Headers],0)),0)</f>
        <v>1104800.9175</v>
      </c>
      <c r="U110" s="5">
        <f ca="1">IFERROR(INDEX(Yards[],MATCH($B110,Yards[DEVELOPMENT],0),MATCH("ESTIMATE",Yards[#Headers],0)),0)</f>
        <v>2022307.2600000005</v>
      </c>
      <c r="V110" s="128">
        <f ca="1">SUM(R110:U110)</f>
        <v>3238642.8300000005</v>
      </c>
      <c r="W110" s="5"/>
    </row>
    <row r="111" spans="1:23" x14ac:dyDescent="0.25">
      <c r="A111" s="131">
        <f>VLOOKUP(B111,Data[],24,FALSE)</f>
        <v>197</v>
      </c>
      <c r="B111" t="s">
        <v>233</v>
      </c>
      <c r="C111" t="str">
        <f>VLOOKUP(B111,Data[],2,FALSE)</f>
        <v>BRONX</v>
      </c>
      <c r="D111" t="str">
        <f>VLOOKUP(all[[#This Row],[DEVELOPMENT]],Data[],3,FALSE)</f>
        <v>FORT INDEPENDENCE</v>
      </c>
      <c r="E111">
        <f>VLOOKUP(B111,Data[],8,FALSE)</f>
        <v>0</v>
      </c>
      <c r="F111">
        <f>VLOOKUP(B111,Data[],9,FALSE)</f>
        <v>0</v>
      </c>
      <c r="G111" t="str">
        <f>IFERROR(VLOOKUP(B111,Data[],4,FALSE),"")</f>
        <v/>
      </c>
      <c r="H111" t="str">
        <f ca="1">IF(G111="","",IF((G111-YEAR(TODAY()))&lt;=5,"Yes",""))</f>
        <v/>
      </c>
      <c r="I111">
        <f>VLOOKUP(all[[#This Row],[DEVELOPMENT]],Data[],7,FALSE)</f>
        <v>342</v>
      </c>
      <c r="J111">
        <f>VLOOKUP(all[[#This Row],[DEVELOPMENT]],Data[],25,FALSE)</f>
        <v>0</v>
      </c>
      <c r="K111">
        <f>VLOOKUP(all[[#This Row],[DEVELOPMENT]],Data[],5,FALSE)</f>
        <v>1</v>
      </c>
      <c r="L111">
        <f>VLOOKUP(all[[#This Row],[DEVELOPMENT]],Data[],27,FALSE)</f>
        <v>2</v>
      </c>
      <c r="M111">
        <f>VLOOKUP(all[[#This Row],[DEVELOPMENT]],Data[],31,FALSE)</f>
        <v>2</v>
      </c>
      <c r="N111">
        <f>VLOOKUP(all[[#This Row],[DEVELOPMENT]],Data[],26,FALSE)</f>
        <v>1</v>
      </c>
      <c r="O111">
        <f>VLOOKUP(all[[#This Row],[DEVELOPMENT]],Data[],30,FALSE)</f>
        <v>1</v>
      </c>
      <c r="P111">
        <f>VLOOKUP(all[[#This Row],[DEVELOPMENT]],Data[],28,FALSE)</f>
        <v>0</v>
      </c>
      <c r="Q111">
        <f>IF(all[[#This Row],['# Bulk Crushers]]=0,1,0)</f>
        <v>1</v>
      </c>
      <c r="R111" s="5">
        <f>IFERROR(INDEX(FWD[],MATCH($B111,FWD[DEVELOPMENT],0),MATCH("ESTIMATE",FWD[#Headers],0)),0)</f>
        <v>0</v>
      </c>
      <c r="S111" s="5">
        <f>IFERROR(INDEX(EHD[],MATCH($B111,EHD[DEVELOPMENT],0),MATCH("ESTIMATE",EHD[#Headers],0)),0)</f>
        <v>14871.287</v>
      </c>
      <c r="T111" s="5">
        <f ca="1">IFERROR(INDEX(IntComp[],MATCH($B111,IntComp[DEVELOPMENT],0),MATCH("ESTIMATE",IntComp[#Headers],0)),0)</f>
        <v>147306.78899999999</v>
      </c>
      <c r="U111" s="5">
        <f ca="1">IFERROR(INDEX(Yards[],MATCH($B111,Yards[DEVELOPMENT],0),MATCH("ESTIMATE",Yards[#Headers],0)),0)</f>
        <v>1159792.78</v>
      </c>
      <c r="V111" s="128">
        <f ca="1">SUM(R111:U111)</f>
        <v>1321970.8560000001</v>
      </c>
      <c r="W111" s="5"/>
    </row>
    <row r="112" spans="1:23" x14ac:dyDescent="0.25">
      <c r="A112" s="131">
        <f>VLOOKUP(B112,Data[],24,FALSE)</f>
        <v>309</v>
      </c>
      <c r="B112" t="s">
        <v>79</v>
      </c>
      <c r="C112" t="str">
        <f>VLOOKUP(B112,Data[],2,FALSE)</f>
        <v>MANHATTAN</v>
      </c>
      <c r="D112" t="str">
        <f>VLOOKUP(all[[#This Row],[DEVELOPMENT]],Data[],3,FALSE)</f>
        <v>FORT WASHINGTON</v>
      </c>
      <c r="E112" t="str">
        <f>VLOOKUP(B112,Data[],8,FALSE)</f>
        <v>Zone 3</v>
      </c>
      <c r="F112" t="str">
        <f>VLOOKUP(B112,Data[],9,FALSE)</f>
        <v>$</v>
      </c>
      <c r="G112">
        <f>IFERROR(VLOOKUP(B112,Data[],4,FALSE),"")</f>
        <v>2019</v>
      </c>
      <c r="H112" t="str">
        <f ca="1">IF(G112="","",IF((G112-YEAR(TODAY()))&lt;=5,"Yes",""))</f>
        <v>Yes</v>
      </c>
      <c r="I112">
        <f>VLOOKUP(all[[#This Row],[DEVELOPMENT]],Data[],7,FALSE)</f>
        <v>226</v>
      </c>
      <c r="J112">
        <f>VLOOKUP(all[[#This Row],[DEVELOPMENT]],Data[],25,FALSE)</f>
        <v>0</v>
      </c>
      <c r="K112">
        <f>VLOOKUP(all[[#This Row],[DEVELOPMENT]],Data[],5,FALSE)</f>
        <v>1</v>
      </c>
      <c r="L112">
        <f>VLOOKUP(all[[#This Row],[DEVELOPMENT]],Data[],27,FALSE)</f>
        <v>2</v>
      </c>
      <c r="M112">
        <f>VLOOKUP(all[[#This Row],[DEVELOPMENT]],Data[],31,FALSE)</f>
        <v>2</v>
      </c>
      <c r="N112">
        <f>VLOOKUP(all[[#This Row],[DEVELOPMENT]],Data[],26,FALSE)</f>
        <v>0</v>
      </c>
      <c r="O112">
        <f>VLOOKUP(all[[#This Row],[DEVELOPMENT]],Data[],30,FALSE)</f>
        <v>0</v>
      </c>
      <c r="P112">
        <f>VLOOKUP(all[[#This Row],[DEVELOPMENT]],Data[],28,FALSE)</f>
        <v>0</v>
      </c>
      <c r="Q112">
        <f>IF(all[[#This Row],['# Bulk Crushers]]=0,1,0)</f>
        <v>1</v>
      </c>
      <c r="R112" s="5">
        <f>IFERROR(INDEX(FWD[],MATCH($B112,FWD[DEVELOPMENT],0),MATCH("ESTIMATE",FWD[#Headers],0)),0)</f>
        <v>0</v>
      </c>
      <c r="S112" s="5">
        <f>IFERROR(INDEX(EHD[],MATCH($B112,EHD[DEVELOPMENT],0),MATCH("ESTIMATE",EHD[#Headers],0)),0)</f>
        <v>0</v>
      </c>
      <c r="T112" s="5">
        <f ca="1">IFERROR(INDEX(IntComp[],MATCH($B112,IntComp[DEVELOPMENT],0),MATCH("ESTIMATE",IntComp[#Headers],0)),0)</f>
        <v>0</v>
      </c>
      <c r="U112" s="5">
        <f>IFERROR(INDEX(Yards[],MATCH($B112,Yards[DEVELOPMENT],0),MATCH("ESTIMATE",Yards[#Headers],0)),0)</f>
        <v>0</v>
      </c>
      <c r="V112" s="128">
        <f ca="1">SUM(R112:U112)</f>
        <v>0</v>
      </c>
      <c r="W112" s="5"/>
    </row>
    <row r="113" spans="1:23" x14ac:dyDescent="0.25">
      <c r="A113" s="131">
        <f>VLOOKUP(B113,Data[],24,FALSE)</f>
        <v>136</v>
      </c>
      <c r="B113" t="s">
        <v>111</v>
      </c>
      <c r="C113" t="str">
        <f>VLOOKUP(B113,Data[],2,FALSE)</f>
        <v>MANHATTAN</v>
      </c>
      <c r="D113" t="str">
        <f>VLOOKUP(all[[#This Row],[DEVELOPMENT]],Data[],3,FALSE)</f>
        <v>FULTON</v>
      </c>
      <c r="E113" t="str">
        <f>VLOOKUP(B113,Data[],8,FALSE)</f>
        <v>Zone 3</v>
      </c>
      <c r="F113" t="str">
        <f>VLOOKUP(B113,Data[],9,FALSE)</f>
        <v>$</v>
      </c>
      <c r="G113" t="str">
        <f>IFERROR(VLOOKUP(B113,Data[],4,FALSE),"")</f>
        <v/>
      </c>
      <c r="H113" t="str">
        <f ca="1">IF(G113="","",IF((G113-YEAR(TODAY()))&lt;=5,"Yes",""))</f>
        <v/>
      </c>
      <c r="I113">
        <f>VLOOKUP(all[[#This Row],[DEVELOPMENT]],Data[],7,FALSE)</f>
        <v>944</v>
      </c>
      <c r="J113">
        <f>VLOOKUP(all[[#This Row],[DEVELOPMENT]],Data[],25,FALSE)</f>
        <v>0</v>
      </c>
      <c r="K113">
        <f>VLOOKUP(all[[#This Row],[DEVELOPMENT]],Data[],5,FALSE)</f>
        <v>11</v>
      </c>
      <c r="L113">
        <f>VLOOKUP(all[[#This Row],[DEVELOPMENT]],Data[],27,FALSE)</f>
        <v>19</v>
      </c>
      <c r="M113">
        <f>VLOOKUP(all[[#This Row],[DEVELOPMENT]],Data[],31,FALSE)</f>
        <v>19</v>
      </c>
      <c r="N113">
        <f>VLOOKUP(all[[#This Row],[DEVELOPMENT]],Data[],26,FALSE)</f>
        <v>2</v>
      </c>
      <c r="O113">
        <f>VLOOKUP(all[[#This Row],[DEVELOPMENT]],Data[],30,FALSE)</f>
        <v>2</v>
      </c>
      <c r="P113">
        <f>VLOOKUP(all[[#This Row],[DEVELOPMENT]],Data[],28,FALSE)</f>
        <v>0</v>
      </c>
      <c r="Q113">
        <f>IF(all[[#This Row],['# Bulk Crushers]]=0,1,0)</f>
        <v>1</v>
      </c>
      <c r="R113" s="5">
        <f>IFERROR(INDEX(FWD[],MATCH($B113,FWD[DEVELOPMENT],0),MATCH("ESTIMATE",FWD[#Headers],0)),0)</f>
        <v>0</v>
      </c>
      <c r="S113" s="5">
        <f>IFERROR(INDEX(EHD[],MATCH($B113,EHD[DEVELOPMENT],0),MATCH("ESTIMATE",EHD[#Headers],0)),0)</f>
        <v>141277.22649999999</v>
      </c>
      <c r="T113" s="5">
        <f ca="1">IFERROR(INDEX(IntComp[],MATCH($B113,IntComp[DEVELOPMENT],0),MATCH("ESTIMATE",IntComp[#Headers],0)),0)</f>
        <v>1399414.4955</v>
      </c>
      <c r="U113" s="5">
        <f ca="1">IFERROR(INDEX(Yards[],MATCH($B113,Yards[DEVELOPMENT],0),MATCH("ESTIMATE",Yards[#Headers],0)),0)</f>
        <v>1591050.0199999998</v>
      </c>
      <c r="V113" s="128">
        <f ca="1">SUM(R113:U113)</f>
        <v>3131741.7419999996</v>
      </c>
      <c r="W113" s="5"/>
    </row>
    <row r="114" spans="1:23" x14ac:dyDescent="0.25">
      <c r="A114" s="131">
        <f>VLOOKUP(B114,Data[],24,FALSE)</f>
        <v>252</v>
      </c>
      <c r="B114" t="s">
        <v>234</v>
      </c>
      <c r="C114" t="str">
        <f>VLOOKUP(B114,Data[],2,FALSE)</f>
        <v>BROOKLYN</v>
      </c>
      <c r="D114" t="str">
        <f>VLOOKUP(all[[#This Row],[DEVELOPMENT]],Data[],3,FALSE)</f>
        <v>GARVEY</v>
      </c>
      <c r="E114">
        <f>VLOOKUP(B114,Data[],8,FALSE)</f>
        <v>0</v>
      </c>
      <c r="F114">
        <f>VLOOKUP(B114,Data[],9,FALSE)</f>
        <v>0</v>
      </c>
      <c r="G114" t="str">
        <f>IFERROR(VLOOKUP(B114,Data[],4,FALSE),"")</f>
        <v/>
      </c>
      <c r="H114" t="str">
        <f ca="1">IF(G114="","",IF((G114-YEAR(TODAY()))&lt;=5,"Yes",""))</f>
        <v/>
      </c>
      <c r="I114">
        <f>VLOOKUP(all[[#This Row],[DEVELOPMENT]],Data[],7,FALSE)</f>
        <v>320</v>
      </c>
      <c r="J114">
        <f>VLOOKUP(all[[#This Row],[DEVELOPMENT]],Data[],25,FALSE)</f>
        <v>0</v>
      </c>
      <c r="K114">
        <f>VLOOKUP(all[[#This Row],[DEVELOPMENT]],Data[],5,FALSE)</f>
        <v>3</v>
      </c>
      <c r="L114">
        <f>VLOOKUP(all[[#This Row],[DEVELOPMENT]],Data[],27,FALSE)</f>
        <v>5</v>
      </c>
      <c r="M114">
        <f>VLOOKUP(all[[#This Row],[DEVELOPMENT]],Data[],31,FALSE)</f>
        <v>5</v>
      </c>
      <c r="N114">
        <f>VLOOKUP(all[[#This Row],[DEVELOPMENT]],Data[],26,FALSE)</f>
        <v>0</v>
      </c>
      <c r="O114">
        <f>VLOOKUP(all[[#This Row],[DEVELOPMENT]],Data[],30,FALSE)</f>
        <v>0</v>
      </c>
      <c r="P114">
        <f>VLOOKUP(all[[#This Row],[DEVELOPMENT]],Data[],28,FALSE)</f>
        <v>0</v>
      </c>
      <c r="Q114">
        <f>IF(all[[#This Row],['# Bulk Crushers]]=0,1,0)</f>
        <v>1</v>
      </c>
      <c r="R114" s="5">
        <f>IFERROR(INDEX(FWD[],MATCH($B114,FWD[DEVELOPMENT],0),MATCH("ESTIMATE",FWD[#Headers],0)),0)</f>
        <v>0</v>
      </c>
      <c r="S114" s="5">
        <f>IFERROR(INDEX(EHD[],MATCH($B114,EHD[DEVELOPMENT],0),MATCH("ESTIMATE",EHD[#Headers],0)),0)</f>
        <v>37178.217499999999</v>
      </c>
      <c r="T114" s="5">
        <f ca="1">IFERROR(INDEX(IntComp[],MATCH($B114,IntComp[DEVELOPMENT],0),MATCH("ESTIMATE",IntComp[#Headers],0)),0)</f>
        <v>368266.97249999997</v>
      </c>
      <c r="U114" s="5">
        <f>IFERROR(INDEX(Yards[],MATCH($B114,Yards[DEVELOPMENT],0),MATCH("ESTIMATE",Yards[#Headers],0)),0)</f>
        <v>1159792.78</v>
      </c>
      <c r="V114" s="128">
        <f ca="1">SUM(R114:U114)</f>
        <v>1565237.97</v>
      </c>
      <c r="W114" s="5"/>
    </row>
    <row r="115" spans="1:23" x14ac:dyDescent="0.25">
      <c r="A115" s="131">
        <f>VLOOKUP(B115,Data[],24,FALSE)</f>
        <v>225</v>
      </c>
      <c r="B115" t="s">
        <v>235</v>
      </c>
      <c r="C115" t="str">
        <f>VLOOKUP(B115,Data[],2,FALSE)</f>
        <v>BRONX</v>
      </c>
      <c r="D115" t="str">
        <f>VLOOKUP(all[[#This Row],[DEVELOPMENT]],Data[],3,FALSE)</f>
        <v>SOTOMAYOR HOUSES</v>
      </c>
      <c r="E115">
        <f>VLOOKUP(B115,Data[],8,FALSE)</f>
        <v>0</v>
      </c>
      <c r="F115">
        <f>VLOOKUP(B115,Data[],9,FALSE)</f>
        <v>0</v>
      </c>
      <c r="G115">
        <f>IFERROR(VLOOKUP(B115,Data[],4,FALSE),"")</f>
        <v>2021</v>
      </c>
      <c r="H115" t="str">
        <f ca="1">IF(G115="","",IF((G115-YEAR(TODAY()))&lt;=5,"Yes",""))</f>
        <v>Yes</v>
      </c>
      <c r="I115">
        <f>VLOOKUP(all[[#This Row],[DEVELOPMENT]],Data[],7,FALSE)</f>
        <v>131</v>
      </c>
      <c r="J115">
        <f>VLOOKUP(all[[#This Row],[DEVELOPMENT]],Data[],25,FALSE)</f>
        <v>0</v>
      </c>
      <c r="K115">
        <f>VLOOKUP(all[[#This Row],[DEVELOPMENT]],Data[],5,FALSE)</f>
        <v>1</v>
      </c>
      <c r="L115">
        <f>VLOOKUP(all[[#This Row],[DEVELOPMENT]],Data[],27,FALSE)</f>
        <v>2</v>
      </c>
      <c r="M115">
        <f>VLOOKUP(all[[#This Row],[DEVELOPMENT]],Data[],31,FALSE)</f>
        <v>2</v>
      </c>
      <c r="N115">
        <f>VLOOKUP(all[[#This Row],[DEVELOPMENT]],Data[],26,FALSE)</f>
        <v>0</v>
      </c>
      <c r="O115">
        <f>VLOOKUP(all[[#This Row],[DEVELOPMENT]],Data[],30,FALSE)</f>
        <v>0</v>
      </c>
      <c r="P115">
        <f>VLOOKUP(all[[#This Row],[DEVELOPMENT]],Data[],28,FALSE)</f>
        <v>0</v>
      </c>
      <c r="Q115">
        <f>IF(all[[#This Row],['# Bulk Crushers]]=0,1,0)</f>
        <v>1</v>
      </c>
      <c r="R115" s="5">
        <f>IFERROR(INDEX(FWD[],MATCH($B115,FWD[DEVELOPMENT],0),MATCH("ESTIMATE",FWD[#Headers],0)),0)</f>
        <v>0</v>
      </c>
      <c r="S115" s="5">
        <f>IFERROR(INDEX(EHD[],MATCH($B115,EHD[DEVELOPMENT],0),MATCH("ESTIMATE",EHD[#Headers],0)),0)</f>
        <v>14871.287</v>
      </c>
      <c r="T115" s="5">
        <f ca="1">IFERROR(INDEX(IntComp[],MATCH($B115,IntComp[DEVELOPMENT],0),MATCH("ESTIMATE",IntComp[#Headers],0)),0)</f>
        <v>0</v>
      </c>
      <c r="U115" s="5">
        <f>IFERROR(INDEX(Yards[],MATCH($B115,Yards[DEVELOPMENT],0),MATCH("ESTIMATE",Yards[#Headers],0)),0)</f>
        <v>0</v>
      </c>
      <c r="V115" s="128">
        <f ca="1">SUM(R115:U115)</f>
        <v>14871.287</v>
      </c>
      <c r="W115" s="5"/>
    </row>
    <row r="116" spans="1:23" x14ac:dyDescent="0.25">
      <c r="A116" s="131">
        <f>VLOOKUP(B116,Data[],24,FALSE)</f>
        <v>171</v>
      </c>
      <c r="B116" t="s">
        <v>236</v>
      </c>
      <c r="C116" t="str">
        <f>VLOOKUP(B116,Data[],2,FALSE)</f>
        <v>BROOKLYN</v>
      </c>
      <c r="D116" t="str">
        <f>VLOOKUP(all[[#This Row],[DEVELOPMENT]],Data[],3,FALSE)</f>
        <v>LOW HOUSES</v>
      </c>
      <c r="E116">
        <f>VLOOKUP(B116,Data[],8,FALSE)</f>
        <v>0</v>
      </c>
      <c r="F116">
        <f>VLOOKUP(B116,Data[],9,FALSE)</f>
        <v>0</v>
      </c>
      <c r="G116" t="str">
        <f>IFERROR(VLOOKUP(B116,Data[],4,FALSE),"")</f>
        <v/>
      </c>
      <c r="H116" t="str">
        <f ca="1">IF(G116="","",IF((G116-YEAR(TODAY()))&lt;=5,"Yes",""))</f>
        <v/>
      </c>
      <c r="I116">
        <f>VLOOKUP(all[[#This Row],[DEVELOPMENT]],Data[],7,FALSE)</f>
        <v>439</v>
      </c>
      <c r="J116">
        <f>VLOOKUP(all[[#This Row],[DEVELOPMENT]],Data[],25,FALSE)</f>
        <v>0</v>
      </c>
      <c r="K116">
        <f>VLOOKUP(all[[#This Row],[DEVELOPMENT]],Data[],5,FALSE)</f>
        <v>4</v>
      </c>
      <c r="L116">
        <f>VLOOKUP(all[[#This Row],[DEVELOPMENT]],Data[],27,FALSE)</f>
        <v>4</v>
      </c>
      <c r="M116">
        <f>VLOOKUP(all[[#This Row],[DEVELOPMENT]],Data[],31,FALSE)</f>
        <v>4</v>
      </c>
      <c r="N116">
        <f>VLOOKUP(all[[#This Row],[DEVELOPMENT]],Data[],26,FALSE)</f>
        <v>0</v>
      </c>
      <c r="O116">
        <f>VLOOKUP(all[[#This Row],[DEVELOPMENT]],Data[],30,FALSE)</f>
        <v>0</v>
      </c>
      <c r="P116">
        <f>VLOOKUP(all[[#This Row],[DEVELOPMENT]],Data[],28,FALSE)</f>
        <v>0</v>
      </c>
      <c r="Q116">
        <f>IF(all[[#This Row],['# Bulk Crushers]]=0,1,0)</f>
        <v>1</v>
      </c>
      <c r="R116" s="5">
        <f>IFERROR(INDEX(FWD[],MATCH($B116,FWD[DEVELOPMENT],0),MATCH("ESTIMATE",FWD[#Headers],0)),0)</f>
        <v>0</v>
      </c>
      <c r="S116" s="5">
        <f>IFERROR(INDEX(EHD[],MATCH($B116,EHD[DEVELOPMENT],0),MATCH("ESTIMATE",EHD[#Headers],0)),0)</f>
        <v>29742.574000000001</v>
      </c>
      <c r="T116" s="5">
        <f ca="1">IFERROR(INDEX(IntComp[],MATCH($B116,IntComp[DEVELOPMENT],0),MATCH("ESTIMATE",IntComp[#Headers],0)),0)</f>
        <v>294613.57799999998</v>
      </c>
      <c r="U116" s="5">
        <f>IFERROR(INDEX(Yards[],MATCH($B116,Yards[DEVELOPMENT],0),MATCH("ESTIMATE",Yards[#Headers],0)),0)</f>
        <v>1159792.78</v>
      </c>
      <c r="V116" s="128">
        <f ca="1">SUM(R116:U116)</f>
        <v>1484148.932</v>
      </c>
      <c r="W116" s="5"/>
    </row>
    <row r="117" spans="1:23" x14ac:dyDescent="0.25">
      <c r="A117" s="131">
        <f>VLOOKUP(B117,Data[],24,FALSE)</f>
        <v>44</v>
      </c>
      <c r="B117" t="s">
        <v>237</v>
      </c>
      <c r="C117" t="str">
        <f>VLOOKUP(B117,Data[],2,FALSE)</f>
        <v>BROOKLYN</v>
      </c>
      <c r="D117" t="str">
        <f>VLOOKUP(all[[#This Row],[DEVELOPMENT]],Data[],3,FALSE)</f>
        <v>GLENWOOD</v>
      </c>
      <c r="E117">
        <f>VLOOKUP(B117,Data[],8,FALSE)</f>
        <v>0</v>
      </c>
      <c r="F117">
        <f>VLOOKUP(B117,Data[],9,FALSE)</f>
        <v>0</v>
      </c>
      <c r="G117">
        <f>IFERROR(VLOOKUP(B117,Data[],4,FALSE),"")</f>
        <v>2028</v>
      </c>
      <c r="H117" t="str">
        <f ca="1">IF(G117="","",IF((G117-YEAR(TODAY()))&lt;=5,"Yes",""))</f>
        <v/>
      </c>
      <c r="I117">
        <f>VLOOKUP(all[[#This Row],[DEVELOPMENT]],Data[],7,FALSE)</f>
        <v>1186</v>
      </c>
      <c r="J117">
        <f>VLOOKUP(all[[#This Row],[DEVELOPMENT]],Data[],25,FALSE)</f>
        <v>0</v>
      </c>
      <c r="K117">
        <f>VLOOKUP(all[[#This Row],[DEVELOPMENT]],Data[],5,FALSE)</f>
        <v>20</v>
      </c>
      <c r="L117">
        <f>VLOOKUP(all[[#This Row],[DEVELOPMENT]],Data[],27,FALSE)</f>
        <v>40</v>
      </c>
      <c r="M117">
        <f>VLOOKUP(all[[#This Row],[DEVELOPMENT]],Data[],31,FALSE)</f>
        <v>40</v>
      </c>
      <c r="N117">
        <f>VLOOKUP(all[[#This Row],[DEVELOPMENT]],Data[],26,FALSE)</f>
        <v>0</v>
      </c>
      <c r="O117">
        <f>VLOOKUP(all[[#This Row],[DEVELOPMENT]],Data[],30,FALSE)</f>
        <v>0</v>
      </c>
      <c r="P117">
        <f>VLOOKUP(all[[#This Row],[DEVELOPMENT]],Data[],28,FALSE)</f>
        <v>0</v>
      </c>
      <c r="Q117">
        <f>IF(all[[#This Row],['# Bulk Crushers]]=0,1,0)</f>
        <v>1</v>
      </c>
      <c r="R117" s="5">
        <f>IFERROR(INDEX(FWD[],MATCH($B117,FWD[DEVELOPMENT],0),MATCH("ESTIMATE",FWD[#Headers],0)),0)</f>
        <v>0</v>
      </c>
      <c r="S117" s="5">
        <f>IFERROR(INDEX(EHD[],MATCH($B117,EHD[DEVELOPMENT],0),MATCH("ESTIMATE",EHD[#Headers],0)),0)</f>
        <v>297425.74</v>
      </c>
      <c r="T117" s="5">
        <f ca="1">IFERROR(INDEX(IntComp[],MATCH($B117,IntComp[DEVELOPMENT],0),MATCH("ESTIMATE",IntComp[#Headers],0)),0)</f>
        <v>2946135.78</v>
      </c>
      <c r="U117" s="5">
        <f>IFERROR(INDEX(Yards[],MATCH($B117,Yards[DEVELOPMENT],0),MATCH("ESTIMATE",Yards[#Headers],0)),0)</f>
        <v>1159792.78</v>
      </c>
      <c r="V117" s="128">
        <f ca="1">SUM(R117:U117)</f>
        <v>4403354.3</v>
      </c>
      <c r="W117" s="5"/>
    </row>
    <row r="118" spans="1:23" x14ac:dyDescent="0.25">
      <c r="A118" s="131">
        <f>VLOOKUP(B118,Data[],24,FALSE)</f>
        <v>100</v>
      </c>
      <c r="B118" t="s">
        <v>61</v>
      </c>
      <c r="C118" t="str">
        <f>VLOOKUP(B118,Data[],2,FALSE)</f>
        <v>MANHATTAN</v>
      </c>
      <c r="D118" t="str">
        <f>VLOOKUP(all[[#This Row],[DEVELOPMENT]],Data[],3,FALSE)</f>
        <v>GOMPERS</v>
      </c>
      <c r="E118" t="str">
        <f>VLOOKUP(B118,Data[],8,FALSE)</f>
        <v>Zone 1</v>
      </c>
      <c r="F118" t="str">
        <f>VLOOKUP(B118,Data[],9,FALSE)</f>
        <v>$</v>
      </c>
      <c r="G118" t="str">
        <f>IFERROR(VLOOKUP(B118,Data[],4,FALSE),"")</f>
        <v/>
      </c>
      <c r="H118" t="str">
        <f ca="1">IF(G118="","",IF((G118-YEAR(TODAY()))&lt;=5,"Yes",""))</f>
        <v/>
      </c>
      <c r="I118">
        <f>VLOOKUP(all[[#This Row],[DEVELOPMENT]],Data[],7,FALSE)</f>
        <v>472</v>
      </c>
      <c r="J118" t="str">
        <f>VLOOKUP(all[[#This Row],[DEVELOPMENT]],Data[],25,FALSE)</f>
        <v>Yes</v>
      </c>
      <c r="K118">
        <f>VLOOKUP(all[[#This Row],[DEVELOPMENT]],Data[],5,FALSE)</f>
        <v>2</v>
      </c>
      <c r="L118">
        <f>VLOOKUP(all[[#This Row],[DEVELOPMENT]],Data[],27,FALSE)</f>
        <v>4</v>
      </c>
      <c r="M118">
        <f>VLOOKUP(all[[#This Row],[DEVELOPMENT]],Data[],31,FALSE)</f>
        <v>4</v>
      </c>
      <c r="N118">
        <f>VLOOKUP(all[[#This Row],[DEVELOPMENT]],Data[],26,FALSE)</f>
        <v>1</v>
      </c>
      <c r="O118">
        <f>VLOOKUP(all[[#This Row],[DEVELOPMENT]],Data[],30,FALSE)</f>
        <v>1</v>
      </c>
      <c r="P118">
        <f>VLOOKUP(all[[#This Row],[DEVELOPMENT]],Data[],28,FALSE)</f>
        <v>0</v>
      </c>
      <c r="Q118">
        <f>IF(all[[#This Row],['# Bulk Crushers]]=0,1,0)</f>
        <v>1</v>
      </c>
      <c r="R118" s="5">
        <f>IFERROR(INDEX(FWD[],MATCH($B118,FWD[DEVELOPMENT],0),MATCH("ESTIMATE",FWD[#Headers],0)),0)</f>
        <v>811243.36717010813</v>
      </c>
      <c r="S118" s="5">
        <f>IFERROR(INDEX(EHD[],MATCH($B118,EHD[DEVELOPMENT],0),MATCH("ESTIMATE",EHD[#Headers],0)),0)</f>
        <v>29742.574000000001</v>
      </c>
      <c r="T118" s="5">
        <f ca="1">IFERROR(INDEX(IntComp[],MATCH($B118,IntComp[DEVELOPMENT],0),MATCH("ESTIMATE",IntComp[#Headers],0)),0)</f>
        <v>294613.57799999998</v>
      </c>
      <c r="U118" s="5">
        <f ca="1">IFERROR(INDEX(Yards[],MATCH($B118,Yards[DEVELOPMENT],0),MATCH("ESTIMATE",Yards[#Headers],0)),0)</f>
        <v>1159792.78</v>
      </c>
      <c r="V118" s="128">
        <f ca="1">SUM(R118:U118)</f>
        <v>2295392.2991701085</v>
      </c>
      <c r="W118" s="5"/>
    </row>
    <row r="119" spans="1:23" x14ac:dyDescent="0.25">
      <c r="A119" s="131">
        <f>VLOOKUP(B119,Data[],24,FALSE)</f>
        <v>25</v>
      </c>
      <c r="B119" t="s">
        <v>238</v>
      </c>
      <c r="C119" t="str">
        <f>VLOOKUP(B119,Data[],2,FALSE)</f>
        <v>BROOKLYN</v>
      </c>
      <c r="D119" t="str">
        <f>VLOOKUP(all[[#This Row],[DEVELOPMENT]],Data[],3,FALSE)</f>
        <v>GOWANUS</v>
      </c>
      <c r="E119">
        <f>VLOOKUP(B119,Data[],8,FALSE)</f>
        <v>0</v>
      </c>
      <c r="F119">
        <f>VLOOKUP(B119,Data[],9,FALSE)</f>
        <v>0</v>
      </c>
      <c r="G119" t="str">
        <f>IFERROR(VLOOKUP(B119,Data[],4,FALSE),"")</f>
        <v/>
      </c>
      <c r="H119" t="str">
        <f ca="1">IF(G119="","",IF((G119-YEAR(TODAY()))&lt;=5,"Yes",""))</f>
        <v/>
      </c>
      <c r="I119">
        <f>VLOOKUP(all[[#This Row],[DEVELOPMENT]],Data[],7,FALSE)</f>
        <v>1137</v>
      </c>
      <c r="J119">
        <f>VLOOKUP(all[[#This Row],[DEVELOPMENT]],Data[],25,FALSE)</f>
        <v>0</v>
      </c>
      <c r="K119">
        <f>VLOOKUP(all[[#This Row],[DEVELOPMENT]],Data[],5,FALSE)</f>
        <v>15</v>
      </c>
      <c r="L119">
        <f>VLOOKUP(all[[#This Row],[DEVELOPMENT]],Data[],27,FALSE)</f>
        <v>24</v>
      </c>
      <c r="M119">
        <f>VLOOKUP(all[[#This Row],[DEVELOPMENT]],Data[],31,FALSE)</f>
        <v>24</v>
      </c>
      <c r="N119">
        <f>VLOOKUP(all[[#This Row],[DEVELOPMENT]],Data[],26,FALSE)</f>
        <v>3</v>
      </c>
      <c r="O119">
        <f>VLOOKUP(all[[#This Row],[DEVELOPMENT]],Data[],30,FALSE)</f>
        <v>3</v>
      </c>
      <c r="P119">
        <f>VLOOKUP(all[[#This Row],[DEVELOPMENT]],Data[],28,FALSE)</f>
        <v>0</v>
      </c>
      <c r="Q119">
        <f>IF(all[[#This Row],['# Bulk Crushers]]=0,1,0)</f>
        <v>1</v>
      </c>
      <c r="R119" s="5">
        <f>IFERROR(INDEX(FWD[],MATCH($B119,FWD[DEVELOPMENT],0),MATCH("ESTIMATE",FWD[#Headers],0)),0)</f>
        <v>0</v>
      </c>
      <c r="S119" s="5">
        <f>IFERROR(INDEX(EHD[],MATCH($B119,EHD[DEVELOPMENT],0),MATCH("ESTIMATE",EHD[#Headers],0)),0)</f>
        <v>178455.44400000002</v>
      </c>
      <c r="T119" s="5">
        <f ca="1">IFERROR(INDEX(IntComp[],MATCH($B119,IntComp[DEVELOPMENT],0),MATCH("ESTIMATE",IntComp[#Headers],0)),0)</f>
        <v>1767681.4679999996</v>
      </c>
      <c r="U119" s="5">
        <f ca="1">IFERROR(INDEX(Yards[],MATCH($B119,Yards[DEVELOPMENT],0),MATCH("ESTIMATE",Yards[#Headers],0)),0)</f>
        <v>2022307.2600000005</v>
      </c>
      <c r="V119" s="128">
        <f ca="1">SUM(R119:U119)</f>
        <v>3968444.1720000003</v>
      </c>
      <c r="W119" s="5"/>
    </row>
    <row r="120" spans="1:23" x14ac:dyDescent="0.25">
      <c r="A120" s="131">
        <f>VLOOKUP(B120,Data[],24,FALSE)</f>
        <v>281</v>
      </c>
      <c r="B120" t="s">
        <v>80</v>
      </c>
      <c r="C120" t="str">
        <f>VLOOKUP(B120,Data[],2,FALSE)</f>
        <v>MANHATTAN</v>
      </c>
      <c r="D120" t="str">
        <f>VLOOKUP(all[[#This Row],[DEVELOPMENT]],Data[],3,FALSE)</f>
        <v>KING TOWERS</v>
      </c>
      <c r="E120" t="str">
        <f>VLOOKUP(B120,Data[],8,FALSE)</f>
        <v>Zone 3</v>
      </c>
      <c r="F120" t="str">
        <f>VLOOKUP(B120,Data[],9,FALSE)</f>
        <v>$</v>
      </c>
      <c r="G120">
        <f>IFERROR(VLOOKUP(B120,Data[],4,FALSE),"")</f>
        <v>2019</v>
      </c>
      <c r="H120" t="str">
        <f ca="1">IF(G120="","",IF((G120-YEAR(TODAY()))&lt;=5,"Yes",""))</f>
        <v>Yes</v>
      </c>
      <c r="I120">
        <f>VLOOKUP(all[[#This Row],[DEVELOPMENT]],Data[],7,FALSE)</f>
        <v>35</v>
      </c>
      <c r="J120">
        <f>VLOOKUP(all[[#This Row],[DEVELOPMENT]],Data[],25,FALSE)</f>
        <v>0</v>
      </c>
      <c r="K120">
        <f>VLOOKUP(all[[#This Row],[DEVELOPMENT]],Data[],5,FALSE)</f>
        <v>1</v>
      </c>
      <c r="L120">
        <f>VLOOKUP(all[[#This Row],[DEVELOPMENT]],Data[],27,FALSE)</f>
        <v>1</v>
      </c>
      <c r="M120">
        <f>VLOOKUP(all[[#This Row],[DEVELOPMENT]],Data[],31,FALSE)</f>
        <v>1</v>
      </c>
      <c r="N120">
        <f>VLOOKUP(all[[#This Row],[DEVELOPMENT]],Data[],26,FALSE)</f>
        <v>0</v>
      </c>
      <c r="O120">
        <f>VLOOKUP(all[[#This Row],[DEVELOPMENT]],Data[],30,FALSE)</f>
        <v>0</v>
      </c>
      <c r="P120">
        <f>VLOOKUP(all[[#This Row],[DEVELOPMENT]],Data[],28,FALSE)</f>
        <v>0</v>
      </c>
      <c r="Q120">
        <f>IF(all[[#This Row],['# Bulk Crushers]]=0,1,0)</f>
        <v>1</v>
      </c>
      <c r="R120" s="5">
        <f>IFERROR(INDEX(FWD[],MATCH($B120,FWD[DEVELOPMENT],0),MATCH("ESTIMATE",FWD[#Headers],0)),0)</f>
        <v>0</v>
      </c>
      <c r="S120" s="5">
        <f>IFERROR(INDEX(EHD[],MATCH($B120,EHD[DEVELOPMENT],0),MATCH("ESTIMATE",EHD[#Headers],0)),0)</f>
        <v>0</v>
      </c>
      <c r="T120" s="5">
        <f ca="1">IFERROR(INDEX(IntComp[],MATCH($B120,IntComp[DEVELOPMENT],0),MATCH("ESTIMATE",IntComp[#Headers],0)),0)</f>
        <v>0</v>
      </c>
      <c r="U120" s="5">
        <f>IFERROR(INDEX(Yards[],MATCH($B120,Yards[DEVELOPMENT],0),MATCH("ESTIMATE",Yards[#Headers],0)),0)</f>
        <v>0</v>
      </c>
      <c r="V120" s="128">
        <f ca="1">SUM(R120:U120)</f>
        <v>0</v>
      </c>
      <c r="W120" s="5"/>
    </row>
    <row r="121" spans="1:23" x14ac:dyDescent="0.25">
      <c r="A121" s="131">
        <f>VLOOKUP(B121,Data[],24,FALSE)</f>
        <v>87</v>
      </c>
      <c r="B121" t="s">
        <v>81</v>
      </c>
      <c r="C121" t="str">
        <f>VLOOKUP(B121,Data[],2,FALSE)</f>
        <v>MANHATTAN</v>
      </c>
      <c r="D121" t="str">
        <f>VLOOKUP(all[[#This Row],[DEVELOPMENT]],Data[],3,FALSE)</f>
        <v>GRANT</v>
      </c>
      <c r="E121" t="str">
        <f>VLOOKUP(B121,Data[],8,FALSE)</f>
        <v>Zone 2</v>
      </c>
      <c r="F121" t="str">
        <f>VLOOKUP(B121,Data[],9,FALSE)</f>
        <v>$$$$</v>
      </c>
      <c r="G121" t="str">
        <f>IFERROR(VLOOKUP(B121,Data[],4,FALSE),"")</f>
        <v/>
      </c>
      <c r="H121" t="str">
        <f ca="1">IF(G121="","",IF((G121-YEAR(TODAY()))&lt;=5,"Yes",""))</f>
        <v/>
      </c>
      <c r="I121">
        <f>VLOOKUP(all[[#This Row],[DEVELOPMENT]],Data[],7,FALSE)</f>
        <v>1939</v>
      </c>
      <c r="J121">
        <f>VLOOKUP(all[[#This Row],[DEVELOPMENT]],Data[],25,FALSE)</f>
        <v>0</v>
      </c>
      <c r="K121">
        <f>VLOOKUP(all[[#This Row],[DEVELOPMENT]],Data[],5,FALSE)</f>
        <v>9</v>
      </c>
      <c r="L121">
        <f>VLOOKUP(all[[#This Row],[DEVELOPMENT]],Data[],27,FALSE)</f>
        <v>16</v>
      </c>
      <c r="M121">
        <f>VLOOKUP(all[[#This Row],[DEVELOPMENT]],Data[],31,FALSE)</f>
        <v>16</v>
      </c>
      <c r="N121">
        <f>VLOOKUP(all[[#This Row],[DEVELOPMENT]],Data[],26,FALSE)</f>
        <v>2</v>
      </c>
      <c r="O121">
        <f>VLOOKUP(all[[#This Row],[DEVELOPMENT]],Data[],30,FALSE)</f>
        <v>2</v>
      </c>
      <c r="P121">
        <f>VLOOKUP(all[[#This Row],[DEVELOPMENT]],Data[],28,FALSE)</f>
        <v>0</v>
      </c>
      <c r="Q121">
        <f>IF(all[[#This Row],['# Bulk Crushers]]=0,1,0)</f>
        <v>1</v>
      </c>
      <c r="R121" s="5">
        <f>IFERROR(INDEX(FWD[],MATCH($B121,FWD[DEVELOPMENT],0),MATCH("ESTIMATE",FWD[#Headers],0)),0)</f>
        <v>0</v>
      </c>
      <c r="S121" s="5">
        <f>IFERROR(INDEX(EHD[],MATCH($B121,EHD[DEVELOPMENT],0),MATCH("ESTIMATE",EHD[#Headers],0)),0)</f>
        <v>118970.296</v>
      </c>
      <c r="T121" s="5">
        <f ca="1">IFERROR(INDEX(IntComp[],MATCH($B121,IntComp[DEVELOPMENT],0),MATCH("ESTIMATE",IntComp[#Headers],0)),0)</f>
        <v>1178454.3119999999</v>
      </c>
      <c r="U121" s="5">
        <f ca="1">IFERROR(INDEX(Yards[],MATCH($B121,Yards[DEVELOPMENT],0),MATCH("ESTIMATE",Yards[#Headers],0)),0)</f>
        <v>1591050.0199999998</v>
      </c>
      <c r="V121" s="128">
        <f ca="1">SUM(R121:U121)</f>
        <v>2888474.6279999996</v>
      </c>
      <c r="W121" s="5"/>
    </row>
    <row r="122" spans="1:23" x14ac:dyDescent="0.25">
      <c r="A122" s="131">
        <f>VLOOKUP(B122,Data[],24,FALSE)</f>
        <v>68</v>
      </c>
      <c r="B122" t="s">
        <v>239</v>
      </c>
      <c r="C122" t="str">
        <f>VLOOKUP(B122,Data[],2,FALSE)</f>
        <v>BROOKLYN</v>
      </c>
      <c r="D122" t="str">
        <f>VLOOKUP(all[[#This Row],[DEVELOPMENT]],Data[],3,FALSE)</f>
        <v>O'DWYER GARDENS</v>
      </c>
      <c r="E122">
        <f>VLOOKUP(B122,Data[],8,FALSE)</f>
        <v>0</v>
      </c>
      <c r="F122">
        <f>VLOOKUP(B122,Data[],9,FALSE)</f>
        <v>0</v>
      </c>
      <c r="G122" t="str">
        <f>IFERROR(VLOOKUP(B122,Data[],4,FALSE),"")</f>
        <v/>
      </c>
      <c r="H122" t="str">
        <f ca="1">IF(G122="","",IF((G122-YEAR(TODAY()))&lt;=5,"Yes",""))</f>
        <v/>
      </c>
      <c r="I122">
        <f>VLOOKUP(all[[#This Row],[DEVELOPMENT]],Data[],7,FALSE)</f>
        <v>627</v>
      </c>
      <c r="J122">
        <f>VLOOKUP(all[[#This Row],[DEVELOPMENT]],Data[],25,FALSE)</f>
        <v>0</v>
      </c>
      <c r="K122">
        <f>VLOOKUP(all[[#This Row],[DEVELOPMENT]],Data[],5,FALSE)</f>
        <v>15</v>
      </c>
      <c r="L122">
        <f>VLOOKUP(all[[#This Row],[DEVELOPMENT]],Data[],27,FALSE)</f>
        <v>15</v>
      </c>
      <c r="M122">
        <f>VLOOKUP(all[[#This Row],[DEVELOPMENT]],Data[],31,FALSE)</f>
        <v>2</v>
      </c>
      <c r="N122">
        <f>VLOOKUP(all[[#This Row],[DEVELOPMENT]],Data[],26,FALSE)</f>
        <v>0</v>
      </c>
      <c r="O122">
        <f>VLOOKUP(all[[#This Row],[DEVELOPMENT]],Data[],30,FALSE)</f>
        <v>0</v>
      </c>
      <c r="P122">
        <f>VLOOKUP(all[[#This Row],[DEVELOPMENT]],Data[],28,FALSE)</f>
        <v>0</v>
      </c>
      <c r="Q122">
        <f>IF(all[[#This Row],['# Bulk Crushers]]=0,1,0)</f>
        <v>1</v>
      </c>
      <c r="R122" s="5">
        <f>IFERROR(INDEX(FWD[],MATCH($B122,FWD[DEVELOPMENT],0),MATCH("ESTIMATE",FWD[#Headers],0)),0)</f>
        <v>0</v>
      </c>
      <c r="S122" s="5">
        <f>IFERROR(INDEX(EHD[],MATCH($B122,EHD[DEVELOPMENT],0),MATCH("ESTIMATE",EHD[#Headers],0)),0)</f>
        <v>111534.6525</v>
      </c>
      <c r="T122" s="5">
        <f ca="1">IFERROR(INDEX(IntComp[],MATCH($B122,IntComp[DEVELOPMENT],0),MATCH("ESTIMATE",IntComp[#Headers],0)),0)</f>
        <v>147306.78899999999</v>
      </c>
      <c r="U122" s="5">
        <f>IFERROR(INDEX(Yards[],MATCH($B122,Yards[DEVELOPMENT],0),MATCH("ESTIMATE",Yards[#Headers],0)),0)</f>
        <v>1159792.78</v>
      </c>
      <c r="V122" s="128">
        <f ca="1">SUM(R122:U122)</f>
        <v>1418634.2215</v>
      </c>
      <c r="W122" s="5"/>
    </row>
    <row r="123" spans="1:23" x14ac:dyDescent="0.25">
      <c r="A123" s="131">
        <f>VLOOKUP(B123,Data[],24,FALSE)</f>
        <v>40</v>
      </c>
      <c r="B123" t="s">
        <v>240</v>
      </c>
      <c r="C123" t="str">
        <f>VLOOKUP(B123,Data[],2,FALSE)</f>
        <v>BRONX</v>
      </c>
      <c r="D123" t="str">
        <f>VLOOKUP(all[[#This Row],[DEVELOPMENT]],Data[],3,FALSE)</f>
        <v>PARKSIDE</v>
      </c>
      <c r="E123">
        <f>VLOOKUP(B123,Data[],8,FALSE)</f>
        <v>0</v>
      </c>
      <c r="F123">
        <f>VLOOKUP(B123,Data[],9,FALSE)</f>
        <v>0</v>
      </c>
      <c r="G123" t="str">
        <f>IFERROR(VLOOKUP(B123,Data[],4,FALSE),"")</f>
        <v/>
      </c>
      <c r="H123" t="str">
        <f ca="1">IF(G123="","",IF((G123-YEAR(TODAY()))&lt;=5,"Yes",""))</f>
        <v/>
      </c>
      <c r="I123">
        <f>VLOOKUP(all[[#This Row],[DEVELOPMENT]],Data[],7,FALSE)</f>
        <v>732</v>
      </c>
      <c r="J123">
        <f>VLOOKUP(all[[#This Row],[DEVELOPMENT]],Data[],25,FALSE)</f>
        <v>0</v>
      </c>
      <c r="K123">
        <f>VLOOKUP(all[[#This Row],[DEVELOPMENT]],Data[],5,FALSE)</f>
        <v>6</v>
      </c>
      <c r="L123">
        <f>VLOOKUP(all[[#This Row],[DEVELOPMENT]],Data[],27,FALSE)</f>
        <v>6</v>
      </c>
      <c r="M123">
        <f>VLOOKUP(all[[#This Row],[DEVELOPMENT]],Data[],31,FALSE)</f>
        <v>6</v>
      </c>
      <c r="N123">
        <f>VLOOKUP(all[[#This Row],[DEVELOPMENT]],Data[],26,FALSE)</f>
        <v>2</v>
      </c>
      <c r="O123">
        <f>VLOOKUP(all[[#This Row],[DEVELOPMENT]],Data[],30,FALSE)</f>
        <v>2</v>
      </c>
      <c r="P123">
        <f>VLOOKUP(all[[#This Row],[DEVELOPMENT]],Data[],28,FALSE)</f>
        <v>0</v>
      </c>
      <c r="Q123">
        <f>IF(all[[#This Row],['# Bulk Crushers]]=0,1,0)</f>
        <v>1</v>
      </c>
      <c r="R123" s="5">
        <f>IFERROR(INDEX(FWD[],MATCH($B123,FWD[DEVELOPMENT],0),MATCH("ESTIMATE",FWD[#Headers],0)),0)</f>
        <v>0</v>
      </c>
      <c r="S123" s="5">
        <f>IFERROR(INDEX(EHD[],MATCH($B123,EHD[DEVELOPMENT],0),MATCH("ESTIMATE",EHD[#Headers],0)),0)</f>
        <v>44613.861000000004</v>
      </c>
      <c r="T123" s="5">
        <f ca="1">IFERROR(INDEX(IntComp[],MATCH($B123,IntComp[DEVELOPMENT],0),MATCH("ESTIMATE",IntComp[#Headers],0)),0)</f>
        <v>441920.36699999991</v>
      </c>
      <c r="U123" s="5">
        <f ca="1">IFERROR(INDEX(Yards[],MATCH($B123,Yards[DEVELOPMENT],0),MATCH("ESTIMATE",Yards[#Headers],0)),0)</f>
        <v>1591050.0199999998</v>
      </c>
      <c r="V123" s="128">
        <f ca="1">SUM(R123:U123)</f>
        <v>2077584.2479999997</v>
      </c>
      <c r="W123" s="5"/>
    </row>
    <row r="124" spans="1:23" x14ac:dyDescent="0.25">
      <c r="A124" s="131">
        <f>VLOOKUP(B124,Data[],24,FALSE)</f>
        <v>142</v>
      </c>
      <c r="B124" t="s">
        <v>241</v>
      </c>
      <c r="C124" t="str">
        <f>VLOOKUP(B124,Data[],2,FALSE)</f>
        <v>BROOKLYN</v>
      </c>
      <c r="D124" t="str">
        <f>VLOOKUP(all[[#This Row],[DEVELOPMENT]],Data[],3,FALSE)</f>
        <v>CAREY GARDENS</v>
      </c>
      <c r="E124">
        <f>VLOOKUP(B124,Data[],8,FALSE)</f>
        <v>0</v>
      </c>
      <c r="F124">
        <f>VLOOKUP(B124,Data[],9,FALSE)</f>
        <v>0</v>
      </c>
      <c r="G124" t="str">
        <f>IFERROR(VLOOKUP(B124,Data[],4,FALSE),"")</f>
        <v/>
      </c>
      <c r="H124" t="str">
        <f ca="1">IF(G124="","",IF((G124-YEAR(TODAY()))&lt;=5,"Yes",""))</f>
        <v/>
      </c>
      <c r="I124">
        <f>VLOOKUP(all[[#This Row],[DEVELOPMENT]],Data[],7,FALSE)</f>
        <v>380</v>
      </c>
      <c r="J124">
        <f>VLOOKUP(all[[#This Row],[DEVELOPMENT]],Data[],25,FALSE)</f>
        <v>0</v>
      </c>
      <c r="K124">
        <f>VLOOKUP(all[[#This Row],[DEVELOPMENT]],Data[],5,FALSE)</f>
        <v>3</v>
      </c>
      <c r="L124">
        <f>VLOOKUP(all[[#This Row],[DEVELOPMENT]],Data[],27,FALSE)</f>
        <v>3</v>
      </c>
      <c r="M124">
        <f>VLOOKUP(all[[#This Row],[DEVELOPMENT]],Data[],31,FALSE)</f>
        <v>3</v>
      </c>
      <c r="N124">
        <f>VLOOKUP(all[[#This Row],[DEVELOPMENT]],Data[],26,FALSE)</f>
        <v>0</v>
      </c>
      <c r="O124">
        <f>VLOOKUP(all[[#This Row],[DEVELOPMENT]],Data[],30,FALSE)</f>
        <v>0</v>
      </c>
      <c r="P124">
        <f>VLOOKUP(all[[#This Row],[DEVELOPMENT]],Data[],28,FALSE)</f>
        <v>0</v>
      </c>
      <c r="Q124">
        <f>IF(all[[#This Row],['# Bulk Crushers]]=0,1,0)</f>
        <v>1</v>
      </c>
      <c r="R124" s="5">
        <f>IFERROR(INDEX(FWD[],MATCH($B124,FWD[DEVELOPMENT],0),MATCH("ESTIMATE",FWD[#Headers],0)),0)</f>
        <v>0</v>
      </c>
      <c r="S124" s="5">
        <f>IFERROR(INDEX(EHD[],MATCH($B124,EHD[DEVELOPMENT],0),MATCH("ESTIMATE",EHD[#Headers],0)),0)</f>
        <v>0</v>
      </c>
      <c r="T124" s="5">
        <f ca="1">IFERROR(INDEX(IntComp[],MATCH($B124,IntComp[DEVELOPMENT],0),MATCH("ESTIMATE",IntComp[#Headers],0)),0)</f>
        <v>220960.18349999996</v>
      </c>
      <c r="U124" s="5">
        <f>IFERROR(INDEX(Yards[],MATCH($B124,Yards[DEVELOPMENT],0),MATCH("ESTIMATE",Yards[#Headers],0)),0)</f>
        <v>1159792.78</v>
      </c>
      <c r="V124" s="128">
        <f ca="1">SUM(R124:U124)</f>
        <v>1380752.9635000001</v>
      </c>
      <c r="W124" s="5"/>
    </row>
    <row r="125" spans="1:23" x14ac:dyDescent="0.25">
      <c r="A125" s="131">
        <f>VLOOKUP(B125,Data[],24,FALSE)</f>
        <v>75</v>
      </c>
      <c r="B125" t="s">
        <v>242</v>
      </c>
      <c r="C125" t="str">
        <f>VLOOKUP(B125,Data[],2,FALSE)</f>
        <v>QUEENS</v>
      </c>
      <c r="D125" t="str">
        <f>VLOOKUP(all[[#This Row],[DEVELOPMENT]],Data[],3,FALSE)</f>
        <v>HAMMEL</v>
      </c>
      <c r="E125">
        <f>VLOOKUP(B125,Data[],8,FALSE)</f>
        <v>0</v>
      </c>
      <c r="F125">
        <f>VLOOKUP(B125,Data[],9,FALSE)</f>
        <v>0</v>
      </c>
      <c r="G125" t="str">
        <f>IFERROR(VLOOKUP(B125,Data[],4,FALSE),"")</f>
        <v/>
      </c>
      <c r="H125" t="str">
        <f ca="1">IF(G125="","",IF((G125-YEAR(TODAY()))&lt;=5,"Yes",""))</f>
        <v/>
      </c>
      <c r="I125">
        <f>VLOOKUP(all[[#This Row],[DEVELOPMENT]],Data[],7,FALSE)</f>
        <v>710</v>
      </c>
      <c r="J125">
        <f>VLOOKUP(all[[#This Row],[DEVELOPMENT]],Data[],25,FALSE)</f>
        <v>0</v>
      </c>
      <c r="K125">
        <f>VLOOKUP(all[[#This Row],[DEVELOPMENT]],Data[],5,FALSE)</f>
        <v>14</v>
      </c>
      <c r="L125">
        <f>VLOOKUP(all[[#This Row],[DEVELOPMENT]],Data[],27,FALSE)</f>
        <v>14</v>
      </c>
      <c r="M125">
        <f>VLOOKUP(all[[#This Row],[DEVELOPMENT]],Data[],31,FALSE)</f>
        <v>14</v>
      </c>
      <c r="N125">
        <f>VLOOKUP(all[[#This Row],[DEVELOPMENT]],Data[],26,FALSE)</f>
        <v>2</v>
      </c>
      <c r="O125">
        <f>VLOOKUP(all[[#This Row],[DEVELOPMENT]],Data[],30,FALSE)</f>
        <v>2</v>
      </c>
      <c r="P125">
        <f>VLOOKUP(all[[#This Row],[DEVELOPMENT]],Data[],28,FALSE)</f>
        <v>0</v>
      </c>
      <c r="Q125">
        <f>IF(all[[#This Row],['# Bulk Crushers]]=0,1,0)</f>
        <v>1</v>
      </c>
      <c r="R125" s="5">
        <f>IFERROR(INDEX(FWD[],MATCH($B125,FWD[DEVELOPMENT],0),MATCH("ESTIMATE",FWD[#Headers],0)),0)</f>
        <v>0</v>
      </c>
      <c r="S125" s="5">
        <f>IFERROR(INDEX(EHD[],MATCH($B125,EHD[DEVELOPMENT],0),MATCH("ESTIMATE",EHD[#Headers],0)),0)</f>
        <v>104099.00900000001</v>
      </c>
      <c r="T125" s="5">
        <f ca="1">IFERROR(INDEX(IntComp[],MATCH($B125,IntComp[DEVELOPMENT],0),MATCH("ESTIMATE",IntComp[#Headers],0)),0)</f>
        <v>1031147.5229999998</v>
      </c>
      <c r="U125" s="5">
        <f ca="1">IFERROR(INDEX(Yards[],MATCH($B125,Yards[DEVELOPMENT],0),MATCH("ESTIMATE",Yards[#Headers],0)),0)</f>
        <v>1591050.0199999998</v>
      </c>
      <c r="V125" s="128">
        <f ca="1">SUM(R125:U125)</f>
        <v>2726296.5519999997</v>
      </c>
      <c r="W125" s="5"/>
    </row>
    <row r="126" spans="1:23" x14ac:dyDescent="0.25">
      <c r="A126" s="131">
        <f>VLOOKUP(B126,Data[],24,FALSE)</f>
        <v>262</v>
      </c>
      <c r="B126" t="s">
        <v>243</v>
      </c>
      <c r="C126" t="str">
        <f>VLOOKUP(B126,Data[],2,FALSE)</f>
        <v>MANHATTAN</v>
      </c>
      <c r="D126" t="str">
        <f>VLOOKUP(all[[#This Row],[DEVELOPMENT]],Data[],3,FALSE)</f>
        <v>AMSTERDAM</v>
      </c>
      <c r="E126">
        <f>VLOOKUP(B126,Data[],8,FALSE)</f>
        <v>0</v>
      </c>
      <c r="F126">
        <f>VLOOKUP(B126,Data[],9,FALSE)</f>
        <v>0</v>
      </c>
      <c r="G126" t="str">
        <f>IFERROR(VLOOKUP(B126,Data[],4,FALSE),"")</f>
        <v/>
      </c>
      <c r="H126" t="str">
        <f ca="1">IF(G126="","",IF((G126-YEAR(TODAY()))&lt;=5,"Yes",""))</f>
        <v/>
      </c>
      <c r="I126">
        <f>VLOOKUP(all[[#This Row],[DEVELOPMENT]],Data[],7,FALSE)</f>
        <v>377</v>
      </c>
      <c r="J126">
        <f>VLOOKUP(all[[#This Row],[DEVELOPMENT]],Data[],25,FALSE)</f>
        <v>0</v>
      </c>
      <c r="K126">
        <f>VLOOKUP(all[[#This Row],[DEVELOPMENT]],Data[],5,FALSE)</f>
        <v>2</v>
      </c>
      <c r="L126">
        <f>VLOOKUP(all[[#This Row],[DEVELOPMENT]],Data[],27,FALSE)</f>
        <v>2</v>
      </c>
      <c r="M126">
        <f>VLOOKUP(all[[#This Row],[DEVELOPMENT]],Data[],31,FALSE)</f>
        <v>2</v>
      </c>
      <c r="N126">
        <f>VLOOKUP(all[[#This Row],[DEVELOPMENT]],Data[],26,FALSE)</f>
        <v>1</v>
      </c>
      <c r="O126">
        <f>VLOOKUP(all[[#This Row],[DEVELOPMENT]],Data[],30,FALSE)</f>
        <v>1</v>
      </c>
      <c r="P126">
        <f>VLOOKUP(all[[#This Row],[DEVELOPMENT]],Data[],28,FALSE)</f>
        <v>0</v>
      </c>
      <c r="Q126">
        <f>IF(all[[#This Row],['# Bulk Crushers]]=0,1,0)</f>
        <v>1</v>
      </c>
      <c r="R126" s="5">
        <f>IFERROR(INDEX(FWD[],MATCH($B126,FWD[DEVELOPMENT],0),MATCH("ESTIMATE",FWD[#Headers],0)),0)</f>
        <v>0</v>
      </c>
      <c r="S126" s="5">
        <f>IFERROR(INDEX(EHD[],MATCH($B126,EHD[DEVELOPMENT],0),MATCH("ESTIMATE",EHD[#Headers],0)),0)</f>
        <v>14871.287</v>
      </c>
      <c r="T126" s="5">
        <f ca="1">IFERROR(INDEX(IntComp[],MATCH($B126,IntComp[DEVELOPMENT],0),MATCH("ESTIMATE",IntComp[#Headers],0)),0)</f>
        <v>147306.78899999999</v>
      </c>
      <c r="U126" s="5">
        <f ca="1">IFERROR(INDEX(Yards[],MATCH($B126,Yards[DEVELOPMENT],0),MATCH("ESTIMATE",Yards[#Headers],0)),0)</f>
        <v>1159792.78</v>
      </c>
      <c r="V126" s="128">
        <f ca="1">SUM(R126:U126)</f>
        <v>1321970.8560000001</v>
      </c>
      <c r="W126" s="5"/>
    </row>
    <row r="127" spans="1:23" x14ac:dyDescent="0.25">
      <c r="A127" s="131">
        <f>VLOOKUP(B127,Data[],24,FALSE)</f>
        <v>3</v>
      </c>
      <c r="B127" t="s">
        <v>117</v>
      </c>
      <c r="C127" t="str">
        <f>VLOOKUP(B127,Data[],2,FALSE)</f>
        <v>MANHATTAN</v>
      </c>
      <c r="D127" t="str">
        <f>VLOOKUP(all[[#This Row],[DEVELOPMENT]],Data[],3,FALSE)</f>
        <v>HARLEM RIVER</v>
      </c>
      <c r="E127" t="str">
        <f>VLOOKUP(B127,Data[],8,FALSE)</f>
        <v>Zone 3</v>
      </c>
      <c r="F127" t="str">
        <f>VLOOKUP(B127,Data[],9,FALSE)</f>
        <v>$</v>
      </c>
      <c r="G127">
        <f>IFERROR(VLOOKUP(B127,Data[],4,FALSE),"")</f>
        <v>2020</v>
      </c>
      <c r="H127" t="str">
        <f ca="1">IF(G127="","",IF((G127-YEAR(TODAY()))&lt;=5,"Yes",""))</f>
        <v>Yes</v>
      </c>
      <c r="I127">
        <f>VLOOKUP(all[[#This Row],[DEVELOPMENT]],Data[],7,FALSE)</f>
        <v>574</v>
      </c>
      <c r="J127">
        <f>VLOOKUP(all[[#This Row],[DEVELOPMENT]],Data[],25,FALSE)</f>
        <v>0</v>
      </c>
      <c r="K127">
        <f>VLOOKUP(all[[#This Row],[DEVELOPMENT]],Data[],5,FALSE)</f>
        <v>7</v>
      </c>
      <c r="L127">
        <f>VLOOKUP(all[[#This Row],[DEVELOPMENT]],Data[],27,FALSE)</f>
        <v>43</v>
      </c>
      <c r="M127">
        <f>VLOOKUP(all[[#This Row],[DEVELOPMENT]],Data[],31,FALSE)</f>
        <v>43</v>
      </c>
      <c r="N127">
        <f>VLOOKUP(all[[#This Row],[DEVELOPMENT]],Data[],26,FALSE)</f>
        <v>0</v>
      </c>
      <c r="O127">
        <f>VLOOKUP(all[[#This Row],[DEVELOPMENT]],Data[],30,FALSE)</f>
        <v>0</v>
      </c>
      <c r="P127">
        <f>VLOOKUP(all[[#This Row],[DEVELOPMENT]],Data[],28,FALSE)</f>
        <v>0</v>
      </c>
      <c r="Q127">
        <f>IF(all[[#This Row],['# Bulk Crushers]]=0,1,0)</f>
        <v>1</v>
      </c>
      <c r="R127" s="5">
        <f>IFERROR(INDEX(FWD[],MATCH($B127,FWD[DEVELOPMENT],0),MATCH("ESTIMATE",FWD[#Headers],0)),0)</f>
        <v>0</v>
      </c>
      <c r="S127" s="5">
        <f>IFERROR(INDEX(EHD[],MATCH($B127,EHD[DEVELOPMENT],0),MATCH("ESTIMATE",EHD[#Headers],0)),0)</f>
        <v>0</v>
      </c>
      <c r="T127" s="5">
        <f ca="1">IFERROR(INDEX(IntComp[],MATCH($B127,IntComp[DEVELOPMENT],0),MATCH("ESTIMATE",IntComp[#Headers],0)),0)</f>
        <v>0</v>
      </c>
      <c r="U127" s="5">
        <f>IFERROR(INDEX(Yards[],MATCH($B127,Yards[DEVELOPMENT],0),MATCH("ESTIMATE",Yards[#Headers],0)),0)</f>
        <v>0</v>
      </c>
      <c r="V127" s="128">
        <f ca="1">SUM(R127:U127)</f>
        <v>0</v>
      </c>
      <c r="W127" s="5"/>
    </row>
    <row r="128" spans="1:23" x14ac:dyDescent="0.25">
      <c r="A128" s="131">
        <f>VLOOKUP(B128,Data[],24,FALSE)</f>
        <v>147</v>
      </c>
      <c r="B128" t="s">
        <v>82</v>
      </c>
      <c r="C128" t="str">
        <f>VLOOKUP(B128,Data[],2,FALSE)</f>
        <v>MANHATTAN</v>
      </c>
      <c r="D128" t="str">
        <f>VLOOKUP(all[[#This Row],[DEVELOPMENT]],Data[],3,FALSE)</f>
        <v>HARLEM RIVER</v>
      </c>
      <c r="E128" t="str">
        <f>VLOOKUP(B128,Data[],8,FALSE)</f>
        <v>Zone 3</v>
      </c>
      <c r="F128" t="str">
        <f>VLOOKUP(B128,Data[],9,FALSE)</f>
        <v>$$</v>
      </c>
      <c r="G128">
        <f>IFERROR(VLOOKUP(B128,Data[],4,FALSE),"")</f>
        <v>2020</v>
      </c>
      <c r="H128" t="str">
        <f ca="1">IF(G128="","",IF((G128-YEAR(TODAY()))&lt;=5,"Yes",""))</f>
        <v>Yes</v>
      </c>
      <c r="I128">
        <f>VLOOKUP(all[[#This Row],[DEVELOPMENT]],Data[],7,FALSE)</f>
        <v>116</v>
      </c>
      <c r="J128">
        <f>VLOOKUP(all[[#This Row],[DEVELOPMENT]],Data[],25,FALSE)</f>
        <v>0</v>
      </c>
      <c r="K128">
        <f>VLOOKUP(all[[#This Row],[DEVELOPMENT]],Data[],5,FALSE)</f>
        <v>1</v>
      </c>
      <c r="L128">
        <f>VLOOKUP(all[[#This Row],[DEVELOPMENT]],Data[],27,FALSE)</f>
        <v>1</v>
      </c>
      <c r="M128">
        <f>VLOOKUP(all[[#This Row],[DEVELOPMENT]],Data[],31,FALSE)</f>
        <v>1</v>
      </c>
      <c r="N128">
        <f>VLOOKUP(all[[#This Row],[DEVELOPMENT]],Data[],26,FALSE)</f>
        <v>0</v>
      </c>
      <c r="O128">
        <f>VLOOKUP(all[[#This Row],[DEVELOPMENT]],Data[],30,FALSE)</f>
        <v>0</v>
      </c>
      <c r="P128">
        <f>VLOOKUP(all[[#This Row],[DEVELOPMENT]],Data[],28,FALSE)</f>
        <v>0</v>
      </c>
      <c r="Q128">
        <f>IF(all[[#This Row],['# Bulk Crushers]]=0,1,0)</f>
        <v>1</v>
      </c>
      <c r="R128" s="5">
        <f>IFERROR(INDEX(FWD[],MATCH($B128,FWD[DEVELOPMENT],0),MATCH("ESTIMATE",FWD[#Headers],0)),0)</f>
        <v>0</v>
      </c>
      <c r="S128" s="5">
        <f>IFERROR(INDEX(EHD[],MATCH($B128,EHD[DEVELOPMENT],0),MATCH("ESTIMATE",EHD[#Headers],0)),0)</f>
        <v>0</v>
      </c>
      <c r="T128" s="5">
        <f ca="1">IFERROR(INDEX(IntComp[],MATCH($B128,IntComp[DEVELOPMENT],0),MATCH("ESTIMATE",IntComp[#Headers],0)),0)</f>
        <v>0</v>
      </c>
      <c r="U128" s="5">
        <f>IFERROR(INDEX(Yards[],MATCH($B128,Yards[DEVELOPMENT],0),MATCH("ESTIMATE",Yards[#Headers],0)),0)</f>
        <v>0</v>
      </c>
      <c r="V128" s="128">
        <f ca="1">SUM(R128:U128)</f>
        <v>0</v>
      </c>
      <c r="W128" s="5"/>
    </row>
    <row r="129" spans="1:23" x14ac:dyDescent="0.25">
      <c r="A129" s="131">
        <f>VLOOKUP(B129,Data[],24,FALSE)</f>
        <v>347</v>
      </c>
      <c r="B129" t="s">
        <v>244</v>
      </c>
      <c r="C129" t="str">
        <f>VLOOKUP(B129,Data[],2,FALSE)</f>
        <v>BRONX</v>
      </c>
      <c r="D129" t="str">
        <f>VLOOKUP(all[[#This Row],[DEVELOPMENT]],Data[],3,FALSE)</f>
        <v>KRAUS MANAGEMENT (PRIVATE - BX 3)</v>
      </c>
      <c r="E129">
        <f>VLOOKUP(B129,Data[],8,FALSE)</f>
        <v>0</v>
      </c>
      <c r="F129">
        <f>VLOOKUP(B129,Data[],9,FALSE)</f>
        <v>0</v>
      </c>
      <c r="G129" t="str">
        <f>IFERROR(VLOOKUP(B129,Data[],4,FALSE),"")</f>
        <v/>
      </c>
      <c r="H129" t="str">
        <f ca="1">IF(G129="","",IF((G129-YEAR(TODAY()))&lt;=5,"Yes",""))</f>
        <v/>
      </c>
      <c r="I129">
        <f>VLOOKUP(all[[#This Row],[DEVELOPMENT]],Data[],7,FALSE)</f>
        <v>34</v>
      </c>
      <c r="J129">
        <f>VLOOKUP(all[[#This Row],[DEVELOPMENT]],Data[],25,FALSE)</f>
        <v>0</v>
      </c>
      <c r="K129">
        <f>VLOOKUP(all[[#This Row],[DEVELOPMENT]],Data[],5,FALSE)</f>
        <v>1</v>
      </c>
      <c r="L129">
        <f>VLOOKUP(all[[#This Row],[DEVELOPMENT]],Data[],27,FALSE)</f>
        <v>1</v>
      </c>
      <c r="M129">
        <f>VLOOKUP(all[[#This Row],[DEVELOPMENT]],Data[],31,FALSE)</f>
        <v>1</v>
      </c>
      <c r="N129">
        <f>VLOOKUP(all[[#This Row],[DEVELOPMENT]],Data[],26,FALSE)</f>
        <v>0</v>
      </c>
      <c r="O129">
        <f>VLOOKUP(all[[#This Row],[DEVELOPMENT]],Data[],30,FALSE)</f>
        <v>0</v>
      </c>
      <c r="P129">
        <f>VLOOKUP(all[[#This Row],[DEVELOPMENT]],Data[],28,FALSE)</f>
        <v>0</v>
      </c>
      <c r="Q129">
        <f>IF(all[[#This Row],['# Bulk Crushers]]=0,1,0)</f>
        <v>1</v>
      </c>
      <c r="R129" s="5">
        <f>IFERROR(INDEX(FWD[],MATCH($B129,FWD[DEVELOPMENT],0),MATCH("ESTIMATE",FWD[#Headers],0)),0)</f>
        <v>0</v>
      </c>
      <c r="S129" s="5">
        <f>IFERROR(INDEX(EHD[],MATCH($B129,EHD[DEVELOPMENT],0),MATCH("ESTIMATE",EHD[#Headers],0)),0)</f>
        <v>7435.6435000000001</v>
      </c>
      <c r="T129" s="5">
        <f ca="1">IFERROR(INDEX(IntComp[],MATCH($B129,IntComp[DEVELOPMENT],0),MATCH("ESTIMATE",IntComp[#Headers],0)),0)</f>
        <v>73653.394499999995</v>
      </c>
      <c r="U129" s="5">
        <f>IFERROR(INDEX(Yards[],MATCH($B129,Yards[DEVELOPMENT],0),MATCH("ESTIMATE",Yards[#Headers],0)),0)</f>
        <v>1159792.78</v>
      </c>
      <c r="V129" s="128">
        <f ca="1">SUM(R129:U129)</f>
        <v>1240881.818</v>
      </c>
      <c r="W129" s="5"/>
    </row>
    <row r="130" spans="1:23" x14ac:dyDescent="0.25">
      <c r="A130" s="131">
        <f>VLOOKUP(B130,Data[],24,FALSE)</f>
        <v>547</v>
      </c>
      <c r="B130" t="s">
        <v>245</v>
      </c>
      <c r="C130" t="str">
        <f>VLOOKUP(B130,Data[],2,FALSE)</f>
        <v>BRONX</v>
      </c>
      <c r="D130" t="str">
        <f>VLOOKUP(all[[#This Row],[DEVELOPMENT]],Data[],3,FALSE)</f>
        <v>KRAUS MANAGEMENT (PRIVATE - BX 3)</v>
      </c>
      <c r="E130">
        <f>VLOOKUP(B130,Data[],8,FALSE)</f>
        <v>0</v>
      </c>
      <c r="F130">
        <f>VLOOKUP(B130,Data[],9,FALSE)</f>
        <v>0</v>
      </c>
      <c r="G130" t="str">
        <f>IFERROR(VLOOKUP(B130,Data[],4,FALSE),"")</f>
        <v/>
      </c>
      <c r="H130" t="str">
        <f ca="1">IF(G130="","",IF((G130-YEAR(TODAY()))&lt;=5,"Yes",""))</f>
        <v/>
      </c>
      <c r="I130">
        <f>VLOOKUP(all[[#This Row],[DEVELOPMENT]],Data[],7,FALSE)</f>
        <v>150</v>
      </c>
      <c r="J130">
        <f>VLOOKUP(all[[#This Row],[DEVELOPMENT]],Data[],25,FALSE)</f>
        <v>0</v>
      </c>
      <c r="K130">
        <f>VLOOKUP(all[[#This Row],[DEVELOPMENT]],Data[],5,FALSE)</f>
        <v>4</v>
      </c>
      <c r="L130">
        <f>VLOOKUP(all[[#This Row],[DEVELOPMENT]],Data[],27,FALSE)</f>
        <v>4</v>
      </c>
      <c r="M130">
        <f>VLOOKUP(all[[#This Row],[DEVELOPMENT]],Data[],31,FALSE)</f>
        <v>4</v>
      </c>
      <c r="N130">
        <f>VLOOKUP(all[[#This Row],[DEVELOPMENT]],Data[],26,FALSE)</f>
        <v>0</v>
      </c>
      <c r="O130">
        <f>VLOOKUP(all[[#This Row],[DEVELOPMENT]],Data[],30,FALSE)</f>
        <v>0</v>
      </c>
      <c r="P130">
        <f>VLOOKUP(all[[#This Row],[DEVELOPMENT]],Data[],28,FALSE)</f>
        <v>0</v>
      </c>
      <c r="Q130">
        <f>IF(all[[#This Row],['# Bulk Crushers]]=0,1,0)</f>
        <v>1</v>
      </c>
      <c r="R130" s="5">
        <f>IFERROR(INDEX(FWD[],MATCH($B130,FWD[DEVELOPMENT],0),MATCH("ESTIMATE",FWD[#Headers],0)),0)</f>
        <v>0</v>
      </c>
      <c r="S130" s="5">
        <f>IFERROR(INDEX(EHD[],MATCH($B130,EHD[DEVELOPMENT],0),MATCH("ESTIMATE",EHD[#Headers],0)),0)</f>
        <v>29742.574000000001</v>
      </c>
      <c r="T130" s="5">
        <f ca="1">IFERROR(INDEX(IntComp[],MATCH($B130,IntComp[DEVELOPMENT],0),MATCH("ESTIMATE",IntComp[#Headers],0)),0)</f>
        <v>294613.57799999998</v>
      </c>
      <c r="U130" s="5">
        <f>IFERROR(INDEX(Yards[],MATCH($B130,Yards[DEVELOPMENT],0),MATCH("ESTIMATE",Yards[#Headers],0)),0)</f>
        <v>1159792.78</v>
      </c>
      <c r="V130" s="128">
        <f ca="1">SUM(R130:U130)</f>
        <v>1484148.932</v>
      </c>
      <c r="W130" s="5"/>
    </row>
    <row r="131" spans="1:23" x14ac:dyDescent="0.25">
      <c r="A131" s="131">
        <f>VLOOKUP(B131,Data[],24,FALSE)</f>
        <v>184</v>
      </c>
      <c r="B131" t="s">
        <v>246</v>
      </c>
      <c r="C131" t="str">
        <f>VLOOKUP(B131,Data[],2,FALSE)</f>
        <v>MANHATTAN</v>
      </c>
      <c r="D131" t="str">
        <f>VLOOKUP(all[[#This Row],[DEVELOPMENT]],Data[],3,FALSE)</f>
        <v>GOMPERS</v>
      </c>
      <c r="E131" t="str">
        <f>VLOOKUP(B131,Data[],8,FALSE)</f>
        <v>Zone 1</v>
      </c>
      <c r="F131" t="str">
        <f>VLOOKUP(B131,Data[],9,FALSE)</f>
        <v>$$</v>
      </c>
      <c r="G131" t="str">
        <f>IFERROR(VLOOKUP(B131,Data[],4,FALSE),"")</f>
        <v/>
      </c>
      <c r="H131" t="str">
        <f ca="1">IF(G131="","",IF((G131-YEAR(TODAY()))&lt;=5,"Yes",""))</f>
        <v/>
      </c>
      <c r="I131">
        <f>VLOOKUP(all[[#This Row],[DEVELOPMENT]],Data[],7,FALSE)</f>
        <v>149</v>
      </c>
      <c r="J131" t="str">
        <f>VLOOKUP(all[[#This Row],[DEVELOPMENT]],Data[],25,FALSE)</f>
        <v>Yes</v>
      </c>
      <c r="K131">
        <f>VLOOKUP(all[[#This Row],[DEVELOPMENT]],Data[],5,FALSE)</f>
        <v>1</v>
      </c>
      <c r="L131">
        <f>VLOOKUP(all[[#This Row],[DEVELOPMENT]],Data[],27,FALSE)</f>
        <v>1</v>
      </c>
      <c r="M131">
        <f>VLOOKUP(all[[#This Row],[DEVELOPMENT]],Data[],31,FALSE)</f>
        <v>1</v>
      </c>
      <c r="N131">
        <f>VLOOKUP(all[[#This Row],[DEVELOPMENT]],Data[],26,FALSE)</f>
        <v>0</v>
      </c>
      <c r="O131">
        <f>VLOOKUP(all[[#This Row],[DEVELOPMENT]],Data[],30,FALSE)</f>
        <v>0</v>
      </c>
      <c r="P131">
        <f>VLOOKUP(all[[#This Row],[DEVELOPMENT]],Data[],28,FALSE)</f>
        <v>0</v>
      </c>
      <c r="Q131">
        <f>IF(all[[#This Row],['# Bulk Crushers]]=0,1,0)</f>
        <v>1</v>
      </c>
      <c r="R131" s="5">
        <f>IFERROR(INDEX(FWD[],MATCH($B131,FWD[DEVELOPMENT],0),MATCH("ESTIMATE",FWD[#Headers],0)),0)</f>
        <v>256091.65616175026</v>
      </c>
      <c r="S131" s="5">
        <f>IFERROR(INDEX(EHD[],MATCH($B131,EHD[DEVELOPMENT],0),MATCH("ESTIMATE",EHD[#Headers],0)),0)</f>
        <v>7435.6435000000001</v>
      </c>
      <c r="T131" s="5">
        <f ca="1">IFERROR(INDEX(IntComp[],MATCH($B131,IntComp[DEVELOPMENT],0),MATCH("ESTIMATE",IntComp[#Headers],0)),0)</f>
        <v>73653.394499999995</v>
      </c>
      <c r="U131" s="5">
        <f>IFERROR(INDEX(Yards[],MATCH($B131,Yards[DEVELOPMENT],0),MATCH("ESTIMATE",Yards[#Headers],0)),0)</f>
        <v>1159792.78</v>
      </c>
      <c r="V131" s="128">
        <f ca="1">SUM(R131:U131)</f>
        <v>1496973.4741617502</v>
      </c>
      <c r="W131" s="5"/>
    </row>
    <row r="132" spans="1:23" x14ac:dyDescent="0.25">
      <c r="A132" s="131">
        <f>VLOOKUP(B132,Data[],24,FALSE)</f>
        <v>78</v>
      </c>
      <c r="B132" t="s">
        <v>247</v>
      </c>
      <c r="C132" t="str">
        <f>VLOOKUP(B132,Data[],2,FALSE)</f>
        <v>BRONX</v>
      </c>
      <c r="D132" t="str">
        <f>VLOOKUP(all[[#This Row],[DEVELOPMENT]],Data[],3,FALSE)</f>
        <v>HIGHBRIDGE GARDENS</v>
      </c>
      <c r="E132" t="str">
        <f>VLOOKUP(B132,Data[],8,FALSE)</f>
        <v>Zone 1</v>
      </c>
      <c r="F132" t="str">
        <f>VLOOKUP(B132,Data[],9,FALSE)</f>
        <v>$</v>
      </c>
      <c r="G132" t="str">
        <f>IFERROR(VLOOKUP(B132,Data[],4,FALSE),"")</f>
        <v/>
      </c>
      <c r="H132" t="str">
        <f ca="1">IF(G132="","",IF((G132-YEAR(TODAY()))&lt;=5,"Yes",""))</f>
        <v/>
      </c>
      <c r="I132">
        <f>VLOOKUP(all[[#This Row],[DEVELOPMENT]],Data[],7,FALSE)</f>
        <v>700</v>
      </c>
      <c r="J132">
        <f>VLOOKUP(all[[#This Row],[DEVELOPMENT]],Data[],25,FALSE)</f>
        <v>0</v>
      </c>
      <c r="K132">
        <f>VLOOKUP(all[[#This Row],[DEVELOPMENT]],Data[],5,FALSE)</f>
        <v>6</v>
      </c>
      <c r="L132">
        <f>VLOOKUP(all[[#This Row],[DEVELOPMENT]],Data[],27,FALSE)</f>
        <v>6</v>
      </c>
      <c r="M132">
        <f>VLOOKUP(all[[#This Row],[DEVELOPMENT]],Data[],31,FALSE)</f>
        <v>6</v>
      </c>
      <c r="N132">
        <f>VLOOKUP(all[[#This Row],[DEVELOPMENT]],Data[],26,FALSE)</f>
        <v>2</v>
      </c>
      <c r="O132">
        <f>VLOOKUP(all[[#This Row],[DEVELOPMENT]],Data[],30,FALSE)</f>
        <v>2</v>
      </c>
      <c r="P132">
        <f>VLOOKUP(all[[#This Row],[DEVELOPMENT]],Data[],28,FALSE)</f>
        <v>0</v>
      </c>
      <c r="Q132">
        <f>IF(all[[#This Row],['# Bulk Crushers]]=0,1,0)</f>
        <v>1</v>
      </c>
      <c r="R132" s="5">
        <f>IFERROR(INDEX(FWD[],MATCH($B132,FWD[DEVELOPMENT],0),MATCH("ESTIMATE",FWD[#Headers],0)),0)</f>
        <v>0</v>
      </c>
      <c r="S132" s="5">
        <f>IFERROR(INDEX(EHD[],MATCH($B132,EHD[DEVELOPMENT],0),MATCH("ESTIMATE",EHD[#Headers],0)),0)</f>
        <v>44613.861000000004</v>
      </c>
      <c r="T132" s="5">
        <f ca="1">IFERROR(INDEX(IntComp[],MATCH($B132,IntComp[DEVELOPMENT],0),MATCH("ESTIMATE",IntComp[#Headers],0)),0)</f>
        <v>441920.36699999991</v>
      </c>
      <c r="U132" s="5">
        <f ca="1">IFERROR(INDEX(Yards[],MATCH($B132,Yards[DEVELOPMENT],0),MATCH("ESTIMATE",Yards[#Headers],0)),0)</f>
        <v>1591050.0199999998</v>
      </c>
      <c r="V132" s="128">
        <f ca="1">SUM(R132:U132)</f>
        <v>2077584.2479999997</v>
      </c>
      <c r="W132" s="5"/>
    </row>
    <row r="133" spans="1:23" x14ac:dyDescent="0.25">
      <c r="A133" s="131">
        <f>VLOOKUP(B133,Data[],24,FALSE)</f>
        <v>215</v>
      </c>
      <c r="B133" t="s">
        <v>248</v>
      </c>
      <c r="C133" t="str">
        <f>VLOOKUP(B133,Data[],2,FALSE)</f>
        <v>BRONX</v>
      </c>
      <c r="D133" t="str">
        <f>VLOOKUP(all[[#This Row],[DEVELOPMENT]],Data[],3,FALSE)</f>
        <v>BUILDING MANAGEMENT ASSOCIATES (PRIVATE - BX 1)</v>
      </c>
      <c r="E133">
        <f>VLOOKUP(B133,Data[],8,FALSE)</f>
        <v>0</v>
      </c>
      <c r="F133">
        <f>VLOOKUP(B133,Data[],9,FALSE)</f>
        <v>0</v>
      </c>
      <c r="G133" t="str">
        <f>IFERROR(VLOOKUP(B133,Data[],4,FALSE),"")</f>
        <v/>
      </c>
      <c r="H133" t="str">
        <f ca="1">IF(G133="","",IF((G133-YEAR(TODAY()))&lt;=5,"Yes",""))</f>
        <v/>
      </c>
      <c r="I133">
        <f>VLOOKUP(all[[#This Row],[DEVELOPMENT]],Data[],7,FALSE)</f>
        <v>65</v>
      </c>
      <c r="J133">
        <f>VLOOKUP(all[[#This Row],[DEVELOPMENT]],Data[],25,FALSE)</f>
        <v>0</v>
      </c>
      <c r="K133">
        <f>VLOOKUP(all[[#This Row],[DEVELOPMENT]],Data[],5,FALSE)</f>
        <v>1</v>
      </c>
      <c r="L133">
        <f>VLOOKUP(all[[#This Row],[DEVELOPMENT]],Data[],27,FALSE)</f>
        <v>1</v>
      </c>
      <c r="M133">
        <f>VLOOKUP(all[[#This Row],[DEVELOPMENT]],Data[],31,FALSE)</f>
        <v>1</v>
      </c>
      <c r="N133">
        <f>VLOOKUP(all[[#This Row],[DEVELOPMENT]],Data[],26,FALSE)</f>
        <v>0</v>
      </c>
      <c r="O133">
        <f>VLOOKUP(all[[#This Row],[DEVELOPMENT]],Data[],30,FALSE)</f>
        <v>0</v>
      </c>
      <c r="P133">
        <f>VLOOKUP(all[[#This Row],[DEVELOPMENT]],Data[],28,FALSE)</f>
        <v>0</v>
      </c>
      <c r="Q133">
        <f>IF(all[[#This Row],['# Bulk Crushers]]=0,1,0)</f>
        <v>1</v>
      </c>
      <c r="R133" s="5">
        <f>IFERROR(INDEX(FWD[],MATCH($B133,FWD[DEVELOPMENT],0),MATCH("ESTIMATE",FWD[#Headers],0)),0)</f>
        <v>0</v>
      </c>
      <c r="S133" s="5">
        <f>IFERROR(INDEX(EHD[],MATCH($B133,EHD[DEVELOPMENT],0),MATCH("ESTIMATE",EHD[#Headers],0)),0)</f>
        <v>7435.6435000000001</v>
      </c>
      <c r="T133" s="5">
        <f ca="1">IFERROR(INDEX(IntComp[],MATCH($B133,IntComp[DEVELOPMENT],0),MATCH("ESTIMATE",IntComp[#Headers],0)),0)</f>
        <v>73653.394499999995</v>
      </c>
      <c r="U133" s="5">
        <f>IFERROR(INDEX(Yards[],MATCH($B133,Yards[DEVELOPMENT],0),MATCH("ESTIMATE",Yards[#Headers],0)),0)</f>
        <v>1159792.78</v>
      </c>
      <c r="V133" s="128">
        <f ca="1">SUM(R133:U133)</f>
        <v>1240881.818</v>
      </c>
      <c r="W133" s="5"/>
    </row>
    <row r="134" spans="1:23" x14ac:dyDescent="0.25">
      <c r="A134" s="131">
        <f>VLOOKUP(B134,Data[],24,FALSE)</f>
        <v>159</v>
      </c>
      <c r="B134" t="s">
        <v>249</v>
      </c>
      <c r="C134" t="str">
        <f>VLOOKUP(B134,Data[],2,FALSE)</f>
        <v>MANHATTAN</v>
      </c>
      <c r="D134" t="str">
        <f>VLOOKUP(all[[#This Row],[DEVELOPMENT]],Data[],3,FALSE)</f>
        <v>ISAACS</v>
      </c>
      <c r="E134">
        <f>VLOOKUP(B134,Data[],8,FALSE)</f>
        <v>0</v>
      </c>
      <c r="F134">
        <f>VLOOKUP(B134,Data[],9,FALSE)</f>
        <v>0</v>
      </c>
      <c r="G134" t="str">
        <f>IFERROR(VLOOKUP(B134,Data[],4,FALSE),"")</f>
        <v/>
      </c>
      <c r="H134" t="str">
        <f ca="1">IF(G134="","",IF((G134-YEAR(TODAY()))&lt;=5,"Yes",""))</f>
        <v/>
      </c>
      <c r="I134">
        <f>VLOOKUP(all[[#This Row],[DEVELOPMENT]],Data[],7,FALSE)</f>
        <v>536</v>
      </c>
      <c r="J134">
        <f>VLOOKUP(all[[#This Row],[DEVELOPMENT]],Data[],25,FALSE)</f>
        <v>0</v>
      </c>
      <c r="K134">
        <f>VLOOKUP(all[[#This Row],[DEVELOPMENT]],Data[],5,FALSE)</f>
        <v>2</v>
      </c>
      <c r="L134">
        <f>VLOOKUP(all[[#This Row],[DEVELOPMENT]],Data[],27,FALSE)</f>
        <v>2</v>
      </c>
      <c r="M134">
        <f>VLOOKUP(all[[#This Row],[DEVELOPMENT]],Data[],31,FALSE)</f>
        <v>2</v>
      </c>
      <c r="N134">
        <f>VLOOKUP(all[[#This Row],[DEVELOPMENT]],Data[],26,FALSE)</f>
        <v>0</v>
      </c>
      <c r="O134">
        <f>VLOOKUP(all[[#This Row],[DEVELOPMENT]],Data[],30,FALSE)</f>
        <v>0</v>
      </c>
      <c r="P134">
        <f>VLOOKUP(all[[#This Row],[DEVELOPMENT]],Data[],28,FALSE)</f>
        <v>0</v>
      </c>
      <c r="Q134">
        <f>IF(all[[#This Row],['# Bulk Crushers]]=0,1,0)</f>
        <v>1</v>
      </c>
      <c r="R134" s="5">
        <f>IFERROR(INDEX(FWD[],MATCH($B134,FWD[DEVELOPMENT],0),MATCH("ESTIMATE",FWD[#Headers],0)),0)</f>
        <v>0</v>
      </c>
      <c r="S134" s="5">
        <f>IFERROR(INDEX(EHD[],MATCH($B134,EHD[DEVELOPMENT],0),MATCH("ESTIMATE",EHD[#Headers],0)),0)</f>
        <v>14871.287</v>
      </c>
      <c r="T134" s="5">
        <f ca="1">IFERROR(INDEX(IntComp[],MATCH($B134,IntComp[DEVELOPMENT],0),MATCH("ESTIMATE",IntComp[#Headers],0)),0)</f>
        <v>147306.78899999999</v>
      </c>
      <c r="U134" s="5">
        <f>IFERROR(INDEX(Yards[],MATCH($B134,Yards[DEVELOPMENT],0),MATCH("ESTIMATE",Yards[#Headers],0)),0)</f>
        <v>1159792.78</v>
      </c>
      <c r="V134" s="128">
        <f ca="1">SUM(R134:U134)</f>
        <v>1321970.8560000001</v>
      </c>
      <c r="W134" s="5"/>
    </row>
    <row r="135" spans="1:23" x14ac:dyDescent="0.25">
      <c r="A135" s="131">
        <f>VLOOKUP(B135,Data[],24,FALSE)</f>
        <v>72</v>
      </c>
      <c r="B135" t="s">
        <v>250</v>
      </c>
      <c r="C135" t="str">
        <f>VLOOKUP(B135,Data[],2,FALSE)</f>
        <v>BROOKLYN</v>
      </c>
      <c r="D135" t="str">
        <f>VLOOKUP(all[[#This Row],[DEVELOPMENT]],Data[],3,FALSE)</f>
        <v>HOWARD</v>
      </c>
      <c r="E135">
        <f>VLOOKUP(B135,Data[],8,FALSE)</f>
        <v>0</v>
      </c>
      <c r="F135">
        <f>VLOOKUP(B135,Data[],9,FALSE)</f>
        <v>0</v>
      </c>
      <c r="G135" t="str">
        <f>IFERROR(VLOOKUP(B135,Data[],4,FALSE),"")</f>
        <v/>
      </c>
      <c r="H135" t="str">
        <f ca="1">IF(G135="","",IF((G135-YEAR(TODAY()))&lt;=5,"Yes",""))</f>
        <v/>
      </c>
      <c r="I135">
        <f>VLOOKUP(all[[#This Row],[DEVELOPMENT]],Data[],7,FALSE)</f>
        <v>813</v>
      </c>
      <c r="J135">
        <f>VLOOKUP(all[[#This Row],[DEVELOPMENT]],Data[],25,FALSE)</f>
        <v>0</v>
      </c>
      <c r="K135">
        <f>VLOOKUP(all[[#This Row],[DEVELOPMENT]],Data[],5,FALSE)</f>
        <v>10</v>
      </c>
      <c r="L135">
        <f>VLOOKUP(all[[#This Row],[DEVELOPMENT]],Data[],27,FALSE)</f>
        <v>16</v>
      </c>
      <c r="M135">
        <f>VLOOKUP(all[[#This Row],[DEVELOPMENT]],Data[],31,FALSE)</f>
        <v>16</v>
      </c>
      <c r="N135">
        <f>VLOOKUP(all[[#This Row],[DEVELOPMENT]],Data[],26,FALSE)</f>
        <v>0</v>
      </c>
      <c r="O135">
        <f>VLOOKUP(all[[#This Row],[DEVELOPMENT]],Data[],30,FALSE)</f>
        <v>0</v>
      </c>
      <c r="P135">
        <f>VLOOKUP(all[[#This Row],[DEVELOPMENT]],Data[],28,FALSE)</f>
        <v>0</v>
      </c>
      <c r="Q135">
        <f>IF(all[[#This Row],['# Bulk Crushers]]=0,1,0)</f>
        <v>1</v>
      </c>
      <c r="R135" s="5">
        <f>IFERROR(INDEX(FWD[],MATCH($B135,FWD[DEVELOPMENT],0),MATCH("ESTIMATE",FWD[#Headers],0)),0)</f>
        <v>0</v>
      </c>
      <c r="S135" s="5">
        <f>IFERROR(INDEX(EHD[],MATCH($B135,EHD[DEVELOPMENT],0),MATCH("ESTIMATE",EHD[#Headers],0)),0)</f>
        <v>118970.296</v>
      </c>
      <c r="T135" s="5">
        <f ca="1">IFERROR(INDEX(IntComp[],MATCH($B135,IntComp[DEVELOPMENT],0),MATCH("ESTIMATE",IntComp[#Headers],0)),0)</f>
        <v>1178454.3119999999</v>
      </c>
      <c r="U135" s="5">
        <f>IFERROR(INDEX(Yards[],MATCH($B135,Yards[DEVELOPMENT],0),MATCH("ESTIMATE",Yards[#Headers],0)),0)</f>
        <v>1159792.78</v>
      </c>
      <c r="V135" s="128">
        <f ca="1">SUM(R135:U135)</f>
        <v>2457217.3880000003</v>
      </c>
      <c r="W135" s="5"/>
    </row>
    <row r="136" spans="1:23" x14ac:dyDescent="0.25">
      <c r="A136" s="131">
        <f>VLOOKUP(B136,Data[],24,FALSE)</f>
        <v>339</v>
      </c>
      <c r="B136" t="s">
        <v>251</v>
      </c>
      <c r="C136" t="str">
        <f>VLOOKUP(B136,Data[],2,FALSE)</f>
        <v>BROOKLYN</v>
      </c>
      <c r="D136" t="str">
        <f>VLOOKUP(all[[#This Row],[DEVELOPMENT]],Data[],3,FALSE)</f>
        <v>PARK ROCK CONSOLIDATED</v>
      </c>
      <c r="E136">
        <f>VLOOKUP(B136,Data[],8,FALSE)</f>
        <v>0</v>
      </c>
      <c r="F136">
        <f>VLOOKUP(B136,Data[],9,FALSE)</f>
        <v>0</v>
      </c>
      <c r="G136">
        <f>IFERROR(VLOOKUP(B136,Data[],4,FALSE),"")</f>
        <v>2025</v>
      </c>
      <c r="H136" t="str">
        <f ca="1">IF(G136="","",IF((G136-YEAR(TODAY()))&lt;=5,"Yes",""))</f>
        <v/>
      </c>
      <c r="I136">
        <f>VLOOKUP(all[[#This Row],[DEVELOPMENT]],Data[],7,FALSE)</f>
        <v>148</v>
      </c>
      <c r="J136">
        <f>VLOOKUP(all[[#This Row],[DEVELOPMENT]],Data[],25,FALSE)</f>
        <v>0</v>
      </c>
      <c r="K136">
        <f>VLOOKUP(all[[#This Row],[DEVELOPMENT]],Data[],5,FALSE)</f>
        <v>5</v>
      </c>
      <c r="L136">
        <f>VLOOKUP(all[[#This Row],[DEVELOPMENT]],Data[],27,FALSE)</f>
        <v>0</v>
      </c>
      <c r="M136">
        <f>VLOOKUP(all[[#This Row],[DEVELOPMENT]],Data[],31,FALSE)</f>
        <v>0</v>
      </c>
      <c r="N136">
        <f>VLOOKUP(all[[#This Row],[DEVELOPMENT]],Data[],26,FALSE)</f>
        <v>0</v>
      </c>
      <c r="O136">
        <f>VLOOKUP(all[[#This Row],[DEVELOPMENT]],Data[],30,FALSE)</f>
        <v>0</v>
      </c>
      <c r="P136">
        <f>VLOOKUP(all[[#This Row],[DEVELOPMENT]],Data[],28,FALSE)</f>
        <v>0</v>
      </c>
      <c r="Q136">
        <f>IF(all[[#This Row],['# Bulk Crushers]]=0,1,0)</f>
        <v>1</v>
      </c>
      <c r="R136" s="5">
        <f>IFERROR(INDEX(FWD[],MATCH($B136,FWD[DEVELOPMENT],0),MATCH("ESTIMATE",FWD[#Headers],0)),0)</f>
        <v>0</v>
      </c>
      <c r="S136" s="5">
        <f>IFERROR(INDEX(EHD[],MATCH($B136,EHD[DEVELOPMENT],0),MATCH("ESTIMATE",EHD[#Headers],0)),0)</f>
        <v>0</v>
      </c>
      <c r="T136" s="5">
        <f ca="1">IFERROR(INDEX(IntComp[],MATCH($B136,IntComp[DEVELOPMENT],0),MATCH("ESTIMATE",IntComp[#Headers],0)),0)</f>
        <v>0</v>
      </c>
      <c r="U136" s="5">
        <f>IFERROR(INDEX(Yards[],MATCH($B136,Yards[DEVELOPMENT],0),MATCH("ESTIMATE",Yards[#Headers],0)),0)</f>
        <v>0</v>
      </c>
      <c r="V136" s="128">
        <f ca="1">SUM(R136:U136)</f>
        <v>0</v>
      </c>
      <c r="W136" s="5"/>
    </row>
    <row r="137" spans="1:23" x14ac:dyDescent="0.25">
      <c r="A137" s="131">
        <f>VLOOKUP(B137,Data[],24,FALSE)</f>
        <v>365</v>
      </c>
      <c r="B137" t="s">
        <v>252</v>
      </c>
      <c r="C137" t="str">
        <f>VLOOKUP(B137,Data[],2,FALSE)</f>
        <v>BROOKLYN</v>
      </c>
      <c r="D137" t="str">
        <f>VLOOKUP(all[[#This Row],[DEVELOPMENT]],Data[],3,FALSE)</f>
        <v>PARK ROCK CONSOLIDATED</v>
      </c>
      <c r="E137" t="str">
        <f>VLOOKUP(B137,Data[],8,FALSE)</f>
        <v>Zone 4</v>
      </c>
      <c r="F137">
        <f>VLOOKUP(B137,Data[],9,FALSE)</f>
        <v>0</v>
      </c>
      <c r="G137">
        <f>IFERROR(VLOOKUP(B137,Data[],4,FALSE),"")</f>
        <v>2025</v>
      </c>
      <c r="H137" t="str">
        <f ca="1">IF(G137="","",IF((G137-YEAR(TODAY()))&lt;=5,"Yes",""))</f>
        <v/>
      </c>
      <c r="I137">
        <f>VLOOKUP(all[[#This Row],[DEVELOPMENT]],Data[],7,FALSE)</f>
        <v>155</v>
      </c>
      <c r="J137">
        <f>VLOOKUP(all[[#This Row],[DEVELOPMENT]],Data[],25,FALSE)</f>
        <v>0</v>
      </c>
      <c r="K137">
        <f>VLOOKUP(all[[#This Row],[DEVELOPMENT]],Data[],5,FALSE)</f>
        <v>8</v>
      </c>
      <c r="L137">
        <f>VLOOKUP(all[[#This Row],[DEVELOPMENT]],Data[],27,FALSE)</f>
        <v>0</v>
      </c>
      <c r="M137">
        <f>VLOOKUP(all[[#This Row],[DEVELOPMENT]],Data[],31,FALSE)</f>
        <v>0</v>
      </c>
      <c r="N137">
        <f>VLOOKUP(all[[#This Row],[DEVELOPMENT]],Data[],26,FALSE)</f>
        <v>0</v>
      </c>
      <c r="O137">
        <f>VLOOKUP(all[[#This Row],[DEVELOPMENT]],Data[],30,FALSE)</f>
        <v>0</v>
      </c>
      <c r="P137">
        <f>VLOOKUP(all[[#This Row],[DEVELOPMENT]],Data[],28,FALSE)</f>
        <v>0</v>
      </c>
      <c r="Q137">
        <f>IF(all[[#This Row],['# Bulk Crushers]]=0,1,0)</f>
        <v>1</v>
      </c>
      <c r="R137" s="5">
        <f>IFERROR(INDEX(FWD[],MATCH($B137,FWD[DEVELOPMENT],0),MATCH("ESTIMATE",FWD[#Headers],0)),0)</f>
        <v>0</v>
      </c>
      <c r="S137" s="5">
        <f>IFERROR(INDEX(EHD[],MATCH($B137,EHD[DEVELOPMENT],0),MATCH("ESTIMATE",EHD[#Headers],0)),0)</f>
        <v>0</v>
      </c>
      <c r="T137" s="5">
        <f ca="1">IFERROR(INDEX(IntComp[],MATCH($B137,IntComp[DEVELOPMENT],0),MATCH("ESTIMATE",IntComp[#Headers],0)),0)</f>
        <v>0</v>
      </c>
      <c r="U137" s="5">
        <f>IFERROR(INDEX(Yards[],MATCH($B137,Yards[DEVELOPMENT],0),MATCH("ESTIMATE",Yards[#Headers],0)),0)</f>
        <v>0</v>
      </c>
      <c r="V137" s="128">
        <f ca="1">SUM(R137:U137)</f>
        <v>0</v>
      </c>
      <c r="W137" s="5"/>
    </row>
    <row r="138" spans="1:23" x14ac:dyDescent="0.25">
      <c r="A138" s="131">
        <f>VLOOKUP(B138,Data[],24,FALSE)</f>
        <v>168</v>
      </c>
      <c r="B138" t="s">
        <v>253</v>
      </c>
      <c r="C138" t="str">
        <f>VLOOKUP(B138,Data[],2,FALSE)</f>
        <v>BROOKLYN</v>
      </c>
      <c r="D138" t="str">
        <f>VLOOKUP(all[[#This Row],[DEVELOPMENT]],Data[],3,FALSE)</f>
        <v>HUGHES APARTMENTS</v>
      </c>
      <c r="E138">
        <f>VLOOKUP(B138,Data[],8,FALSE)</f>
        <v>0</v>
      </c>
      <c r="F138">
        <f>VLOOKUP(B138,Data[],9,FALSE)</f>
        <v>0</v>
      </c>
      <c r="G138" t="str">
        <f>IFERROR(VLOOKUP(B138,Data[],4,FALSE),"")</f>
        <v/>
      </c>
      <c r="H138" t="str">
        <f ca="1">IF(G138="","",IF((G138-YEAR(TODAY()))&lt;=5,"Yes",""))</f>
        <v/>
      </c>
      <c r="I138">
        <f>VLOOKUP(all[[#This Row],[DEVELOPMENT]],Data[],7,FALSE)</f>
        <v>509</v>
      </c>
      <c r="J138">
        <f>VLOOKUP(all[[#This Row],[DEVELOPMENT]],Data[],25,FALSE)</f>
        <v>0</v>
      </c>
      <c r="K138">
        <f>VLOOKUP(all[[#This Row],[DEVELOPMENT]],Data[],5,FALSE)</f>
        <v>3</v>
      </c>
      <c r="L138">
        <f>VLOOKUP(all[[#This Row],[DEVELOPMENT]],Data[],27,FALSE)</f>
        <v>3</v>
      </c>
      <c r="M138">
        <f>VLOOKUP(all[[#This Row],[DEVELOPMENT]],Data[],31,FALSE)</f>
        <v>3</v>
      </c>
      <c r="N138">
        <f>VLOOKUP(all[[#This Row],[DEVELOPMENT]],Data[],26,FALSE)</f>
        <v>1</v>
      </c>
      <c r="O138">
        <f>VLOOKUP(all[[#This Row],[DEVELOPMENT]],Data[],30,FALSE)</f>
        <v>1</v>
      </c>
      <c r="P138">
        <f>VLOOKUP(all[[#This Row],[DEVELOPMENT]],Data[],28,FALSE)</f>
        <v>0</v>
      </c>
      <c r="Q138">
        <f>IF(all[[#This Row],['# Bulk Crushers]]=0,1,0)</f>
        <v>1</v>
      </c>
      <c r="R138" s="5">
        <f>IFERROR(INDEX(FWD[],MATCH($B138,FWD[DEVELOPMENT],0),MATCH("ESTIMATE",FWD[#Headers],0)),0)</f>
        <v>0</v>
      </c>
      <c r="S138" s="5">
        <f>IFERROR(INDEX(EHD[],MATCH($B138,EHD[DEVELOPMENT],0),MATCH("ESTIMATE",EHD[#Headers],0)),0)</f>
        <v>22306.930500000002</v>
      </c>
      <c r="T138" s="5">
        <f ca="1">IFERROR(INDEX(IntComp[],MATCH($B138,IntComp[DEVELOPMENT],0),MATCH("ESTIMATE",IntComp[#Headers],0)),0)</f>
        <v>220960.18349999996</v>
      </c>
      <c r="U138" s="5">
        <f ca="1">IFERROR(INDEX(Yards[],MATCH($B138,Yards[DEVELOPMENT],0),MATCH("ESTIMATE",Yards[#Headers],0)),0)</f>
        <v>1159792.78</v>
      </c>
      <c r="V138" s="128">
        <f ca="1">SUM(R138:U138)</f>
        <v>1403059.8939999999</v>
      </c>
      <c r="W138" s="5"/>
    </row>
    <row r="139" spans="1:23" x14ac:dyDescent="0.25">
      <c r="A139" s="131">
        <f>VLOOKUP(B139,Data[],24,FALSE)</f>
        <v>367</v>
      </c>
      <c r="B139" t="s">
        <v>254</v>
      </c>
      <c r="C139" t="str">
        <f>VLOOKUP(B139,Data[],2,FALSE)</f>
        <v>BRONX</v>
      </c>
      <c r="D139" t="str">
        <f>VLOOKUP(all[[#This Row],[DEVELOPMENT]],Data[],3,FALSE)</f>
        <v>BUILDING MANAGEMENT ASSOCIATES (PRIVATE - BX 1)</v>
      </c>
      <c r="E139">
        <f>VLOOKUP(B139,Data[],8,FALSE)</f>
        <v>0</v>
      </c>
      <c r="F139">
        <f>VLOOKUP(B139,Data[],9,FALSE)</f>
        <v>0</v>
      </c>
      <c r="G139" t="str">
        <f>IFERROR(VLOOKUP(B139,Data[],4,FALSE),"")</f>
        <v/>
      </c>
      <c r="H139" t="str">
        <f ca="1">IF(G139="","",IF((G139-YEAR(TODAY()))&lt;=5,"Yes",""))</f>
        <v/>
      </c>
      <c r="I139">
        <f>VLOOKUP(all[[#This Row],[DEVELOPMENT]],Data[],7,FALSE)</f>
        <v>131</v>
      </c>
      <c r="J139">
        <f>VLOOKUP(all[[#This Row],[DEVELOPMENT]],Data[],25,FALSE)</f>
        <v>0</v>
      </c>
      <c r="K139">
        <f>VLOOKUP(all[[#This Row],[DEVELOPMENT]],Data[],5,FALSE)</f>
        <v>13</v>
      </c>
      <c r="L139">
        <f>VLOOKUP(all[[#This Row],[DEVELOPMENT]],Data[],27,FALSE)</f>
        <v>1</v>
      </c>
      <c r="M139">
        <f>VLOOKUP(all[[#This Row],[DEVELOPMENT]],Data[],31,FALSE)</f>
        <v>1</v>
      </c>
      <c r="N139">
        <f>VLOOKUP(all[[#This Row],[DEVELOPMENT]],Data[],26,FALSE)</f>
        <v>0</v>
      </c>
      <c r="O139">
        <f>VLOOKUP(all[[#This Row],[DEVELOPMENT]],Data[],30,FALSE)</f>
        <v>0</v>
      </c>
      <c r="P139">
        <f>VLOOKUP(all[[#This Row],[DEVELOPMENT]],Data[],28,FALSE)</f>
        <v>0</v>
      </c>
      <c r="Q139">
        <f>IF(all[[#This Row],['# Bulk Crushers]]=0,1,0)</f>
        <v>1</v>
      </c>
      <c r="R139" s="5">
        <f>IFERROR(INDEX(FWD[],MATCH($B139,FWD[DEVELOPMENT],0),MATCH("ESTIMATE",FWD[#Headers],0)),0)</f>
        <v>0</v>
      </c>
      <c r="S139" s="5">
        <f>IFERROR(INDEX(EHD[],MATCH($B139,EHD[DEVELOPMENT],0),MATCH("ESTIMATE",EHD[#Headers],0)),0)</f>
        <v>7435.6435000000001</v>
      </c>
      <c r="T139" s="5">
        <f ca="1">IFERROR(INDEX(IntComp[],MATCH($B139,IntComp[DEVELOPMENT],0),MATCH("ESTIMATE",IntComp[#Headers],0)),0)</f>
        <v>73653.394499999995</v>
      </c>
      <c r="U139" s="5">
        <f>IFERROR(INDEX(Yards[],MATCH($B139,Yards[DEVELOPMENT],0),MATCH("ESTIMATE",Yards[#Headers],0)),0)</f>
        <v>1159792.78</v>
      </c>
      <c r="V139" s="128">
        <f ca="1">SUM(R139:U139)</f>
        <v>1240881.818</v>
      </c>
      <c r="W139" s="5"/>
    </row>
    <row r="140" spans="1:23" x14ac:dyDescent="0.25">
      <c r="A140" s="131">
        <f>VLOOKUP(B140,Data[],24,FALSE)</f>
        <v>109</v>
      </c>
      <c r="B140" t="s">
        <v>139</v>
      </c>
      <c r="C140" t="str">
        <f>VLOOKUP(B140,Data[],2,FALSE)</f>
        <v>BROOKLYN</v>
      </c>
      <c r="D140" t="str">
        <f>VLOOKUP(all[[#This Row],[DEVELOPMENT]],Data[],3,FALSE)</f>
        <v>BUSHWICK</v>
      </c>
      <c r="E140" t="str">
        <f>VLOOKUP(B140,Data[],8,FALSE)</f>
        <v>Zone 1</v>
      </c>
      <c r="F140" t="str">
        <f>VLOOKUP(B140,Data[],9,FALSE)</f>
        <v>$</v>
      </c>
      <c r="G140" t="str">
        <f>IFERROR(VLOOKUP(B140,Data[],4,FALSE),"")</f>
        <v/>
      </c>
      <c r="H140" t="str">
        <f ca="1">IF(G140="","",IF((G140-YEAR(TODAY()))&lt;=5,"Yes",""))</f>
        <v/>
      </c>
      <c r="I140">
        <f>VLOOKUP(all[[#This Row],[DEVELOPMENT]],Data[],7,FALSE)</f>
        <v>209</v>
      </c>
      <c r="J140" t="str">
        <f>VLOOKUP(all[[#This Row],[DEVELOPMENT]],Data[],25,FALSE)</f>
        <v>Yes</v>
      </c>
      <c r="K140">
        <f>VLOOKUP(all[[#This Row],[DEVELOPMENT]],Data[],5,FALSE)</f>
        <v>1</v>
      </c>
      <c r="L140">
        <f>VLOOKUP(all[[#This Row],[DEVELOPMENT]],Data[],27,FALSE)</f>
        <v>1</v>
      </c>
      <c r="M140">
        <f>VLOOKUP(all[[#This Row],[DEVELOPMENT]],Data[],31,FALSE)</f>
        <v>1</v>
      </c>
      <c r="N140">
        <f>VLOOKUP(all[[#This Row],[DEVELOPMENT]],Data[],26,FALSE)</f>
        <v>0</v>
      </c>
      <c r="O140">
        <f>VLOOKUP(all[[#This Row],[DEVELOPMENT]],Data[],30,FALSE)</f>
        <v>0</v>
      </c>
      <c r="P140">
        <f>VLOOKUP(all[[#This Row],[DEVELOPMENT]],Data[],28,FALSE)</f>
        <v>0</v>
      </c>
      <c r="Q140">
        <f>IF(all[[#This Row],['# Bulk Crushers]]=0,1,0)</f>
        <v>1</v>
      </c>
      <c r="R140" s="5">
        <f>IFERROR(INDEX(FWD[],MATCH($B140,FWD[DEVELOPMENT],0),MATCH("ESTIMATE",FWD[#Headers],0)),0)</f>
        <v>359215.8130054081</v>
      </c>
      <c r="S140" s="5">
        <f>IFERROR(INDEX(EHD[],MATCH($B140,EHD[DEVELOPMENT],0),MATCH("ESTIMATE",EHD[#Headers],0)),0)</f>
        <v>7435.6435000000001</v>
      </c>
      <c r="T140" s="5">
        <f ca="1">IFERROR(INDEX(IntComp[],MATCH($B140,IntComp[DEVELOPMENT],0),MATCH("ESTIMATE",IntComp[#Headers],0)),0)</f>
        <v>73653.394499999995</v>
      </c>
      <c r="U140" s="5">
        <f>IFERROR(INDEX(Yards[],MATCH($B140,Yards[DEVELOPMENT],0),MATCH("ESTIMATE",Yards[#Headers],0)),0)</f>
        <v>1159792.78</v>
      </c>
      <c r="V140" s="128">
        <f ca="1">SUM(R140:U140)</f>
        <v>1600097.6310054082</v>
      </c>
      <c r="W140" s="5"/>
    </row>
    <row r="141" spans="1:23" x14ac:dyDescent="0.25">
      <c r="A141" s="131">
        <f>VLOOKUP(B141,Data[],24,FALSE)</f>
        <v>140</v>
      </c>
      <c r="B141" t="s">
        <v>255</v>
      </c>
      <c r="C141" t="str">
        <f>VLOOKUP(B141,Data[],2,FALSE)</f>
        <v>BROOKLYN</v>
      </c>
      <c r="D141" t="str">
        <f>VLOOKUP(all[[#This Row],[DEVELOPMENT]],Data[],3,FALSE)</f>
        <v>TAYLOR STREET-WYTHE AVENUE</v>
      </c>
      <c r="E141">
        <f>VLOOKUP(B141,Data[],8,FALSE)</f>
        <v>0</v>
      </c>
      <c r="F141">
        <f>VLOOKUP(B141,Data[],9,FALSE)</f>
        <v>0</v>
      </c>
      <c r="G141">
        <f>IFERROR(VLOOKUP(B141,Data[],4,FALSE),"")</f>
        <v>2019</v>
      </c>
      <c r="H141" t="str">
        <f ca="1">IF(G141="","",IF((G141-YEAR(TODAY()))&lt;=5,"Yes",""))</f>
        <v>Yes</v>
      </c>
      <c r="I141">
        <f>VLOOKUP(all[[#This Row],[DEVELOPMENT]],Data[],7,FALSE)</f>
        <v>741</v>
      </c>
      <c r="J141" t="str">
        <f>VLOOKUP(all[[#This Row],[DEVELOPMENT]],Data[],25,FALSE)</f>
        <v>Yes</v>
      </c>
      <c r="K141">
        <f>VLOOKUP(all[[#This Row],[DEVELOPMENT]],Data[],5,FALSE)</f>
        <v>6</v>
      </c>
      <c r="L141">
        <f>VLOOKUP(all[[#This Row],[DEVELOPMENT]],Data[],27,FALSE)</f>
        <v>6</v>
      </c>
      <c r="M141">
        <f>VLOOKUP(all[[#This Row],[DEVELOPMENT]],Data[],31,FALSE)</f>
        <v>6</v>
      </c>
      <c r="N141">
        <f>VLOOKUP(all[[#This Row],[DEVELOPMENT]],Data[],26,FALSE)</f>
        <v>2</v>
      </c>
      <c r="O141">
        <f>VLOOKUP(all[[#This Row],[DEVELOPMENT]],Data[],30,FALSE)</f>
        <v>2</v>
      </c>
      <c r="P141">
        <f>VLOOKUP(all[[#This Row],[DEVELOPMENT]],Data[],28,FALSE)</f>
        <v>0</v>
      </c>
      <c r="Q141">
        <f>IF(all[[#This Row],['# Bulk Crushers]]=0,1,0)</f>
        <v>1</v>
      </c>
      <c r="R141" s="5">
        <f>IFERROR(INDEX(FWD[],MATCH($B141,FWD[DEVELOPMENT],0),MATCH("ESTIMATE",FWD[#Headers],0)),0)</f>
        <v>0</v>
      </c>
      <c r="S141" s="5">
        <f>IFERROR(INDEX(EHD[],MATCH($B141,EHD[DEVELOPMENT],0),MATCH("ESTIMATE",EHD[#Headers],0)),0)</f>
        <v>0</v>
      </c>
      <c r="T141" s="5">
        <f ca="1">IFERROR(INDEX(IntComp[],MATCH($B141,IntComp[DEVELOPMENT],0),MATCH("ESTIMATE",IntComp[#Headers],0)),0)</f>
        <v>0</v>
      </c>
      <c r="U141" s="5">
        <f>IFERROR(INDEX(Yards[],MATCH($B141,Yards[DEVELOPMENT],0),MATCH("ESTIMATE",Yards[#Headers],0)),0)</f>
        <v>0</v>
      </c>
      <c r="V141" s="128">
        <f ca="1">SUM(R141:U141)</f>
        <v>0</v>
      </c>
      <c r="W141" s="5"/>
    </row>
    <row r="142" spans="1:23" x14ac:dyDescent="0.25">
      <c r="A142" s="131">
        <f>VLOOKUP(B142,Data[],24,FALSE)</f>
        <v>14</v>
      </c>
      <c r="B142" t="s">
        <v>256</v>
      </c>
      <c r="C142" t="str">
        <f>VLOOKUP(B142,Data[],2,FALSE)</f>
        <v>BROOKLYN</v>
      </c>
      <c r="D142" t="str">
        <f>VLOOKUP(all[[#This Row],[DEVELOPMENT]],Data[],3,FALSE)</f>
        <v>INGERSOLL</v>
      </c>
      <c r="E142">
        <f>VLOOKUP(B142,Data[],8,FALSE)</f>
        <v>0</v>
      </c>
      <c r="F142">
        <f>VLOOKUP(B142,Data[],9,FALSE)</f>
        <v>0</v>
      </c>
      <c r="G142" t="str">
        <f>IFERROR(VLOOKUP(B142,Data[],4,FALSE),"")</f>
        <v/>
      </c>
      <c r="H142" t="str">
        <f ca="1">IF(G142="","",IF((G142-YEAR(TODAY()))&lt;=5,"Yes",""))</f>
        <v/>
      </c>
      <c r="I142">
        <f>VLOOKUP(all[[#This Row],[DEVELOPMENT]],Data[],7,FALSE)</f>
        <v>1830</v>
      </c>
      <c r="J142" t="str">
        <f>VLOOKUP(all[[#This Row],[DEVELOPMENT]],Data[],25,FALSE)</f>
        <v>Yes</v>
      </c>
      <c r="K142">
        <f>VLOOKUP(all[[#This Row],[DEVELOPMENT]],Data[],5,FALSE)</f>
        <v>20</v>
      </c>
      <c r="L142">
        <f>VLOOKUP(all[[#This Row],[DEVELOPMENT]],Data[],27,FALSE)</f>
        <v>44</v>
      </c>
      <c r="M142">
        <f>VLOOKUP(all[[#This Row],[DEVELOPMENT]],Data[],31,FALSE)</f>
        <v>44</v>
      </c>
      <c r="N142">
        <f>VLOOKUP(all[[#This Row],[DEVELOPMENT]],Data[],26,FALSE)</f>
        <v>2</v>
      </c>
      <c r="O142">
        <f>VLOOKUP(all[[#This Row],[DEVELOPMENT]],Data[],30,FALSE)</f>
        <v>2</v>
      </c>
      <c r="P142">
        <f>VLOOKUP(all[[#This Row],[DEVELOPMENT]],Data[],28,FALSE)</f>
        <v>0</v>
      </c>
      <c r="Q142">
        <f>IF(all[[#This Row],['# Bulk Crushers]]=0,1,0)</f>
        <v>1</v>
      </c>
      <c r="R142" s="5">
        <f>IFERROR(INDEX(FWD[],MATCH($B142,FWD[DEVELOPMENT],0),MATCH("ESTIMATE",FWD[#Headers],0)),0)</f>
        <v>3145286.7837315635</v>
      </c>
      <c r="S142" s="5">
        <f>IFERROR(INDEX(EHD[],MATCH($B142,EHD[DEVELOPMENT],0),MATCH("ESTIMATE",EHD[#Headers],0)),0)</f>
        <v>327168.31400000001</v>
      </c>
      <c r="T142" s="5">
        <f ca="1">IFERROR(INDEX(IntComp[],MATCH($B142,IntComp[DEVELOPMENT],0),MATCH("ESTIMATE",IntComp[#Headers],0)),0)</f>
        <v>3240749.3579999995</v>
      </c>
      <c r="U142" s="5">
        <f ca="1">IFERROR(INDEX(Yards[],MATCH($B142,Yards[DEVELOPMENT],0),MATCH("ESTIMATE",Yards[#Headers],0)),0)</f>
        <v>1591050.0199999998</v>
      </c>
      <c r="V142" s="128">
        <f ca="1">SUM(R142:U142)</f>
        <v>8304254.4757315628</v>
      </c>
      <c r="W142" s="5"/>
    </row>
    <row r="143" spans="1:23" x14ac:dyDescent="0.25">
      <c r="A143" s="131">
        <f>VLOOKUP(B143,Data[],24,FALSE)</f>
        <v>316</v>
      </c>
      <c r="B143" t="s">
        <v>257</v>
      </c>
      <c r="C143" t="str">
        <f>VLOOKUP(B143,Data[],2,FALSE)</f>
        <v>QUEENS</v>
      </c>
      <c r="D143" t="str">
        <f>VLOOKUP(all[[#This Row],[DEVELOPMENT]],Data[],3,FALSE)</f>
        <v>BAISLEY PARK</v>
      </c>
      <c r="E143">
        <f>VLOOKUP(B143,Data[],8,FALSE)</f>
        <v>0</v>
      </c>
      <c r="F143">
        <f>VLOOKUP(B143,Data[],9,FALSE)</f>
        <v>0</v>
      </c>
      <c r="G143" t="str">
        <f>IFERROR(VLOOKUP(B143,Data[],4,FALSE),"")</f>
        <v/>
      </c>
      <c r="H143" t="str">
        <f ca="1">IF(G143="","",IF((G143-YEAR(TODAY()))&lt;=5,"Yes",""))</f>
        <v/>
      </c>
      <c r="I143">
        <f>VLOOKUP(all[[#This Row],[DEVELOPMENT]],Data[],7,FALSE)</f>
        <v>146</v>
      </c>
      <c r="J143">
        <f>VLOOKUP(all[[#This Row],[DEVELOPMENT]],Data[],25,FALSE)</f>
        <v>0</v>
      </c>
      <c r="K143">
        <f>VLOOKUP(all[[#This Row],[DEVELOPMENT]],Data[],5,FALSE)</f>
        <v>1</v>
      </c>
      <c r="L143">
        <f>VLOOKUP(all[[#This Row],[DEVELOPMENT]],Data[],27,FALSE)</f>
        <v>2</v>
      </c>
      <c r="M143">
        <f>VLOOKUP(all[[#This Row],[DEVELOPMENT]],Data[],31,FALSE)</f>
        <v>2</v>
      </c>
      <c r="N143">
        <f>VLOOKUP(all[[#This Row],[DEVELOPMENT]],Data[],26,FALSE)</f>
        <v>0</v>
      </c>
      <c r="O143">
        <f>VLOOKUP(all[[#This Row],[DEVELOPMENT]],Data[],30,FALSE)</f>
        <v>0</v>
      </c>
      <c r="P143">
        <f>VLOOKUP(all[[#This Row],[DEVELOPMENT]],Data[],28,FALSE)</f>
        <v>0</v>
      </c>
      <c r="Q143">
        <f>IF(all[[#This Row],['# Bulk Crushers]]=0,1,0)</f>
        <v>1</v>
      </c>
      <c r="R143" s="5">
        <f>IFERROR(INDEX(FWD[],MATCH($B143,FWD[DEVELOPMENT],0),MATCH("ESTIMATE",FWD[#Headers],0)),0)</f>
        <v>0</v>
      </c>
      <c r="S143" s="5">
        <f>IFERROR(INDEX(EHD[],MATCH($B143,EHD[DEVELOPMENT],0),MATCH("ESTIMATE",EHD[#Headers],0)),0)</f>
        <v>0</v>
      </c>
      <c r="T143" s="5">
        <f ca="1">IFERROR(INDEX(IntComp[],MATCH($B143,IntComp[DEVELOPMENT],0),MATCH("ESTIMATE",IntComp[#Headers],0)),0)</f>
        <v>147306.78899999999</v>
      </c>
      <c r="U143" s="5">
        <f>IFERROR(INDEX(Yards[],MATCH($B143,Yards[DEVELOPMENT],0),MATCH("ESTIMATE",Yards[#Headers],0)),0)</f>
        <v>1159792.78</v>
      </c>
      <c r="V143" s="128">
        <f ca="1">SUM(R143:U143)</f>
        <v>1307099.5690000001</v>
      </c>
      <c r="W143" s="5"/>
    </row>
    <row r="144" spans="1:23" x14ac:dyDescent="0.25">
      <c r="A144" s="131">
        <f>VLOOKUP(B144,Data[],24,FALSE)</f>
        <v>139</v>
      </c>
      <c r="B144" t="s">
        <v>258</v>
      </c>
      <c r="C144" t="str">
        <f>VLOOKUP(B144,Data[],2,FALSE)</f>
        <v>MANHATTAN</v>
      </c>
      <c r="D144" t="str">
        <f>VLOOKUP(all[[#This Row],[DEVELOPMENT]],Data[],3,FALSE)</f>
        <v>ISAACS</v>
      </c>
      <c r="E144">
        <f>VLOOKUP(B144,Data[],8,FALSE)</f>
        <v>0</v>
      </c>
      <c r="F144">
        <f>VLOOKUP(B144,Data[],9,FALSE)</f>
        <v>0</v>
      </c>
      <c r="G144" t="str">
        <f>IFERROR(VLOOKUP(B144,Data[],4,FALSE),"")</f>
        <v/>
      </c>
      <c r="H144" t="str">
        <f ca="1">IF(G144="","",IF((G144-YEAR(TODAY()))&lt;=5,"Yes",""))</f>
        <v/>
      </c>
      <c r="I144">
        <f>VLOOKUP(all[[#This Row],[DEVELOPMENT]],Data[],7,FALSE)</f>
        <v>634</v>
      </c>
      <c r="J144">
        <f>VLOOKUP(all[[#This Row],[DEVELOPMENT]],Data[],25,FALSE)</f>
        <v>0</v>
      </c>
      <c r="K144">
        <f>VLOOKUP(all[[#This Row],[DEVELOPMENT]],Data[],5,FALSE)</f>
        <v>3</v>
      </c>
      <c r="L144">
        <f>VLOOKUP(all[[#This Row],[DEVELOPMENT]],Data[],27,FALSE)</f>
        <v>6</v>
      </c>
      <c r="M144">
        <f>VLOOKUP(all[[#This Row],[DEVELOPMENT]],Data[],31,FALSE)</f>
        <v>6</v>
      </c>
      <c r="N144">
        <f>VLOOKUP(all[[#This Row],[DEVELOPMENT]],Data[],26,FALSE)</f>
        <v>0</v>
      </c>
      <c r="O144">
        <f>VLOOKUP(all[[#This Row],[DEVELOPMENT]],Data[],30,FALSE)</f>
        <v>0</v>
      </c>
      <c r="P144">
        <f>VLOOKUP(all[[#This Row],[DEVELOPMENT]],Data[],28,FALSE)</f>
        <v>0</v>
      </c>
      <c r="Q144">
        <f>IF(all[[#This Row],['# Bulk Crushers]]=0,1,0)</f>
        <v>1</v>
      </c>
      <c r="R144" s="5">
        <f>IFERROR(INDEX(FWD[],MATCH($B144,FWD[DEVELOPMENT],0),MATCH("ESTIMATE",FWD[#Headers],0)),0)</f>
        <v>0</v>
      </c>
      <c r="S144" s="5">
        <f>IFERROR(INDEX(EHD[],MATCH($B144,EHD[DEVELOPMENT],0),MATCH("ESTIMATE",EHD[#Headers],0)),0)</f>
        <v>44613.861000000004</v>
      </c>
      <c r="T144" s="5">
        <f ca="1">IFERROR(INDEX(IntComp[],MATCH($B144,IntComp[DEVELOPMENT],0),MATCH("ESTIMATE",IntComp[#Headers],0)),0)</f>
        <v>441920.36699999991</v>
      </c>
      <c r="U144" s="5">
        <f>IFERROR(INDEX(Yards[],MATCH($B144,Yards[DEVELOPMENT],0),MATCH("ESTIMATE",Yards[#Headers],0)),0)</f>
        <v>1159792.78</v>
      </c>
      <c r="V144" s="128">
        <f ca="1">SUM(R144:U144)</f>
        <v>1646327.0079999999</v>
      </c>
      <c r="W144" s="5"/>
    </row>
    <row r="145" spans="1:23" x14ac:dyDescent="0.25">
      <c r="A145" s="131">
        <f>VLOOKUP(B145,Data[],24,FALSE)</f>
        <v>120</v>
      </c>
      <c r="B145" t="s">
        <v>35</v>
      </c>
      <c r="C145" t="str">
        <f>VLOOKUP(B145,Data[],2,FALSE)</f>
        <v>BRONX</v>
      </c>
      <c r="D145" t="str">
        <f>VLOOKUP(all[[#This Row],[DEVELOPMENT]],Data[],3,FALSE)</f>
        <v>MORRISANIA AIR RIGHTS</v>
      </c>
      <c r="E145" t="str">
        <f>VLOOKUP(B145,Data[],8,FALSE)</f>
        <v>Zone 1</v>
      </c>
      <c r="F145" t="str">
        <f>VLOOKUP(B145,Data[],9,FALSE)</f>
        <v>$</v>
      </c>
      <c r="G145" t="str">
        <f>IFERROR(VLOOKUP(B145,Data[],4,FALSE),"")</f>
        <v/>
      </c>
      <c r="H145" t="str">
        <f ca="1">IF(G145="","",IF((G145-YEAR(TODAY()))&lt;=5,"Yes",""))</f>
        <v/>
      </c>
      <c r="I145">
        <f>VLOOKUP(all[[#This Row],[DEVELOPMENT]],Data[],7,FALSE)</f>
        <v>868</v>
      </c>
      <c r="J145">
        <f>VLOOKUP(all[[#This Row],[DEVELOPMENT]],Data[],25,FALSE)</f>
        <v>0</v>
      </c>
      <c r="K145">
        <f>VLOOKUP(all[[#This Row],[DEVELOPMENT]],Data[],5,FALSE)</f>
        <v>7</v>
      </c>
      <c r="L145">
        <f>VLOOKUP(all[[#This Row],[DEVELOPMENT]],Data[],27,FALSE)</f>
        <v>7</v>
      </c>
      <c r="M145">
        <f>VLOOKUP(all[[#This Row],[DEVELOPMENT]],Data[],31,FALSE)</f>
        <v>7</v>
      </c>
      <c r="N145">
        <f>VLOOKUP(all[[#This Row],[DEVELOPMENT]],Data[],26,FALSE)</f>
        <v>2</v>
      </c>
      <c r="O145">
        <f>VLOOKUP(all[[#This Row],[DEVELOPMENT]],Data[],30,FALSE)</f>
        <v>2</v>
      </c>
      <c r="P145">
        <f>VLOOKUP(all[[#This Row],[DEVELOPMENT]],Data[],28,FALSE)</f>
        <v>0</v>
      </c>
      <c r="Q145">
        <f>IF(all[[#This Row],['# Bulk Crushers]]=0,1,0)</f>
        <v>1</v>
      </c>
      <c r="R145" s="5">
        <f>IFERROR(INDEX(FWD[],MATCH($B145,FWD[DEVELOPMENT],0),MATCH("ESTIMATE",FWD[#Headers],0)),0)</f>
        <v>0</v>
      </c>
      <c r="S145" s="5">
        <f>IFERROR(INDEX(EHD[],MATCH($B145,EHD[DEVELOPMENT],0),MATCH("ESTIMATE",EHD[#Headers],0)),0)</f>
        <v>0</v>
      </c>
      <c r="T145" s="5">
        <f ca="1">IFERROR(INDEX(IntComp[],MATCH($B145,IntComp[DEVELOPMENT],0),MATCH("ESTIMATE",IntComp[#Headers],0)),0)</f>
        <v>515573.76149999991</v>
      </c>
      <c r="U145" s="5">
        <f ca="1">IFERROR(INDEX(Yards[],MATCH($B145,Yards[DEVELOPMENT],0),MATCH("ESTIMATE",Yards[#Headers],0)),0)</f>
        <v>1591050.0199999998</v>
      </c>
      <c r="V145" s="128">
        <f ca="1">SUM(R145:U145)</f>
        <v>2106623.7814999996</v>
      </c>
      <c r="W145" s="5"/>
    </row>
    <row r="146" spans="1:23" x14ac:dyDescent="0.25">
      <c r="A146" s="131">
        <f>VLOOKUP(B146,Data[],24,FALSE)</f>
        <v>64</v>
      </c>
      <c r="B146" t="s">
        <v>112</v>
      </c>
      <c r="C146" t="str">
        <f>VLOOKUP(B146,Data[],2,FALSE)</f>
        <v>MANHATTAN</v>
      </c>
      <c r="D146" t="str">
        <f>VLOOKUP(all[[#This Row],[DEVELOPMENT]],Data[],3,FALSE)</f>
        <v>JEFFERSON</v>
      </c>
      <c r="E146" t="str">
        <f>VLOOKUP(B146,Data[],8,FALSE)</f>
        <v>Zone 2</v>
      </c>
      <c r="F146" t="str">
        <f>VLOOKUP(B146,Data[],9,FALSE)</f>
        <v>$$</v>
      </c>
      <c r="G146">
        <f>IFERROR(VLOOKUP(B146,Data[],4,FALSE),"")</f>
        <v>2026</v>
      </c>
      <c r="H146" t="str">
        <f ca="1">IF(G146="","",IF((G146-YEAR(TODAY()))&lt;=5,"Yes",""))</f>
        <v/>
      </c>
      <c r="I146">
        <f>VLOOKUP(all[[#This Row],[DEVELOPMENT]],Data[],7,FALSE)</f>
        <v>1486</v>
      </c>
      <c r="J146">
        <f>VLOOKUP(all[[#This Row],[DEVELOPMENT]],Data[],25,FALSE)</f>
        <v>0</v>
      </c>
      <c r="K146">
        <f>VLOOKUP(all[[#This Row],[DEVELOPMENT]],Data[],5,FALSE)</f>
        <v>18</v>
      </c>
      <c r="L146">
        <f>VLOOKUP(all[[#This Row],[DEVELOPMENT]],Data[],27,FALSE)</f>
        <v>34</v>
      </c>
      <c r="M146">
        <f>VLOOKUP(all[[#This Row],[DEVELOPMENT]],Data[],31,FALSE)</f>
        <v>34</v>
      </c>
      <c r="N146">
        <f>VLOOKUP(all[[#This Row],[DEVELOPMENT]],Data[],26,FALSE)</f>
        <v>4</v>
      </c>
      <c r="O146">
        <f>VLOOKUP(all[[#This Row],[DEVELOPMENT]],Data[],30,FALSE)</f>
        <v>4</v>
      </c>
      <c r="P146">
        <f>VLOOKUP(all[[#This Row],[DEVELOPMENT]],Data[],28,FALSE)</f>
        <v>0</v>
      </c>
      <c r="Q146">
        <f>IF(all[[#This Row],['# Bulk Crushers]]=0,1,0)</f>
        <v>1</v>
      </c>
      <c r="R146" s="5">
        <f>IFERROR(INDEX(FWD[],MATCH($B146,FWD[DEVELOPMENT],0),MATCH("ESTIMATE",FWD[#Headers],0)),0)</f>
        <v>0</v>
      </c>
      <c r="S146" s="5">
        <f>IFERROR(INDEX(EHD[],MATCH($B146,EHD[DEVELOPMENT],0),MATCH("ESTIMATE",EHD[#Headers],0)),0)</f>
        <v>252811.87900000002</v>
      </c>
      <c r="T146" s="5">
        <f ca="1">IFERROR(INDEX(IntComp[],MATCH($B146,IntComp[DEVELOPMENT],0),MATCH("ESTIMATE",IntComp[#Headers],0)),0)</f>
        <v>2504215.4129999997</v>
      </c>
      <c r="U146" s="5">
        <f ca="1">IFERROR(INDEX(Yards[],MATCH($B146,Yards[DEVELOPMENT],0),MATCH("ESTIMATE",Yards[#Headers],0)),0)</f>
        <v>2453564.4999999995</v>
      </c>
      <c r="V146" s="128">
        <f ca="1">SUM(R146:U146)</f>
        <v>5210591.7919999994</v>
      </c>
      <c r="W146" s="5"/>
    </row>
    <row r="147" spans="1:23" x14ac:dyDescent="0.25">
      <c r="A147" s="131">
        <f>VLOOKUP(B147,Data[],24,FALSE)</f>
        <v>17</v>
      </c>
      <c r="B147" t="s">
        <v>83</v>
      </c>
      <c r="C147" t="str">
        <f>VLOOKUP(B147,Data[],2,FALSE)</f>
        <v>MANHATTAN</v>
      </c>
      <c r="D147" t="str">
        <f>VLOOKUP(all[[#This Row],[DEVELOPMENT]],Data[],3,FALSE)</f>
        <v>JOHNSON</v>
      </c>
      <c r="E147" t="str">
        <f>VLOOKUP(B147,Data[],8,FALSE)</f>
        <v>Zone 2</v>
      </c>
      <c r="F147" t="str">
        <f>VLOOKUP(B147,Data[],9,FALSE)</f>
        <v>$$$</v>
      </c>
      <c r="G147">
        <f>IFERROR(VLOOKUP(B147,Data[],4,FALSE),"")</f>
        <v>2028</v>
      </c>
      <c r="H147" t="str">
        <f ca="1">IF(G147="","",IF((G147-YEAR(TODAY()))&lt;=5,"Yes",""))</f>
        <v/>
      </c>
      <c r="I147">
        <f>VLOOKUP(all[[#This Row],[DEVELOPMENT]],Data[],7,FALSE)</f>
        <v>1296</v>
      </c>
      <c r="J147">
        <f>VLOOKUP(all[[#This Row],[DEVELOPMENT]],Data[],25,FALSE)</f>
        <v>0</v>
      </c>
      <c r="K147">
        <f>VLOOKUP(all[[#This Row],[DEVELOPMENT]],Data[],5,FALSE)</f>
        <v>10</v>
      </c>
      <c r="L147">
        <f>VLOOKUP(all[[#This Row],[DEVELOPMENT]],Data[],27,FALSE)</f>
        <v>17</v>
      </c>
      <c r="M147">
        <f>VLOOKUP(all[[#This Row],[DEVELOPMENT]],Data[],31,FALSE)</f>
        <v>17</v>
      </c>
      <c r="N147">
        <f>VLOOKUP(all[[#This Row],[DEVELOPMENT]],Data[],26,FALSE)</f>
        <v>2</v>
      </c>
      <c r="O147">
        <f>VLOOKUP(all[[#This Row],[DEVELOPMENT]],Data[],30,FALSE)</f>
        <v>0</v>
      </c>
      <c r="P147">
        <f>VLOOKUP(all[[#This Row],[DEVELOPMENT]],Data[],28,FALSE)</f>
        <v>0</v>
      </c>
      <c r="Q147">
        <f>IF(all[[#This Row],['# Bulk Crushers]]=0,1,0)</f>
        <v>1</v>
      </c>
      <c r="R147" s="5">
        <f>IFERROR(INDEX(FWD[],MATCH($B147,FWD[DEVELOPMENT],0),MATCH("ESTIMATE",FWD[#Headers],0)),0)</f>
        <v>0</v>
      </c>
      <c r="S147" s="5">
        <f>IFERROR(INDEX(EHD[],MATCH($B147,EHD[DEVELOPMENT],0),MATCH("ESTIMATE",EHD[#Headers],0)),0)</f>
        <v>126405.93950000001</v>
      </c>
      <c r="T147" s="5">
        <f ca="1">IFERROR(INDEX(IntComp[],MATCH($B147,IntComp[DEVELOPMENT],0),MATCH("ESTIMATE",IntComp[#Headers],0)),0)</f>
        <v>1252107.7064999999</v>
      </c>
      <c r="U147" s="5">
        <f>IFERROR(INDEX(Yards[],MATCH($B147,Yards[DEVELOPMENT],0),MATCH("ESTIMATE",Yards[#Headers],0)),0)</f>
        <v>1159792.78</v>
      </c>
      <c r="V147" s="128">
        <f ca="1">SUM(R147:U147)</f>
        <v>2538306.426</v>
      </c>
      <c r="W147" s="5"/>
    </row>
    <row r="148" spans="1:23" x14ac:dyDescent="0.25">
      <c r="A148" s="131">
        <f>VLOOKUP(B148,Data[],24,FALSE)</f>
        <v>30</v>
      </c>
      <c r="B148" t="s">
        <v>131</v>
      </c>
      <c r="C148" t="str">
        <f>VLOOKUP(B148,Data[],2,FALSE)</f>
        <v>MANHATTAN</v>
      </c>
      <c r="D148" t="str">
        <f>VLOOKUP(all[[#This Row],[DEVELOPMENT]],Data[],3,FALSE)</f>
        <v>KING TOWERS</v>
      </c>
      <c r="E148" t="str">
        <f>VLOOKUP(B148,Data[],8,FALSE)</f>
        <v>Zone 2</v>
      </c>
      <c r="F148" t="str">
        <f>VLOOKUP(B148,Data[],9,FALSE)</f>
        <v>$$$</v>
      </c>
      <c r="G148" t="str">
        <f>IFERROR(VLOOKUP(B148,Data[],4,FALSE),"")</f>
        <v/>
      </c>
      <c r="H148" t="str">
        <f ca="1">IF(G148="","",IF((G148-YEAR(TODAY()))&lt;=5,"Yes",""))</f>
        <v/>
      </c>
      <c r="I148">
        <f>VLOOKUP(all[[#This Row],[DEVELOPMENT]],Data[],7,FALSE)</f>
        <v>1377</v>
      </c>
      <c r="J148">
        <f>VLOOKUP(all[[#This Row],[DEVELOPMENT]],Data[],25,FALSE)</f>
        <v>0</v>
      </c>
      <c r="K148">
        <f>VLOOKUP(all[[#This Row],[DEVELOPMENT]],Data[],5,FALSE)</f>
        <v>10</v>
      </c>
      <c r="L148">
        <f>VLOOKUP(all[[#This Row],[DEVELOPMENT]],Data[],27,FALSE)</f>
        <v>10</v>
      </c>
      <c r="M148">
        <f>VLOOKUP(all[[#This Row],[DEVELOPMENT]],Data[],31,FALSE)</f>
        <v>10</v>
      </c>
      <c r="N148">
        <f>VLOOKUP(all[[#This Row],[DEVELOPMENT]],Data[],26,FALSE)</f>
        <v>2</v>
      </c>
      <c r="O148">
        <f>VLOOKUP(all[[#This Row],[DEVELOPMENT]],Data[],30,FALSE)</f>
        <v>0</v>
      </c>
      <c r="P148">
        <f>VLOOKUP(all[[#This Row],[DEVELOPMENT]],Data[],28,FALSE)</f>
        <v>0</v>
      </c>
      <c r="Q148">
        <f>IF(all[[#This Row],['# Bulk Crushers]]=0,1,0)</f>
        <v>1</v>
      </c>
      <c r="R148" s="5">
        <f>IFERROR(INDEX(FWD[],MATCH($B148,FWD[DEVELOPMENT],0),MATCH("ESTIMATE",FWD[#Headers],0)),0)</f>
        <v>0</v>
      </c>
      <c r="S148" s="5">
        <f>IFERROR(INDEX(EHD[],MATCH($B148,EHD[DEVELOPMENT],0),MATCH("ESTIMATE",EHD[#Headers],0)),0)</f>
        <v>74356.434999999998</v>
      </c>
      <c r="T148" s="5">
        <f ca="1">IFERROR(INDEX(IntComp[],MATCH($B148,IntComp[DEVELOPMENT],0),MATCH("ESTIMATE",IntComp[#Headers],0)),0)</f>
        <v>736533.94499999995</v>
      </c>
      <c r="U148" s="5">
        <f>IFERROR(INDEX(Yards[],MATCH($B148,Yards[DEVELOPMENT],0),MATCH("ESTIMATE",Yards[#Headers],0)),0)</f>
        <v>1159792.78</v>
      </c>
      <c r="V148" s="128">
        <f ca="1">SUM(R148:U148)</f>
        <v>1970683.16</v>
      </c>
      <c r="W148" s="5"/>
    </row>
    <row r="149" spans="1:23" x14ac:dyDescent="0.25">
      <c r="A149" s="131">
        <f>VLOOKUP(B149,Data[],24,FALSE)</f>
        <v>10</v>
      </c>
      <c r="B149" t="s">
        <v>84</v>
      </c>
      <c r="C149" t="str">
        <f>VLOOKUP(B149,Data[],2,FALSE)</f>
        <v>BROOKLYN</v>
      </c>
      <c r="D149" t="str">
        <f>VLOOKUP(all[[#This Row],[DEVELOPMENT]],Data[],3,FALSE)</f>
        <v>KINGSBOROUGH</v>
      </c>
      <c r="E149" t="str">
        <f>VLOOKUP(B149,Data[],8,FALSE)</f>
        <v>Zone 3</v>
      </c>
      <c r="F149" t="str">
        <f>VLOOKUP(B149,Data[],9,FALSE)</f>
        <v>$</v>
      </c>
      <c r="G149" t="str">
        <f>IFERROR(VLOOKUP(B149,Data[],4,FALSE),"")</f>
        <v/>
      </c>
      <c r="H149" t="str">
        <f ca="1">IF(G149="","",IF((G149-YEAR(TODAY()))&lt;=5,"Yes",""))</f>
        <v/>
      </c>
      <c r="I149">
        <f>VLOOKUP(all[[#This Row],[DEVELOPMENT]],Data[],7,FALSE)</f>
        <v>1154</v>
      </c>
      <c r="J149" t="str">
        <f>VLOOKUP(all[[#This Row],[DEVELOPMENT]],Data[],25,FALSE)</f>
        <v>Yes</v>
      </c>
      <c r="K149">
        <f>VLOOKUP(all[[#This Row],[DEVELOPMENT]],Data[],5,FALSE)</f>
        <v>16</v>
      </c>
      <c r="L149">
        <f>VLOOKUP(all[[#This Row],[DEVELOPMENT]],Data[],27,FALSE)</f>
        <v>35</v>
      </c>
      <c r="M149">
        <f>VLOOKUP(all[[#This Row],[DEVELOPMENT]],Data[],31,FALSE)</f>
        <v>35</v>
      </c>
      <c r="N149">
        <f>VLOOKUP(all[[#This Row],[DEVELOPMENT]],Data[],26,FALSE)</f>
        <v>0</v>
      </c>
      <c r="O149">
        <f>VLOOKUP(all[[#This Row],[DEVELOPMENT]],Data[],30,FALSE)</f>
        <v>0</v>
      </c>
      <c r="P149">
        <f>VLOOKUP(all[[#This Row],[DEVELOPMENT]],Data[],28,FALSE)</f>
        <v>0</v>
      </c>
      <c r="Q149">
        <f>IF(all[[#This Row],['# Bulk Crushers]]=0,1,0)</f>
        <v>1</v>
      </c>
      <c r="R149" s="5">
        <f>IFERROR(INDEX(FWD[],MATCH($B149,FWD[DEVELOPMENT],0),MATCH("ESTIMATE",FWD[#Headers],0)),0)</f>
        <v>1983421.2832930188</v>
      </c>
      <c r="S149" s="5">
        <f>IFERROR(INDEX(EHD[],MATCH($B149,EHD[DEVELOPMENT],0),MATCH("ESTIMATE",EHD[#Headers],0)),0)</f>
        <v>260247.52249999999</v>
      </c>
      <c r="T149" s="5">
        <f ca="1">IFERROR(INDEX(IntComp[],MATCH($B149,IntComp[DEVELOPMENT],0),MATCH("ESTIMATE",IntComp[#Headers],0)),0)</f>
        <v>2577868.8074999996</v>
      </c>
      <c r="U149" s="5">
        <f>IFERROR(INDEX(Yards[],MATCH($B149,Yards[DEVELOPMENT],0),MATCH("ESTIMATE",Yards[#Headers],0)),0)</f>
        <v>1159792.78</v>
      </c>
      <c r="V149" s="128">
        <f ca="1">SUM(R149:U149)</f>
        <v>5981330.3932930185</v>
      </c>
      <c r="W149" s="5"/>
    </row>
    <row r="150" spans="1:23" x14ac:dyDescent="0.25">
      <c r="A150" s="131">
        <f>VLOOKUP(B150,Data[],24,FALSE)</f>
        <v>161</v>
      </c>
      <c r="B150" t="s">
        <v>259</v>
      </c>
      <c r="C150" t="str">
        <f>VLOOKUP(B150,Data[],2,FALSE)</f>
        <v>BROOKLYN</v>
      </c>
      <c r="D150" t="str">
        <f>VLOOKUP(all[[#This Row],[DEVELOPMENT]],Data[],3,FALSE)</f>
        <v>KINGSBOROUGH</v>
      </c>
      <c r="E150" t="str">
        <f>VLOOKUP(B150,Data[],8,FALSE)</f>
        <v>Zone 4</v>
      </c>
      <c r="F150">
        <f>VLOOKUP(B150,Data[],9,FALSE)</f>
        <v>0</v>
      </c>
      <c r="G150" t="str">
        <f>IFERROR(VLOOKUP(B150,Data[],4,FALSE),"")</f>
        <v/>
      </c>
      <c r="H150" t="str">
        <f ca="1">IF(G150="","",IF((G150-YEAR(TODAY()))&lt;=5,"Yes",""))</f>
        <v/>
      </c>
      <c r="I150">
        <f>VLOOKUP(all[[#This Row],[DEVELOPMENT]],Data[],7,FALSE)</f>
        <v>182</v>
      </c>
      <c r="J150" t="str">
        <f>VLOOKUP(all[[#This Row],[DEVELOPMENT]],Data[],25,FALSE)</f>
        <v>Yes</v>
      </c>
      <c r="K150">
        <f>VLOOKUP(all[[#This Row],[DEVELOPMENT]],Data[],5,FALSE)</f>
        <v>1</v>
      </c>
      <c r="L150">
        <f>VLOOKUP(all[[#This Row],[DEVELOPMENT]],Data[],27,FALSE)</f>
        <v>2</v>
      </c>
      <c r="M150">
        <f>VLOOKUP(all[[#This Row],[DEVELOPMENT]],Data[],31,FALSE)</f>
        <v>2</v>
      </c>
      <c r="N150">
        <f>VLOOKUP(all[[#This Row],[DEVELOPMENT]],Data[],26,FALSE)</f>
        <v>0</v>
      </c>
      <c r="O150">
        <f>VLOOKUP(all[[#This Row],[DEVELOPMENT]],Data[],30,FALSE)</f>
        <v>0</v>
      </c>
      <c r="P150">
        <f>VLOOKUP(all[[#This Row],[DEVELOPMENT]],Data[],28,FALSE)</f>
        <v>0</v>
      </c>
      <c r="Q150">
        <f>IF(all[[#This Row],['# Bulk Crushers]]=0,1,0)</f>
        <v>1</v>
      </c>
      <c r="R150" s="5">
        <f>IFERROR(INDEX(FWD[],MATCH($B150,FWD[DEVELOPMENT],0),MATCH("ESTIMATE",FWD[#Headers],0)),0)</f>
        <v>312809.94242576207</v>
      </c>
      <c r="S150" s="5">
        <f>IFERROR(INDEX(EHD[],MATCH($B150,EHD[DEVELOPMENT],0),MATCH("ESTIMATE",EHD[#Headers],0)),0)</f>
        <v>0</v>
      </c>
      <c r="T150" s="5">
        <f ca="1">IFERROR(INDEX(IntComp[],MATCH($B150,IntComp[DEVELOPMENT],0),MATCH("ESTIMATE",IntComp[#Headers],0)),0)</f>
        <v>147306.78899999999</v>
      </c>
      <c r="U150" s="5">
        <f>IFERROR(INDEX(Yards[],MATCH($B150,Yards[DEVELOPMENT],0),MATCH("ESTIMATE",Yards[#Headers],0)),0)</f>
        <v>2022307.2600000005</v>
      </c>
      <c r="V150" s="128">
        <f ca="1">SUM(R150:U150)</f>
        <v>2482423.9914257624</v>
      </c>
      <c r="W150" s="5"/>
    </row>
    <row r="151" spans="1:23" x14ac:dyDescent="0.25">
      <c r="A151" s="131">
        <f>VLOOKUP(B151,Data[],24,FALSE)</f>
        <v>76</v>
      </c>
      <c r="B151" t="s">
        <v>36</v>
      </c>
      <c r="C151" t="str">
        <f>VLOOKUP(B151,Data[],2,FALSE)</f>
        <v>MANHATTAN</v>
      </c>
      <c r="D151" t="str">
        <f>VLOOKUP(all[[#This Row],[DEVELOPMENT]],Data[],3,FALSE)</f>
        <v>LA GUARDIA</v>
      </c>
      <c r="E151" t="str">
        <f>VLOOKUP(B151,Data[],8,FALSE)</f>
        <v>Zone 1</v>
      </c>
      <c r="F151" t="str">
        <f>VLOOKUP(B151,Data[],9,FALSE)</f>
        <v>$$</v>
      </c>
      <c r="G151" t="str">
        <f>IFERROR(VLOOKUP(B151,Data[],4,FALSE),"")</f>
        <v/>
      </c>
      <c r="H151" t="str">
        <f ca="1">IF(G151="","",IF((G151-YEAR(TODAY()))&lt;=5,"Yes",""))</f>
        <v/>
      </c>
      <c r="I151">
        <f>VLOOKUP(all[[#This Row],[DEVELOPMENT]],Data[],7,FALSE)</f>
        <v>1091</v>
      </c>
      <c r="J151" t="str">
        <f>VLOOKUP(all[[#This Row],[DEVELOPMENT]],Data[],25,FALSE)</f>
        <v>Yes</v>
      </c>
      <c r="K151">
        <f>VLOOKUP(all[[#This Row],[DEVELOPMENT]],Data[],5,FALSE)</f>
        <v>9</v>
      </c>
      <c r="L151">
        <f>VLOOKUP(all[[#This Row],[DEVELOPMENT]],Data[],27,FALSE)</f>
        <v>9</v>
      </c>
      <c r="M151">
        <f>VLOOKUP(all[[#This Row],[DEVELOPMENT]],Data[],31,FALSE)</f>
        <v>9</v>
      </c>
      <c r="N151">
        <f>VLOOKUP(all[[#This Row],[DEVELOPMENT]],Data[],26,FALSE)</f>
        <v>2</v>
      </c>
      <c r="O151">
        <f>VLOOKUP(all[[#This Row],[DEVELOPMENT]],Data[],30,FALSE)</f>
        <v>2</v>
      </c>
      <c r="P151">
        <f>VLOOKUP(all[[#This Row],[DEVELOPMENT]],Data[],28,FALSE)</f>
        <v>0</v>
      </c>
      <c r="Q151">
        <f>IF(all[[#This Row],['# Bulk Crushers]]=0,1,0)</f>
        <v>1</v>
      </c>
      <c r="R151" s="5">
        <f>IFERROR(INDEX(FWD[],MATCH($B151,FWD[DEVELOPMENT],0),MATCH("ESTIMATE",FWD[#Headers],0)),0)</f>
        <v>1875140.9186071779</v>
      </c>
      <c r="S151" s="5">
        <f>IFERROR(INDEX(EHD[],MATCH($B151,EHD[DEVELOPMENT],0),MATCH("ESTIMATE",EHD[#Headers],0)),0)</f>
        <v>0</v>
      </c>
      <c r="T151" s="5">
        <f ca="1">IFERROR(INDEX(IntComp[],MATCH($B151,IntComp[DEVELOPMENT],0),MATCH("ESTIMATE",IntComp[#Headers],0)),0)</f>
        <v>662880.5504999999</v>
      </c>
      <c r="U151" s="5">
        <f ca="1">IFERROR(INDEX(Yards[],MATCH($B151,Yards[DEVELOPMENT],0),MATCH("ESTIMATE",Yards[#Headers],0)),0)</f>
        <v>1591050.0199999998</v>
      </c>
      <c r="V151" s="128">
        <f ca="1">SUM(R151:U151)</f>
        <v>4129071.4891071776</v>
      </c>
      <c r="W151" s="5"/>
    </row>
    <row r="152" spans="1:23" x14ac:dyDescent="0.25">
      <c r="A152" s="131">
        <f>VLOOKUP(B152,Data[],24,FALSE)</f>
        <v>152</v>
      </c>
      <c r="B152" t="s">
        <v>103</v>
      </c>
      <c r="C152" t="str">
        <f>VLOOKUP(B152,Data[],2,FALSE)</f>
        <v>MANHATTAN</v>
      </c>
      <c r="D152" t="str">
        <f>VLOOKUP(all[[#This Row],[DEVELOPMENT]],Data[],3,FALSE)</f>
        <v>LA GUARDIA</v>
      </c>
      <c r="E152" t="str">
        <f>VLOOKUP(B152,Data[],8,FALSE)</f>
        <v>Zone 1</v>
      </c>
      <c r="F152" t="str">
        <f>VLOOKUP(B152,Data[],9,FALSE)</f>
        <v>$</v>
      </c>
      <c r="G152" t="str">
        <f>IFERROR(VLOOKUP(B152,Data[],4,FALSE),"")</f>
        <v/>
      </c>
      <c r="H152" t="str">
        <f ca="1">IF(G152="","",IF((G152-YEAR(TODAY()))&lt;=5,"Yes",""))</f>
        <v/>
      </c>
      <c r="I152">
        <f>VLOOKUP(all[[#This Row],[DEVELOPMENT]],Data[],7,FALSE)</f>
        <v>149</v>
      </c>
      <c r="J152" t="str">
        <f>VLOOKUP(all[[#This Row],[DEVELOPMENT]],Data[],25,FALSE)</f>
        <v>Yes</v>
      </c>
      <c r="K152">
        <f>VLOOKUP(all[[#This Row],[DEVELOPMENT]],Data[],5,FALSE)</f>
        <v>1</v>
      </c>
      <c r="L152">
        <f>VLOOKUP(all[[#This Row],[DEVELOPMENT]],Data[],27,FALSE)</f>
        <v>1</v>
      </c>
      <c r="M152">
        <f>VLOOKUP(all[[#This Row],[DEVELOPMENT]],Data[],31,FALSE)</f>
        <v>1</v>
      </c>
      <c r="N152">
        <f>VLOOKUP(all[[#This Row],[DEVELOPMENT]],Data[],26,FALSE)</f>
        <v>0</v>
      </c>
      <c r="O152">
        <f>VLOOKUP(all[[#This Row],[DEVELOPMENT]],Data[],30,FALSE)</f>
        <v>0</v>
      </c>
      <c r="P152">
        <f>VLOOKUP(all[[#This Row],[DEVELOPMENT]],Data[],28,FALSE)</f>
        <v>0</v>
      </c>
      <c r="Q152">
        <f>IF(all[[#This Row],['# Bulk Crushers]]=0,1,0)</f>
        <v>1</v>
      </c>
      <c r="R152" s="5">
        <f>IFERROR(INDEX(FWD[],MATCH($B152,FWD[DEVELOPMENT],0),MATCH("ESTIMATE",FWD[#Headers],0)),0)</f>
        <v>256091.65616175026</v>
      </c>
      <c r="S152" s="5">
        <f>IFERROR(INDEX(EHD[],MATCH($B152,EHD[DEVELOPMENT],0),MATCH("ESTIMATE",EHD[#Headers],0)),0)</f>
        <v>0</v>
      </c>
      <c r="T152" s="5">
        <f ca="1">IFERROR(INDEX(IntComp[],MATCH($B152,IntComp[DEVELOPMENT],0),MATCH("ESTIMATE",IntComp[#Headers],0)),0)</f>
        <v>73653.394499999995</v>
      </c>
      <c r="U152" s="5">
        <f>IFERROR(INDEX(Yards[],MATCH($B152,Yards[DEVELOPMENT],0),MATCH("ESTIMATE",Yards[#Headers],0)),0)</f>
        <v>1159792.78</v>
      </c>
      <c r="V152" s="128">
        <f ca="1">SUM(R152:U152)</f>
        <v>1489537.8306617504</v>
      </c>
      <c r="W152" s="5"/>
    </row>
    <row r="153" spans="1:23" x14ac:dyDescent="0.25">
      <c r="A153" s="131">
        <f>VLOOKUP(B153,Data[],24,FALSE)</f>
        <v>122</v>
      </c>
      <c r="B153" t="s">
        <v>37</v>
      </c>
      <c r="C153" t="str">
        <f>VLOOKUP(B153,Data[],2,FALSE)</f>
        <v>BROOKLYN</v>
      </c>
      <c r="D153" t="str">
        <f>VLOOKUP(all[[#This Row],[DEVELOPMENT]],Data[],3,FALSE)</f>
        <v>LAFAYETTE</v>
      </c>
      <c r="E153" t="str">
        <f>VLOOKUP(B153,Data[],8,FALSE)</f>
        <v>Zone 1</v>
      </c>
      <c r="F153" t="str">
        <f>VLOOKUP(B153,Data[],9,FALSE)</f>
        <v>$$$</v>
      </c>
      <c r="G153" t="str">
        <f>IFERROR(VLOOKUP(B153,Data[],4,FALSE),"")</f>
        <v/>
      </c>
      <c r="H153" t="str">
        <f ca="1">IF(G153="","",IF((G153-YEAR(TODAY()))&lt;=5,"Yes",""))</f>
        <v/>
      </c>
      <c r="I153">
        <f>VLOOKUP(all[[#This Row],[DEVELOPMENT]],Data[],7,FALSE)</f>
        <v>882</v>
      </c>
      <c r="J153" t="str">
        <f>VLOOKUP(all[[#This Row],[DEVELOPMENT]],Data[],25,FALSE)</f>
        <v>Yes</v>
      </c>
      <c r="K153">
        <f>VLOOKUP(all[[#This Row],[DEVELOPMENT]],Data[],5,FALSE)</f>
        <v>7</v>
      </c>
      <c r="L153">
        <f>VLOOKUP(all[[#This Row],[DEVELOPMENT]],Data[],27,FALSE)</f>
        <v>7</v>
      </c>
      <c r="M153">
        <f>VLOOKUP(all[[#This Row],[DEVELOPMENT]],Data[],31,FALSE)</f>
        <v>7</v>
      </c>
      <c r="N153">
        <f>VLOOKUP(all[[#This Row],[DEVELOPMENT]],Data[],26,FALSE)</f>
        <v>2</v>
      </c>
      <c r="O153">
        <f>VLOOKUP(all[[#This Row],[DEVELOPMENT]],Data[],30,FALSE)</f>
        <v>2</v>
      </c>
      <c r="P153">
        <f>VLOOKUP(all[[#This Row],[DEVELOPMENT]],Data[],28,FALSE)</f>
        <v>0</v>
      </c>
      <c r="Q153">
        <f>IF(all[[#This Row],['# Bulk Crushers]]=0,1,0)</f>
        <v>1</v>
      </c>
      <c r="R153" s="5">
        <f>IFERROR(INDEX(FWD[],MATCH($B153,FWD[DEVELOPMENT],0),MATCH("ESTIMATE",FWD[#Headers],0)),0)</f>
        <v>1515925.1056017699</v>
      </c>
      <c r="S153" s="5">
        <f>IFERROR(INDEX(EHD[],MATCH($B153,EHD[DEVELOPMENT],0),MATCH("ESTIMATE",EHD[#Headers],0)),0)</f>
        <v>0</v>
      </c>
      <c r="T153" s="5">
        <f ca="1">IFERROR(INDEX(IntComp[],MATCH($B153,IntComp[DEVELOPMENT],0),MATCH("ESTIMATE",IntComp[#Headers],0)),0)</f>
        <v>515573.76149999991</v>
      </c>
      <c r="U153" s="5">
        <f ca="1">IFERROR(INDEX(Yards[],MATCH($B153,Yards[DEVELOPMENT],0),MATCH("ESTIMATE",Yards[#Headers],0)),0)</f>
        <v>1591050.0199999998</v>
      </c>
      <c r="V153" s="128">
        <f ca="1">SUM(R153:U153)</f>
        <v>3622548.8871017694</v>
      </c>
      <c r="W153" s="5"/>
    </row>
    <row r="154" spans="1:23" x14ac:dyDescent="0.25">
      <c r="A154" s="131">
        <f>VLOOKUP(B154,Data[],24,FALSE)</f>
        <v>186</v>
      </c>
      <c r="B154" t="s">
        <v>260</v>
      </c>
      <c r="C154" t="str">
        <f>VLOOKUP(B154,Data[],2,FALSE)</f>
        <v>QUEENS</v>
      </c>
      <c r="D154" t="str">
        <f>VLOOKUP(all[[#This Row],[DEVELOPMENT]],Data[],3,FALSE)</f>
        <v>LATIMER GARDENS</v>
      </c>
      <c r="E154">
        <f>VLOOKUP(B154,Data[],8,FALSE)</f>
        <v>0</v>
      </c>
      <c r="F154">
        <f>VLOOKUP(B154,Data[],9,FALSE)</f>
        <v>0</v>
      </c>
      <c r="G154" t="str">
        <f>IFERROR(VLOOKUP(B154,Data[],4,FALSE),"")</f>
        <v/>
      </c>
      <c r="H154" t="str">
        <f ca="1">IF(G154="","",IF((G154-YEAR(TODAY()))&lt;=5,"Yes",""))</f>
        <v/>
      </c>
      <c r="I154">
        <f>VLOOKUP(all[[#This Row],[DEVELOPMENT]],Data[],7,FALSE)</f>
        <v>423</v>
      </c>
      <c r="J154">
        <f>VLOOKUP(all[[#This Row],[DEVELOPMENT]],Data[],25,FALSE)</f>
        <v>0</v>
      </c>
      <c r="K154">
        <f>VLOOKUP(all[[#This Row],[DEVELOPMENT]],Data[],5,FALSE)</f>
        <v>4</v>
      </c>
      <c r="L154">
        <f>VLOOKUP(all[[#This Row],[DEVELOPMENT]],Data[],27,FALSE)</f>
        <v>4</v>
      </c>
      <c r="M154">
        <f>VLOOKUP(all[[#This Row],[DEVELOPMENT]],Data[],31,FALSE)</f>
        <v>4</v>
      </c>
      <c r="N154">
        <f>VLOOKUP(all[[#This Row],[DEVELOPMENT]],Data[],26,FALSE)</f>
        <v>1</v>
      </c>
      <c r="O154">
        <f>VLOOKUP(all[[#This Row],[DEVELOPMENT]],Data[],30,FALSE)</f>
        <v>1</v>
      </c>
      <c r="P154">
        <f>VLOOKUP(all[[#This Row],[DEVELOPMENT]],Data[],28,FALSE)</f>
        <v>0</v>
      </c>
      <c r="Q154">
        <f>IF(all[[#This Row],['# Bulk Crushers]]=0,1,0)</f>
        <v>1</v>
      </c>
      <c r="R154" s="5">
        <f>IFERROR(INDEX(FWD[],MATCH($B154,FWD[DEVELOPMENT],0),MATCH("ESTIMATE",FWD[#Headers],0)),0)</f>
        <v>0</v>
      </c>
      <c r="S154" s="5">
        <f>IFERROR(INDEX(EHD[],MATCH($B154,EHD[DEVELOPMENT],0),MATCH("ESTIMATE",EHD[#Headers],0)),0)</f>
        <v>29742.574000000001</v>
      </c>
      <c r="T154" s="5">
        <f ca="1">IFERROR(INDEX(IntComp[],MATCH($B154,IntComp[DEVELOPMENT],0),MATCH("ESTIMATE",IntComp[#Headers],0)),0)</f>
        <v>294613.57799999998</v>
      </c>
      <c r="U154" s="5">
        <f ca="1">IFERROR(INDEX(Yards[],MATCH($B154,Yards[DEVELOPMENT],0),MATCH("ESTIMATE",Yards[#Headers],0)),0)</f>
        <v>1159792.78</v>
      </c>
      <c r="V154" s="128">
        <f ca="1">SUM(R154:U154)</f>
        <v>1484148.932</v>
      </c>
      <c r="W154" s="5"/>
    </row>
    <row r="155" spans="1:23" x14ac:dyDescent="0.25">
      <c r="A155" s="131">
        <f>VLOOKUP(B155,Data[],24,FALSE)</f>
        <v>201</v>
      </c>
      <c r="B155" t="s">
        <v>261</v>
      </c>
      <c r="C155" t="str">
        <f>VLOOKUP(B155,Data[],2,FALSE)</f>
        <v>QUEENS</v>
      </c>
      <c r="D155" t="str">
        <f>VLOOKUP(all[[#This Row],[DEVELOPMENT]],Data[],3,FALSE)</f>
        <v>LATIMER GARDENS</v>
      </c>
      <c r="E155">
        <f>VLOOKUP(B155,Data[],8,FALSE)</f>
        <v>0</v>
      </c>
      <c r="F155">
        <f>VLOOKUP(B155,Data[],9,FALSE)</f>
        <v>0</v>
      </c>
      <c r="G155" t="str">
        <f>IFERROR(VLOOKUP(B155,Data[],4,FALSE),"")</f>
        <v/>
      </c>
      <c r="H155" t="str">
        <f ca="1">IF(G155="","",IF((G155-YEAR(TODAY()))&lt;=5,"Yes",""))</f>
        <v/>
      </c>
      <c r="I155">
        <f>VLOOKUP(all[[#This Row],[DEVELOPMENT]],Data[],7,FALSE)</f>
        <v>83</v>
      </c>
      <c r="J155">
        <f>VLOOKUP(all[[#This Row],[DEVELOPMENT]],Data[],25,FALSE)</f>
        <v>0</v>
      </c>
      <c r="K155">
        <f>VLOOKUP(all[[#This Row],[DEVELOPMENT]],Data[],5,FALSE)</f>
        <v>1</v>
      </c>
      <c r="L155">
        <f>VLOOKUP(all[[#This Row],[DEVELOPMENT]],Data[],27,FALSE)</f>
        <v>1</v>
      </c>
      <c r="M155">
        <f>VLOOKUP(all[[#This Row],[DEVELOPMENT]],Data[],31,FALSE)</f>
        <v>1</v>
      </c>
      <c r="N155">
        <f>VLOOKUP(all[[#This Row],[DEVELOPMENT]],Data[],26,FALSE)</f>
        <v>0</v>
      </c>
      <c r="O155">
        <f>VLOOKUP(all[[#This Row],[DEVELOPMENT]],Data[],30,FALSE)</f>
        <v>0</v>
      </c>
      <c r="P155">
        <f>VLOOKUP(all[[#This Row],[DEVELOPMENT]],Data[],28,FALSE)</f>
        <v>0</v>
      </c>
      <c r="Q155">
        <f>IF(all[[#This Row],['# Bulk Crushers]]=0,1,0)</f>
        <v>1</v>
      </c>
      <c r="R155" s="5">
        <f>IFERROR(INDEX(FWD[],MATCH($B155,FWD[DEVELOPMENT],0),MATCH("ESTIMATE",FWD[#Headers],0)),0)</f>
        <v>0</v>
      </c>
      <c r="S155" s="5">
        <f>IFERROR(INDEX(EHD[],MATCH($B155,EHD[DEVELOPMENT],0),MATCH("ESTIMATE",EHD[#Headers],0)),0)</f>
        <v>7435.6435000000001</v>
      </c>
      <c r="T155" s="5">
        <f ca="1">IFERROR(INDEX(IntComp[],MATCH($B155,IntComp[DEVELOPMENT],0),MATCH("ESTIMATE",IntComp[#Headers],0)),0)</f>
        <v>73653.394499999995</v>
      </c>
      <c r="U155" s="5">
        <f>IFERROR(INDEX(Yards[],MATCH($B155,Yards[DEVELOPMENT],0),MATCH("ESTIMATE",Yards[#Headers],0)),0)</f>
        <v>1159792.78</v>
      </c>
      <c r="V155" s="128">
        <f ca="1">SUM(R155:U155)</f>
        <v>1240881.818</v>
      </c>
      <c r="W155" s="5"/>
    </row>
    <row r="156" spans="1:23" x14ac:dyDescent="0.25">
      <c r="A156" s="131">
        <f>VLOOKUP(B156,Data[],24,FALSE)</f>
        <v>101</v>
      </c>
      <c r="B156" t="s">
        <v>146</v>
      </c>
      <c r="C156" t="str">
        <f>VLOOKUP(B156,Data[],2,FALSE)</f>
        <v>MANHATTAN</v>
      </c>
      <c r="D156" t="str">
        <f>VLOOKUP(all[[#This Row],[DEVELOPMENT]],Data[],3,FALSE)</f>
        <v>LEHMAN VILLAGE</v>
      </c>
      <c r="E156">
        <f>VLOOKUP(B156,Data[],8,FALSE)</f>
        <v>0</v>
      </c>
      <c r="F156">
        <f>VLOOKUP(B156,Data[],9,FALSE)</f>
        <v>0</v>
      </c>
      <c r="G156" t="str">
        <f>IFERROR(VLOOKUP(B156,Data[],4,FALSE),"")</f>
        <v/>
      </c>
      <c r="H156" t="str">
        <f ca="1">IF(G156="","",IF((G156-YEAR(TODAY()))&lt;=5,"Yes",""))</f>
        <v/>
      </c>
      <c r="I156">
        <f>VLOOKUP(all[[#This Row],[DEVELOPMENT]],Data[],7,FALSE)</f>
        <v>617</v>
      </c>
      <c r="J156">
        <f>VLOOKUP(all[[#This Row],[DEVELOPMENT]],Data[],25,FALSE)</f>
        <v>0</v>
      </c>
      <c r="K156">
        <f>VLOOKUP(all[[#This Row],[DEVELOPMENT]],Data[],5,FALSE)</f>
        <v>4</v>
      </c>
      <c r="L156">
        <f>VLOOKUP(all[[#This Row],[DEVELOPMENT]],Data[],27,FALSE)</f>
        <v>4</v>
      </c>
      <c r="M156">
        <f>VLOOKUP(all[[#This Row],[DEVELOPMENT]],Data[],31,FALSE)</f>
        <v>4</v>
      </c>
      <c r="N156">
        <f>VLOOKUP(all[[#This Row],[DEVELOPMENT]],Data[],26,FALSE)</f>
        <v>2</v>
      </c>
      <c r="O156">
        <f>VLOOKUP(all[[#This Row],[DEVELOPMENT]],Data[],30,FALSE)</f>
        <v>2</v>
      </c>
      <c r="P156">
        <f>VLOOKUP(all[[#This Row],[DEVELOPMENT]],Data[],28,FALSE)</f>
        <v>0</v>
      </c>
      <c r="Q156">
        <f>IF(all[[#This Row],['# Bulk Crushers]]=0,1,0)</f>
        <v>1</v>
      </c>
      <c r="R156" s="5">
        <f>IFERROR(INDEX(FWD[],MATCH($B156,FWD[DEVELOPMENT],0),MATCH("ESTIMATE",FWD[#Headers],0)),0)</f>
        <v>0</v>
      </c>
      <c r="S156" s="5">
        <f>IFERROR(INDEX(EHD[],MATCH($B156,EHD[DEVELOPMENT],0),MATCH("ESTIMATE",EHD[#Headers],0)),0)</f>
        <v>29742.574000000001</v>
      </c>
      <c r="T156" s="5">
        <f ca="1">IFERROR(INDEX(IntComp[],MATCH($B156,IntComp[DEVELOPMENT],0),MATCH("ESTIMATE",IntComp[#Headers],0)),0)</f>
        <v>294613.57799999998</v>
      </c>
      <c r="U156" s="5">
        <f ca="1">IFERROR(INDEX(Yards[],MATCH($B156,Yards[DEVELOPMENT],0),MATCH("ESTIMATE",Yards[#Headers],0)),0)</f>
        <v>1591050.0199999998</v>
      </c>
      <c r="V156" s="128">
        <f ca="1">SUM(R156:U156)</f>
        <v>1915406.1719999998</v>
      </c>
      <c r="W156" s="5"/>
    </row>
    <row r="157" spans="1:23" x14ac:dyDescent="0.25">
      <c r="A157" s="131">
        <f>VLOOKUP(B157,Data[],24,FALSE)</f>
        <v>348</v>
      </c>
      <c r="B157" t="s">
        <v>262</v>
      </c>
      <c r="C157" t="str">
        <f>VLOOKUP(B157,Data[],2,FALSE)</f>
        <v>BROOKLYN</v>
      </c>
      <c r="D157" t="str">
        <f>VLOOKUP(all[[#This Row],[DEVELOPMENT]],Data[],3,FALSE)</f>
        <v>REID APARTMENTS</v>
      </c>
      <c r="E157">
        <f>VLOOKUP(B157,Data[],8,FALSE)</f>
        <v>0</v>
      </c>
      <c r="F157">
        <f>VLOOKUP(B157,Data[],9,FALSE)</f>
        <v>0</v>
      </c>
      <c r="G157">
        <f>IFERROR(VLOOKUP(B157,Data[],4,FALSE),"")</f>
        <v>2021</v>
      </c>
      <c r="H157" t="str">
        <f ca="1">IF(G157="","",IF((G157-YEAR(TODAY()))&lt;=5,"Yes",""))</f>
        <v>Yes</v>
      </c>
      <c r="I157">
        <f>VLOOKUP(all[[#This Row],[DEVELOPMENT]],Data[],7,FALSE)</f>
        <v>74</v>
      </c>
      <c r="J157">
        <f>VLOOKUP(all[[#This Row],[DEVELOPMENT]],Data[],25,FALSE)</f>
        <v>0</v>
      </c>
      <c r="K157">
        <f>VLOOKUP(all[[#This Row],[DEVELOPMENT]],Data[],5,FALSE)</f>
        <v>3</v>
      </c>
      <c r="L157">
        <f>VLOOKUP(all[[#This Row],[DEVELOPMENT]],Data[],27,FALSE)</f>
        <v>5</v>
      </c>
      <c r="M157">
        <f>VLOOKUP(all[[#This Row],[DEVELOPMENT]],Data[],31,FALSE)</f>
        <v>5</v>
      </c>
      <c r="N157">
        <f>VLOOKUP(all[[#This Row],[DEVELOPMENT]],Data[],26,FALSE)</f>
        <v>0</v>
      </c>
      <c r="O157">
        <f>VLOOKUP(all[[#This Row],[DEVELOPMENT]],Data[],30,FALSE)</f>
        <v>0</v>
      </c>
      <c r="P157">
        <f>VLOOKUP(all[[#This Row],[DEVELOPMENT]],Data[],28,FALSE)</f>
        <v>0</v>
      </c>
      <c r="Q157">
        <f>IF(all[[#This Row],['# Bulk Crushers]]=0,1,0)</f>
        <v>1</v>
      </c>
      <c r="R157" s="5">
        <f>IFERROR(INDEX(FWD[],MATCH($B157,FWD[DEVELOPMENT],0),MATCH("ESTIMATE",FWD[#Headers],0)),0)</f>
        <v>0</v>
      </c>
      <c r="S157" s="5">
        <f>IFERROR(INDEX(EHD[],MATCH($B157,EHD[DEVELOPMENT],0),MATCH("ESTIMATE",EHD[#Headers],0)),0)</f>
        <v>37178.217499999999</v>
      </c>
      <c r="T157" s="5">
        <f ca="1">IFERROR(INDEX(IntComp[],MATCH($B157,IntComp[DEVELOPMENT],0),MATCH("ESTIMATE",IntComp[#Headers],0)),0)</f>
        <v>0</v>
      </c>
      <c r="U157" s="5">
        <f>IFERROR(INDEX(Yards[],MATCH($B157,Yards[DEVELOPMENT],0),MATCH("ESTIMATE",Yards[#Headers],0)),0)</f>
        <v>0</v>
      </c>
      <c r="V157" s="128">
        <f ca="1">SUM(R157:U157)</f>
        <v>37178.217499999999</v>
      </c>
      <c r="W157" s="5"/>
    </row>
    <row r="158" spans="1:23" x14ac:dyDescent="0.25">
      <c r="A158" s="131">
        <f>VLOOKUP(B158,Data[],24,FALSE)</f>
        <v>50</v>
      </c>
      <c r="B158" t="s">
        <v>125</v>
      </c>
      <c r="C158" t="str">
        <f>VLOOKUP(B158,Data[],2,FALSE)</f>
        <v>MANHATTAN</v>
      </c>
      <c r="D158" t="str">
        <f>VLOOKUP(all[[#This Row],[DEVELOPMENT]],Data[],3,FALSE)</f>
        <v>WASHINGTON</v>
      </c>
      <c r="E158" t="str">
        <f>VLOOKUP(B158,Data[],8,FALSE)</f>
        <v>Zone 2</v>
      </c>
      <c r="F158" t="str">
        <f>VLOOKUP(B158,Data[],9,FALSE)</f>
        <v>$</v>
      </c>
      <c r="G158">
        <f>IFERROR(VLOOKUP(B158,Data[],4,FALSE),"")</f>
        <v>2023</v>
      </c>
      <c r="H158" t="str">
        <f ca="1">IF(G158="","",IF((G158-YEAR(TODAY()))&lt;=5,"Yes",""))</f>
        <v>Yes</v>
      </c>
      <c r="I158">
        <f>VLOOKUP(all[[#This Row],[DEVELOPMENT]],Data[],7,FALSE)</f>
        <v>448</v>
      </c>
      <c r="J158">
        <f>VLOOKUP(all[[#This Row],[DEVELOPMENT]],Data[],25,FALSE)</f>
        <v>0</v>
      </c>
      <c r="K158">
        <f>VLOOKUP(all[[#This Row],[DEVELOPMENT]],Data[],5,FALSE)</f>
        <v>4</v>
      </c>
      <c r="L158">
        <f>VLOOKUP(all[[#This Row],[DEVELOPMENT]],Data[],27,FALSE)</f>
        <v>4</v>
      </c>
      <c r="M158">
        <f>VLOOKUP(all[[#This Row],[DEVELOPMENT]],Data[],31,FALSE)</f>
        <v>4</v>
      </c>
      <c r="N158">
        <f>VLOOKUP(all[[#This Row],[DEVELOPMENT]],Data[],26,FALSE)</f>
        <v>1</v>
      </c>
      <c r="O158">
        <f>VLOOKUP(all[[#This Row],[DEVELOPMENT]],Data[],30,FALSE)</f>
        <v>1</v>
      </c>
      <c r="P158">
        <f>VLOOKUP(all[[#This Row],[DEVELOPMENT]],Data[],28,FALSE)</f>
        <v>0</v>
      </c>
      <c r="Q158">
        <f>IF(all[[#This Row],['# Bulk Crushers]]=0,1,0)</f>
        <v>1</v>
      </c>
      <c r="R158" s="5">
        <f>IFERROR(INDEX(FWD[],MATCH($B158,FWD[DEVELOPMENT],0),MATCH("ESTIMATE",FWD[#Headers],0)),0)</f>
        <v>0</v>
      </c>
      <c r="S158" s="5">
        <f>IFERROR(INDEX(EHD[],MATCH($B158,EHD[DEVELOPMENT],0),MATCH("ESTIMATE",EHD[#Headers],0)),0)</f>
        <v>29742.574000000001</v>
      </c>
      <c r="T158" s="5">
        <f ca="1">IFERROR(INDEX(IntComp[],MATCH($B158,IntComp[DEVELOPMENT],0),MATCH("ESTIMATE",IntComp[#Headers],0)),0)</f>
        <v>0</v>
      </c>
      <c r="U158" s="5">
        <f>IFERROR(INDEX(Yards[],MATCH($B158,Yards[DEVELOPMENT],0),MATCH("ESTIMATE",Yards[#Headers],0)),0)</f>
        <v>0</v>
      </c>
      <c r="V158" s="128">
        <f ca="1">SUM(R158:U158)</f>
        <v>29742.574000000001</v>
      </c>
      <c r="W158" s="5"/>
    </row>
    <row r="159" spans="1:23" x14ac:dyDescent="0.25">
      <c r="A159" s="131">
        <f>VLOOKUP(B159,Data[],24,FALSE)</f>
        <v>20</v>
      </c>
      <c r="B159" t="s">
        <v>113</v>
      </c>
      <c r="C159" t="str">
        <f>VLOOKUP(B159,Data[],2,FALSE)</f>
        <v>MANHATTAN</v>
      </c>
      <c r="D159" t="str">
        <f>VLOOKUP(all[[#This Row],[DEVELOPMENT]],Data[],3,FALSE)</f>
        <v>LINCOLN</v>
      </c>
      <c r="E159" t="str">
        <f>VLOOKUP(B159,Data[],8,FALSE)</f>
        <v>Zone 2</v>
      </c>
      <c r="F159" t="str">
        <f>VLOOKUP(B159,Data[],9,FALSE)</f>
        <v>$$$$</v>
      </c>
      <c r="G159" t="str">
        <f>IFERROR(VLOOKUP(B159,Data[],4,FALSE),"")</f>
        <v/>
      </c>
      <c r="H159" t="str">
        <f ca="1">IF(G159="","",IF((G159-YEAR(TODAY()))&lt;=5,"Yes",""))</f>
        <v/>
      </c>
      <c r="I159">
        <f>VLOOKUP(all[[#This Row],[DEVELOPMENT]],Data[],7,FALSE)</f>
        <v>1280</v>
      </c>
      <c r="J159">
        <f>VLOOKUP(all[[#This Row],[DEVELOPMENT]],Data[],25,FALSE)</f>
        <v>0</v>
      </c>
      <c r="K159">
        <f>VLOOKUP(all[[#This Row],[DEVELOPMENT]],Data[],5,FALSE)</f>
        <v>14</v>
      </c>
      <c r="L159">
        <f>VLOOKUP(all[[#This Row],[DEVELOPMENT]],Data[],27,FALSE)</f>
        <v>20</v>
      </c>
      <c r="M159">
        <f>VLOOKUP(all[[#This Row],[DEVELOPMENT]],Data[],31,FALSE)</f>
        <v>20</v>
      </c>
      <c r="N159">
        <f>VLOOKUP(all[[#This Row],[DEVELOPMENT]],Data[],26,FALSE)</f>
        <v>2</v>
      </c>
      <c r="O159">
        <f>VLOOKUP(all[[#This Row],[DEVELOPMENT]],Data[],30,FALSE)</f>
        <v>2</v>
      </c>
      <c r="P159">
        <f>VLOOKUP(all[[#This Row],[DEVELOPMENT]],Data[],28,FALSE)</f>
        <v>0</v>
      </c>
      <c r="Q159">
        <f>IF(all[[#This Row],['# Bulk Crushers]]=0,1,0)</f>
        <v>1</v>
      </c>
      <c r="R159" s="5">
        <f>IFERROR(INDEX(FWD[],MATCH($B159,FWD[DEVELOPMENT],0),MATCH("ESTIMATE",FWD[#Headers],0)),0)</f>
        <v>0</v>
      </c>
      <c r="S159" s="5">
        <f>IFERROR(INDEX(EHD[],MATCH($B159,EHD[DEVELOPMENT],0),MATCH("ESTIMATE",EHD[#Headers],0)),0)</f>
        <v>148712.87</v>
      </c>
      <c r="T159" s="5">
        <f ca="1">IFERROR(INDEX(IntComp[],MATCH($B159,IntComp[DEVELOPMENT],0),MATCH("ESTIMATE",IntComp[#Headers],0)),0)</f>
        <v>1473067.89</v>
      </c>
      <c r="U159" s="5">
        <f ca="1">IFERROR(INDEX(Yards[],MATCH($B159,Yards[DEVELOPMENT],0),MATCH("ESTIMATE",Yards[#Headers],0)),0)</f>
        <v>1591050.0199999998</v>
      </c>
      <c r="V159" s="128">
        <f ca="1">SUM(R159:U159)</f>
        <v>3212830.7799999993</v>
      </c>
      <c r="W159" s="5"/>
    </row>
    <row r="160" spans="1:23" x14ac:dyDescent="0.25">
      <c r="A160" s="131">
        <f>VLOOKUP(B160,Data[],24,FALSE)</f>
        <v>95</v>
      </c>
      <c r="B160" t="s">
        <v>263</v>
      </c>
      <c r="C160" t="str">
        <f>VLOOKUP(B160,Data[],2,FALSE)</f>
        <v>BROOKLYN</v>
      </c>
      <c r="D160" t="str">
        <f>VLOOKUP(all[[#This Row],[DEVELOPMENT]],Data[],3,FALSE)</f>
        <v>LINDEN</v>
      </c>
      <c r="E160">
        <f>VLOOKUP(B160,Data[],8,FALSE)</f>
        <v>0</v>
      </c>
      <c r="F160">
        <f>VLOOKUP(B160,Data[],9,FALSE)</f>
        <v>0</v>
      </c>
      <c r="G160">
        <f>IFERROR(VLOOKUP(B160,Data[],4,FALSE),"")</f>
        <v>2020</v>
      </c>
      <c r="H160" t="str">
        <f ca="1">IF(G160="","",IF((G160-YEAR(TODAY()))&lt;=5,"Yes",""))</f>
        <v>Yes</v>
      </c>
      <c r="I160">
        <f>VLOOKUP(all[[#This Row],[DEVELOPMENT]],Data[],7,FALSE)</f>
        <v>1586</v>
      </c>
      <c r="J160">
        <f>VLOOKUP(all[[#This Row],[DEVELOPMENT]],Data[],25,FALSE)</f>
        <v>0</v>
      </c>
      <c r="K160">
        <f>VLOOKUP(all[[#This Row],[DEVELOPMENT]],Data[],5,FALSE)</f>
        <v>19</v>
      </c>
      <c r="L160">
        <f>VLOOKUP(all[[#This Row],[DEVELOPMENT]],Data[],27,FALSE)</f>
        <v>19</v>
      </c>
      <c r="M160">
        <f>VLOOKUP(all[[#This Row],[DEVELOPMENT]],Data[],31,FALSE)</f>
        <v>19</v>
      </c>
      <c r="N160">
        <f>VLOOKUP(all[[#This Row],[DEVELOPMENT]],Data[],26,FALSE)</f>
        <v>0</v>
      </c>
      <c r="O160">
        <f>VLOOKUP(all[[#This Row],[DEVELOPMENT]],Data[],30,FALSE)</f>
        <v>0</v>
      </c>
      <c r="P160">
        <f>VLOOKUP(all[[#This Row],[DEVELOPMENT]],Data[],28,FALSE)</f>
        <v>1</v>
      </c>
      <c r="Q160">
        <f>IF(all[[#This Row],['# Bulk Crushers]]=0,1,0)</f>
        <v>0</v>
      </c>
      <c r="R160" s="5">
        <f>IFERROR(INDEX(FWD[],MATCH($B160,FWD[DEVELOPMENT],0),MATCH("ESTIMATE",FWD[#Headers],0)),0)</f>
        <v>0</v>
      </c>
      <c r="S160" s="5">
        <f>IFERROR(INDEX(EHD[],MATCH($B160,EHD[DEVELOPMENT],0),MATCH("ESTIMATE",EHD[#Headers],0)),0)</f>
        <v>0</v>
      </c>
      <c r="T160" s="5">
        <f ca="1">IFERROR(INDEX(IntComp[],MATCH($B160,IntComp[DEVELOPMENT],0),MATCH("ESTIMATE",IntComp[#Headers],0)),0)</f>
        <v>0</v>
      </c>
      <c r="U160" s="5">
        <f>IFERROR(INDEX(Yards[],MATCH($B160,Yards[DEVELOPMENT],0),MATCH("ESTIMATE",Yards[#Headers],0)),0)</f>
        <v>0</v>
      </c>
      <c r="V160" s="128">
        <f ca="1">SUM(R160:U160)</f>
        <v>0</v>
      </c>
      <c r="W160" s="5"/>
    </row>
    <row r="161" spans="1:23" x14ac:dyDescent="0.25">
      <c r="A161" s="131">
        <f>VLOOKUP(B161,Data[],24,FALSE)</f>
        <v>276</v>
      </c>
      <c r="B161" t="s">
        <v>264</v>
      </c>
      <c r="C161" t="str">
        <f>VLOOKUP(B161,Data[],2,FALSE)</f>
        <v>BROOKLYN</v>
      </c>
      <c r="D161" t="str">
        <f>VLOOKUP(all[[#This Row],[DEVELOPMENT]],Data[],3,FALSE)</f>
        <v>UNITY PLAZA</v>
      </c>
      <c r="E161">
        <f>VLOOKUP(B161,Data[],8,FALSE)</f>
        <v>0</v>
      </c>
      <c r="F161">
        <f>VLOOKUP(B161,Data[],9,FALSE)</f>
        <v>0</v>
      </c>
      <c r="G161">
        <f>IFERROR(VLOOKUP(B161,Data[],4,FALSE),"")</f>
        <v>2026</v>
      </c>
      <c r="H161" t="str">
        <f ca="1">IF(G161="","",IF((G161-YEAR(TODAY()))&lt;=5,"Yes",""))</f>
        <v/>
      </c>
      <c r="I161">
        <f>VLOOKUP(all[[#This Row],[DEVELOPMENT]],Data[],7,FALSE)</f>
        <v>229</v>
      </c>
      <c r="J161">
        <f>VLOOKUP(all[[#This Row],[DEVELOPMENT]],Data[],25,FALSE)</f>
        <v>0</v>
      </c>
      <c r="K161">
        <f>VLOOKUP(all[[#This Row],[DEVELOPMENT]],Data[],5,FALSE)</f>
        <v>4</v>
      </c>
      <c r="L161">
        <f>VLOOKUP(all[[#This Row],[DEVELOPMENT]],Data[],27,FALSE)</f>
        <v>4</v>
      </c>
      <c r="M161">
        <f>VLOOKUP(all[[#This Row],[DEVELOPMENT]],Data[],31,FALSE)</f>
        <v>4</v>
      </c>
      <c r="N161">
        <f>VLOOKUP(all[[#This Row],[DEVELOPMENT]],Data[],26,FALSE)</f>
        <v>0</v>
      </c>
      <c r="O161">
        <f>VLOOKUP(all[[#This Row],[DEVELOPMENT]],Data[],30,FALSE)</f>
        <v>0</v>
      </c>
      <c r="P161">
        <f>VLOOKUP(all[[#This Row],[DEVELOPMENT]],Data[],28,FALSE)</f>
        <v>0</v>
      </c>
      <c r="Q161">
        <f>IF(all[[#This Row],['# Bulk Crushers]]=0,1,0)</f>
        <v>1</v>
      </c>
      <c r="R161" s="5">
        <f>IFERROR(INDEX(FWD[],MATCH($B161,FWD[DEVELOPMENT],0),MATCH("ESTIMATE",FWD[#Headers],0)),0)</f>
        <v>0</v>
      </c>
      <c r="S161" s="5">
        <f>IFERROR(INDEX(EHD[],MATCH($B161,EHD[DEVELOPMENT],0),MATCH("ESTIMATE",EHD[#Headers],0)),0)</f>
        <v>29742.574000000001</v>
      </c>
      <c r="T161" s="5">
        <f ca="1">IFERROR(INDEX(IntComp[],MATCH($B161,IntComp[DEVELOPMENT],0),MATCH("ESTIMATE",IntComp[#Headers],0)),0)</f>
        <v>294613.57799999998</v>
      </c>
      <c r="U161" s="5">
        <f>IFERROR(INDEX(Yards[],MATCH($B161,Yards[DEVELOPMENT],0),MATCH("ESTIMATE",Yards[#Headers],0)),0)</f>
        <v>1159792.78</v>
      </c>
      <c r="V161" s="128">
        <f ca="1">SUM(R161:U161)</f>
        <v>1484148.932</v>
      </c>
      <c r="W161" s="5"/>
    </row>
    <row r="162" spans="1:23" x14ac:dyDescent="0.25">
      <c r="A162" s="131">
        <f>VLOOKUP(B162,Data[],24,FALSE)</f>
        <v>362</v>
      </c>
      <c r="B162" t="s">
        <v>265</v>
      </c>
      <c r="C162" t="str">
        <f>VLOOKUP(B162,Data[],2,FALSE)</f>
        <v>BRONX</v>
      </c>
      <c r="D162" t="str">
        <f>VLOOKUP(all[[#This Row],[DEVELOPMENT]],Data[],3,FALSE)</f>
        <v>BUILDING MANAGEMENT ASSOCIATES (PRIVATE - BX 1)</v>
      </c>
      <c r="E162">
        <f>VLOOKUP(B162,Data[],8,FALSE)</f>
        <v>0</v>
      </c>
      <c r="F162">
        <f>VLOOKUP(B162,Data[],9,FALSE)</f>
        <v>0</v>
      </c>
      <c r="G162" t="str">
        <f>IFERROR(VLOOKUP(B162,Data[],4,FALSE),"")</f>
        <v/>
      </c>
      <c r="H162" t="str">
        <f ca="1">IF(G162="","",IF((G162-YEAR(TODAY()))&lt;=5,"Yes",""))</f>
        <v/>
      </c>
      <c r="I162">
        <f>VLOOKUP(all[[#This Row],[DEVELOPMENT]],Data[],7,FALSE)</f>
        <v>75</v>
      </c>
      <c r="J162">
        <f>VLOOKUP(all[[#This Row],[DEVELOPMENT]],Data[],25,FALSE)</f>
        <v>0</v>
      </c>
      <c r="K162">
        <f>VLOOKUP(all[[#This Row],[DEVELOPMENT]],Data[],5,FALSE)</f>
        <v>2</v>
      </c>
      <c r="L162">
        <f>VLOOKUP(all[[#This Row],[DEVELOPMENT]],Data[],27,FALSE)</f>
        <v>5</v>
      </c>
      <c r="M162">
        <f>VLOOKUP(all[[#This Row],[DEVELOPMENT]],Data[],31,FALSE)</f>
        <v>5</v>
      </c>
      <c r="N162">
        <f>VLOOKUP(all[[#This Row],[DEVELOPMENT]],Data[],26,FALSE)</f>
        <v>0</v>
      </c>
      <c r="O162">
        <f>VLOOKUP(all[[#This Row],[DEVELOPMENT]],Data[],30,FALSE)</f>
        <v>0</v>
      </c>
      <c r="P162">
        <f>VLOOKUP(all[[#This Row],[DEVELOPMENT]],Data[],28,FALSE)</f>
        <v>0</v>
      </c>
      <c r="Q162">
        <f>IF(all[[#This Row],['# Bulk Crushers]]=0,1,0)</f>
        <v>1</v>
      </c>
      <c r="R162" s="5">
        <f>IFERROR(INDEX(FWD[],MATCH($B162,FWD[DEVELOPMENT],0),MATCH("ESTIMATE",FWD[#Headers],0)),0)</f>
        <v>0</v>
      </c>
      <c r="S162" s="5">
        <f>IFERROR(INDEX(EHD[],MATCH($B162,EHD[DEVELOPMENT],0),MATCH("ESTIMATE",EHD[#Headers],0)),0)</f>
        <v>37178.217499999999</v>
      </c>
      <c r="T162" s="5">
        <f ca="1">IFERROR(INDEX(IntComp[],MATCH($B162,IntComp[DEVELOPMENT],0),MATCH("ESTIMATE",IntComp[#Headers],0)),0)</f>
        <v>368266.97249999997</v>
      </c>
      <c r="U162" s="5">
        <f>IFERROR(INDEX(Yards[],MATCH($B162,Yards[DEVELOPMENT],0),MATCH("ESTIMATE",Yards[#Headers],0)),0)</f>
        <v>1159792.78</v>
      </c>
      <c r="V162" s="128">
        <f ca="1">SUM(R162:U162)</f>
        <v>1565237.97</v>
      </c>
      <c r="W162" s="5"/>
    </row>
    <row r="163" spans="1:23" x14ac:dyDescent="0.25">
      <c r="A163" s="131">
        <f>VLOOKUP(B163,Data[],24,FALSE)</f>
        <v>169</v>
      </c>
      <c r="B163" t="s">
        <v>266</v>
      </c>
      <c r="C163" t="str">
        <f>VLOOKUP(B163,Data[],2,FALSE)</f>
        <v>BROOKLYN</v>
      </c>
      <c r="D163" t="str">
        <f>VLOOKUP(all[[#This Row],[DEVELOPMENT]],Data[],3,FALSE)</f>
        <v>LOW HOUSES</v>
      </c>
      <c r="E163">
        <f>VLOOKUP(B163,Data[],8,FALSE)</f>
        <v>0</v>
      </c>
      <c r="F163">
        <f>VLOOKUP(B163,Data[],9,FALSE)</f>
        <v>0</v>
      </c>
      <c r="G163" t="str">
        <f>IFERROR(VLOOKUP(B163,Data[],4,FALSE),"")</f>
        <v/>
      </c>
      <c r="H163" t="str">
        <f ca="1">IF(G163="","",IF((G163-YEAR(TODAY()))&lt;=5,"Yes",""))</f>
        <v/>
      </c>
      <c r="I163">
        <f>VLOOKUP(all[[#This Row],[DEVELOPMENT]],Data[],7,FALSE)</f>
        <v>534</v>
      </c>
      <c r="J163">
        <f>VLOOKUP(all[[#This Row],[DEVELOPMENT]],Data[],25,FALSE)</f>
        <v>0</v>
      </c>
      <c r="K163">
        <f>VLOOKUP(all[[#This Row],[DEVELOPMENT]],Data[],5,FALSE)</f>
        <v>4</v>
      </c>
      <c r="L163">
        <f>VLOOKUP(all[[#This Row],[DEVELOPMENT]],Data[],27,FALSE)</f>
        <v>3</v>
      </c>
      <c r="M163">
        <f>VLOOKUP(all[[#This Row],[DEVELOPMENT]],Data[],31,FALSE)</f>
        <v>3</v>
      </c>
      <c r="N163">
        <f>VLOOKUP(all[[#This Row],[DEVELOPMENT]],Data[],26,FALSE)</f>
        <v>0</v>
      </c>
      <c r="O163">
        <f>VLOOKUP(all[[#This Row],[DEVELOPMENT]],Data[],30,FALSE)</f>
        <v>0</v>
      </c>
      <c r="P163">
        <f>VLOOKUP(all[[#This Row],[DEVELOPMENT]],Data[],28,FALSE)</f>
        <v>0</v>
      </c>
      <c r="Q163">
        <f>IF(all[[#This Row],['# Bulk Crushers]]=0,1,0)</f>
        <v>1</v>
      </c>
      <c r="R163" s="5">
        <f>IFERROR(INDEX(FWD[],MATCH($B163,FWD[DEVELOPMENT],0),MATCH("ESTIMATE",FWD[#Headers],0)),0)</f>
        <v>0</v>
      </c>
      <c r="S163" s="5">
        <f>IFERROR(INDEX(EHD[],MATCH($B163,EHD[DEVELOPMENT],0),MATCH("ESTIMATE",EHD[#Headers],0)),0)</f>
        <v>22306.930500000002</v>
      </c>
      <c r="T163" s="5">
        <f ca="1">IFERROR(INDEX(IntComp[],MATCH($B163,IntComp[DEVELOPMENT],0),MATCH("ESTIMATE",IntComp[#Headers],0)),0)</f>
        <v>220960.18349999996</v>
      </c>
      <c r="U163" s="5">
        <f>IFERROR(INDEX(Yards[],MATCH($B163,Yards[DEVELOPMENT],0),MATCH("ESTIMATE",Yards[#Headers],0)),0)</f>
        <v>1159792.78</v>
      </c>
      <c r="V163" s="128">
        <f ca="1">SUM(R163:U163)</f>
        <v>1403059.8939999999</v>
      </c>
      <c r="W163" s="5"/>
    </row>
    <row r="164" spans="1:23" x14ac:dyDescent="0.25">
      <c r="A164" s="131">
        <f>VLOOKUP(B164,Data[],24,FALSE)</f>
        <v>326</v>
      </c>
      <c r="B164" t="s">
        <v>62</v>
      </c>
      <c r="C164" t="str">
        <f>VLOOKUP(B164,Data[],2,FALSE)</f>
        <v>MANHATTAN</v>
      </c>
      <c r="D164" t="str">
        <f>VLOOKUP(all[[#This Row],[DEVELOPMENT]],Data[],3,FALSE)</f>
        <v>GOMPERS</v>
      </c>
      <c r="E164" t="str">
        <f>VLOOKUP(B164,Data[],8,FALSE)</f>
        <v>Zone 1</v>
      </c>
      <c r="F164" t="str">
        <f>VLOOKUP(B164,Data[],9,FALSE)</f>
        <v>$$</v>
      </c>
      <c r="G164" t="str">
        <f>IFERROR(VLOOKUP(B164,Data[],4,FALSE),"")</f>
        <v/>
      </c>
      <c r="H164" t="str">
        <f ca="1">IF(G164="","",IF((G164-YEAR(TODAY()))&lt;=5,"Yes",""))</f>
        <v/>
      </c>
      <c r="I164">
        <f>VLOOKUP(all[[#This Row],[DEVELOPMENT]],Data[],7,FALSE)</f>
        <v>189</v>
      </c>
      <c r="J164" t="str">
        <f>VLOOKUP(all[[#This Row],[DEVELOPMENT]],Data[],25,FALSE)</f>
        <v>Yes</v>
      </c>
      <c r="K164">
        <f>VLOOKUP(all[[#This Row],[DEVELOPMENT]],Data[],5,FALSE)</f>
        <v>5</v>
      </c>
      <c r="L164">
        <f>VLOOKUP(all[[#This Row],[DEVELOPMENT]],Data[],27,FALSE)</f>
        <v>0</v>
      </c>
      <c r="M164">
        <f>VLOOKUP(all[[#This Row],[DEVELOPMENT]],Data[],31,FALSE)</f>
        <v>0</v>
      </c>
      <c r="N164">
        <f>VLOOKUP(all[[#This Row],[DEVELOPMENT]],Data[],26,FALSE)</f>
        <v>0</v>
      </c>
      <c r="O164">
        <f>VLOOKUP(all[[#This Row],[DEVELOPMENT]],Data[],30,FALSE)</f>
        <v>0</v>
      </c>
      <c r="P164">
        <f>VLOOKUP(all[[#This Row],[DEVELOPMENT]],Data[],28,FALSE)</f>
        <v>0</v>
      </c>
      <c r="Q164">
        <f>IF(all[[#This Row],['# Bulk Crushers]]=0,1,0)</f>
        <v>1</v>
      </c>
      <c r="R164" s="5">
        <f>IFERROR(INDEX(FWD[],MATCH($B164,FWD[DEVELOPMENT],0),MATCH("ESTIMATE",FWD[#Headers],0)),0)</f>
        <v>324841.09405752213</v>
      </c>
      <c r="S164" s="5">
        <f>IFERROR(INDEX(EHD[],MATCH($B164,EHD[DEVELOPMENT],0),MATCH("ESTIMATE",EHD[#Headers],0)),0)</f>
        <v>0</v>
      </c>
      <c r="T164" s="5">
        <f ca="1">IFERROR(INDEX(IntComp[],MATCH($B164,IntComp[DEVELOPMENT],0),MATCH("ESTIMATE",IntComp[#Headers],0)),0)</f>
        <v>0</v>
      </c>
      <c r="U164" s="5">
        <f>IFERROR(INDEX(Yards[],MATCH($B164,Yards[DEVELOPMENT],0),MATCH("ESTIMATE",Yards[#Headers],0)),0)</f>
        <v>1159792.78</v>
      </c>
      <c r="V164" s="128">
        <f ca="1">SUM(R164:U164)</f>
        <v>1484633.874057522</v>
      </c>
      <c r="W164" s="5"/>
    </row>
    <row r="165" spans="1:23" x14ac:dyDescent="0.25">
      <c r="A165" s="131">
        <f>VLOOKUP(B165,Data[],24,FALSE)</f>
        <v>337</v>
      </c>
      <c r="B165" t="s">
        <v>63</v>
      </c>
      <c r="C165" t="str">
        <f>VLOOKUP(B165,Data[],2,FALSE)</f>
        <v>MANHATTAN</v>
      </c>
      <c r="D165" t="str">
        <f>VLOOKUP(all[[#This Row],[DEVELOPMENT]],Data[],3,FALSE)</f>
        <v>LOWER EAST SIDE CONSOLIDATED</v>
      </c>
      <c r="E165" t="str">
        <f>VLOOKUP(B165,Data[],8,FALSE)</f>
        <v>Zone 1</v>
      </c>
      <c r="F165" t="str">
        <f>VLOOKUP(B165,Data[],9,FALSE)</f>
        <v>$</v>
      </c>
      <c r="G165">
        <f>IFERROR(VLOOKUP(B165,Data[],4,FALSE),"")</f>
        <v>2026</v>
      </c>
      <c r="H165" t="str">
        <f ca="1">IF(G165="","",IF((G165-YEAR(TODAY()))&lt;=5,"Yes",""))</f>
        <v/>
      </c>
      <c r="I165">
        <f>VLOOKUP(all[[#This Row],[DEVELOPMENT]],Data[],7,FALSE)</f>
        <v>188</v>
      </c>
      <c r="J165" t="str">
        <f>VLOOKUP(all[[#This Row],[DEVELOPMENT]],Data[],25,FALSE)</f>
        <v>Yes</v>
      </c>
      <c r="K165">
        <f>VLOOKUP(all[[#This Row],[DEVELOPMENT]],Data[],5,FALSE)</f>
        <v>4</v>
      </c>
      <c r="L165">
        <f>VLOOKUP(all[[#This Row],[DEVELOPMENT]],Data[],27,FALSE)</f>
        <v>0</v>
      </c>
      <c r="M165">
        <f>VLOOKUP(all[[#This Row],[DEVELOPMENT]],Data[],31,FALSE)</f>
        <v>0</v>
      </c>
      <c r="N165">
        <f>VLOOKUP(all[[#This Row],[DEVELOPMENT]],Data[],26,FALSE)</f>
        <v>0</v>
      </c>
      <c r="O165">
        <f>VLOOKUP(all[[#This Row],[DEVELOPMENT]],Data[],30,FALSE)</f>
        <v>0</v>
      </c>
      <c r="P165">
        <f>VLOOKUP(all[[#This Row],[DEVELOPMENT]],Data[],28,FALSE)</f>
        <v>0</v>
      </c>
      <c r="Q165">
        <f>IF(all[[#This Row],['# Bulk Crushers]]=0,1,0)</f>
        <v>1</v>
      </c>
      <c r="R165" s="5">
        <f>IFERROR(INDEX(FWD[],MATCH($B165,FWD[DEVELOPMENT],0),MATCH("ESTIMATE",FWD[#Headers],0)),0)</f>
        <v>323122.35811012785</v>
      </c>
      <c r="S165" s="5">
        <f>IFERROR(INDEX(EHD[],MATCH($B165,EHD[DEVELOPMENT],0),MATCH("ESTIMATE",EHD[#Headers],0)),0)</f>
        <v>0</v>
      </c>
      <c r="T165" s="5">
        <f ca="1">IFERROR(INDEX(IntComp[],MATCH($B165,IntComp[DEVELOPMENT],0),MATCH("ESTIMATE",IntComp[#Headers],0)),0)</f>
        <v>0</v>
      </c>
      <c r="U165" s="5">
        <f>IFERROR(INDEX(Yards[],MATCH($B165,Yards[DEVELOPMENT],0),MATCH("ESTIMATE",Yards[#Headers],0)),0)</f>
        <v>1159792.78</v>
      </c>
      <c r="V165" s="128">
        <f ca="1">SUM(R165:U165)</f>
        <v>1482915.1381101278</v>
      </c>
      <c r="W165" s="5"/>
    </row>
    <row r="166" spans="1:23" x14ac:dyDescent="0.25">
      <c r="A166" s="131">
        <f>VLOOKUP(B166,Data[],24,FALSE)</f>
        <v>364</v>
      </c>
      <c r="B166" t="s">
        <v>267</v>
      </c>
      <c r="C166" t="str">
        <f>VLOOKUP(B166,Data[],2,FALSE)</f>
        <v>MANHATTAN</v>
      </c>
      <c r="D166" t="str">
        <f>VLOOKUP(all[[#This Row],[DEVELOPMENT]],Data[],3,FALSE)</f>
        <v>KRAUS MANAGEMENT (PRIVATE - M/B1)</v>
      </c>
      <c r="E166" t="str">
        <f>VLOOKUP(B166,Data[],8,FALSE)</f>
        <v>Zone 1</v>
      </c>
      <c r="F166" t="str">
        <f>VLOOKUP(B166,Data[],9,FALSE)</f>
        <v>$</v>
      </c>
      <c r="G166" t="str">
        <f>IFERROR(VLOOKUP(B166,Data[],4,FALSE),"")</f>
        <v/>
      </c>
      <c r="H166" t="str">
        <f ca="1">IF(G166="","",IF((G166-YEAR(TODAY()))&lt;=5,"Yes",""))</f>
        <v/>
      </c>
      <c r="I166">
        <f>VLOOKUP(all[[#This Row],[DEVELOPMENT]],Data[],7,FALSE)</f>
        <v>56</v>
      </c>
      <c r="J166" t="str">
        <f>VLOOKUP(all[[#This Row],[DEVELOPMENT]],Data[],25,FALSE)</f>
        <v>Yes</v>
      </c>
      <c r="K166">
        <f>VLOOKUP(all[[#This Row],[DEVELOPMENT]],Data[],5,FALSE)</f>
        <v>2</v>
      </c>
      <c r="L166">
        <f>VLOOKUP(all[[#This Row],[DEVELOPMENT]],Data[],27,FALSE)</f>
        <v>0</v>
      </c>
      <c r="M166">
        <f>VLOOKUP(all[[#This Row],[DEVELOPMENT]],Data[],31,FALSE)</f>
        <v>0</v>
      </c>
      <c r="N166">
        <f>VLOOKUP(all[[#This Row],[DEVELOPMENT]],Data[],26,FALSE)</f>
        <v>0</v>
      </c>
      <c r="O166">
        <f>VLOOKUP(all[[#This Row],[DEVELOPMENT]],Data[],30,FALSE)</f>
        <v>0</v>
      </c>
      <c r="P166">
        <f>VLOOKUP(all[[#This Row],[DEVELOPMENT]],Data[],28,FALSE)</f>
        <v>0</v>
      </c>
      <c r="Q166">
        <f>IF(all[[#This Row],['# Bulk Crushers]]=0,1,0)</f>
        <v>1</v>
      </c>
      <c r="R166" s="5">
        <f>IFERROR(INDEX(FWD[],MATCH($B166,FWD[DEVELOPMENT],0),MATCH("ESTIMATE",FWD[#Headers],0)),0)</f>
        <v>96249.213054080639</v>
      </c>
      <c r="S166" s="5">
        <f>IFERROR(INDEX(EHD[],MATCH($B166,EHD[DEVELOPMENT],0),MATCH("ESTIMATE",EHD[#Headers],0)),0)</f>
        <v>0</v>
      </c>
      <c r="T166" s="5">
        <f ca="1">IFERROR(INDEX(IntComp[],MATCH($B166,IntComp[DEVELOPMENT],0),MATCH("ESTIMATE",IntComp[#Headers],0)),0)</f>
        <v>0</v>
      </c>
      <c r="U166" s="5">
        <f>IFERROR(INDEX(Yards[],MATCH($B166,Yards[DEVELOPMENT],0),MATCH("ESTIMATE",Yards[#Headers],0)),0)</f>
        <v>1159792.78</v>
      </c>
      <c r="V166" s="128">
        <f ca="1">SUM(R166:U166)</f>
        <v>1256041.9930540808</v>
      </c>
      <c r="W166" s="5"/>
    </row>
    <row r="167" spans="1:23" x14ac:dyDescent="0.25">
      <c r="A167" s="131">
        <f>VLOOKUP(B167,Data[],24,FALSE)</f>
        <v>292</v>
      </c>
      <c r="B167" t="s">
        <v>64</v>
      </c>
      <c r="C167" t="str">
        <f>VLOOKUP(B167,Data[],2,FALSE)</f>
        <v>MANHATTAN</v>
      </c>
      <c r="D167" t="str">
        <f>VLOOKUP(all[[#This Row],[DEVELOPMENT]],Data[],3,FALSE)</f>
        <v>LOWER EAST SIDE CONSOLIDATED</v>
      </c>
      <c r="E167" t="str">
        <f>VLOOKUP(B167,Data[],8,FALSE)</f>
        <v>Zone 1</v>
      </c>
      <c r="F167" t="str">
        <f>VLOOKUP(B167,Data[],9,FALSE)</f>
        <v>$$</v>
      </c>
      <c r="G167">
        <f>IFERROR(VLOOKUP(B167,Data[],4,FALSE),"")</f>
        <v>2026</v>
      </c>
      <c r="H167" t="str">
        <f ca="1">IF(G167="","",IF((G167-YEAR(TODAY()))&lt;=5,"Yes",""))</f>
        <v/>
      </c>
      <c r="I167">
        <f>VLOOKUP(all[[#This Row],[DEVELOPMENT]],Data[],7,FALSE)</f>
        <v>55</v>
      </c>
      <c r="J167" t="str">
        <f>VLOOKUP(all[[#This Row],[DEVELOPMENT]],Data[],25,FALSE)</f>
        <v>Yes</v>
      </c>
      <c r="K167">
        <f>VLOOKUP(all[[#This Row],[DEVELOPMENT]],Data[],5,FALSE)</f>
        <v>2</v>
      </c>
      <c r="L167">
        <f>VLOOKUP(all[[#This Row],[DEVELOPMENT]],Data[],27,FALSE)</f>
        <v>2</v>
      </c>
      <c r="M167">
        <f>VLOOKUP(all[[#This Row],[DEVELOPMENT]],Data[],31,FALSE)</f>
        <v>2</v>
      </c>
      <c r="N167">
        <f>VLOOKUP(all[[#This Row],[DEVELOPMENT]],Data[],26,FALSE)</f>
        <v>0</v>
      </c>
      <c r="O167">
        <f>VLOOKUP(all[[#This Row],[DEVELOPMENT]],Data[],30,FALSE)</f>
        <v>0</v>
      </c>
      <c r="P167">
        <f>VLOOKUP(all[[#This Row],[DEVELOPMENT]],Data[],28,FALSE)</f>
        <v>0</v>
      </c>
      <c r="Q167">
        <f>IF(all[[#This Row],['# Bulk Crushers]]=0,1,0)</f>
        <v>1</v>
      </c>
      <c r="R167" s="5">
        <f>IFERROR(INDEX(FWD[],MATCH($B167,FWD[DEVELOPMENT],0),MATCH("ESTIMATE",FWD[#Headers],0)),0)</f>
        <v>94530.477106686332</v>
      </c>
      <c r="S167" s="5">
        <f>IFERROR(INDEX(EHD[],MATCH($B167,EHD[DEVELOPMENT],0),MATCH("ESTIMATE",EHD[#Headers],0)),0)</f>
        <v>14871.287</v>
      </c>
      <c r="T167" s="5">
        <f ca="1">IFERROR(INDEX(IntComp[],MATCH($B167,IntComp[DEVELOPMENT],0),MATCH("ESTIMATE",IntComp[#Headers],0)),0)</f>
        <v>147306.78899999999</v>
      </c>
      <c r="U167" s="5">
        <f>IFERROR(INDEX(Yards[],MATCH($B167,Yards[DEVELOPMENT],0),MATCH("ESTIMATE",Yards[#Headers],0)),0)</f>
        <v>1159792.78</v>
      </c>
      <c r="V167" s="128">
        <f ca="1">SUM(R167:U167)</f>
        <v>1416501.3331066864</v>
      </c>
      <c r="W167" s="5"/>
    </row>
    <row r="168" spans="1:23" x14ac:dyDescent="0.25">
      <c r="A168" s="131">
        <f>VLOOKUP(B168,Data[],24,FALSE)</f>
        <v>81</v>
      </c>
      <c r="B168" t="s">
        <v>122</v>
      </c>
      <c r="C168" t="str">
        <f>VLOOKUP(B168,Data[],2,FALSE)</f>
        <v>MANHATTAN</v>
      </c>
      <c r="D168" t="str">
        <f>VLOOKUP(all[[#This Row],[DEVELOPMENT]],Data[],3,FALSE)</f>
        <v>MANHATTANVILLE</v>
      </c>
      <c r="E168" t="str">
        <f>VLOOKUP(B168,Data[],8,FALSE)</f>
        <v>Zone 2</v>
      </c>
      <c r="F168" t="str">
        <f>VLOOKUP(B168,Data[],9,FALSE)</f>
        <v>$</v>
      </c>
      <c r="G168">
        <f>IFERROR(VLOOKUP(B168,Data[],4,FALSE),"")</f>
        <v>2028</v>
      </c>
      <c r="H168" t="str">
        <f ca="1">IF(G168="","",IF((G168-YEAR(TODAY()))&lt;=5,"Yes",""))</f>
        <v/>
      </c>
      <c r="I168">
        <f>VLOOKUP(all[[#This Row],[DEVELOPMENT]],Data[],7,FALSE)</f>
        <v>1272</v>
      </c>
      <c r="J168">
        <f>VLOOKUP(all[[#This Row],[DEVELOPMENT]],Data[],25,FALSE)</f>
        <v>0</v>
      </c>
      <c r="K168">
        <f>VLOOKUP(all[[#This Row],[DEVELOPMENT]],Data[],5,FALSE)</f>
        <v>6</v>
      </c>
      <c r="L168">
        <f>VLOOKUP(all[[#This Row],[DEVELOPMENT]],Data[],27,FALSE)</f>
        <v>6</v>
      </c>
      <c r="M168">
        <f>VLOOKUP(all[[#This Row],[DEVELOPMENT]],Data[],31,FALSE)</f>
        <v>6</v>
      </c>
      <c r="N168">
        <f>VLOOKUP(all[[#This Row],[DEVELOPMENT]],Data[],26,FALSE)</f>
        <v>3</v>
      </c>
      <c r="O168">
        <f>VLOOKUP(all[[#This Row],[DEVELOPMENT]],Data[],30,FALSE)</f>
        <v>3</v>
      </c>
      <c r="P168">
        <f>VLOOKUP(all[[#This Row],[DEVELOPMENT]],Data[],28,FALSE)</f>
        <v>0</v>
      </c>
      <c r="Q168">
        <f>IF(all[[#This Row],['# Bulk Crushers]]=0,1,0)</f>
        <v>1</v>
      </c>
      <c r="R168" s="5">
        <f>IFERROR(INDEX(FWD[],MATCH($B168,FWD[DEVELOPMENT],0),MATCH("ESTIMATE",FWD[#Headers],0)),0)</f>
        <v>0</v>
      </c>
      <c r="S168" s="5">
        <f>IFERROR(INDEX(EHD[],MATCH($B168,EHD[DEVELOPMENT],0),MATCH("ESTIMATE",EHD[#Headers],0)),0)</f>
        <v>44613.861000000004</v>
      </c>
      <c r="T168" s="5">
        <f ca="1">IFERROR(INDEX(IntComp[],MATCH($B168,IntComp[DEVELOPMENT],0),MATCH("ESTIMATE",IntComp[#Headers],0)),0)</f>
        <v>441920.36699999991</v>
      </c>
      <c r="U168" s="5">
        <f ca="1">IFERROR(INDEX(Yards[],MATCH($B168,Yards[DEVELOPMENT],0),MATCH("ESTIMATE",Yards[#Headers],0)),0)</f>
        <v>2022307.2600000005</v>
      </c>
      <c r="V168" s="128">
        <f ca="1">SUM(R168:U168)</f>
        <v>2508841.4880000004</v>
      </c>
      <c r="W168" s="5"/>
    </row>
    <row r="169" spans="1:23" x14ac:dyDescent="0.25">
      <c r="A169" s="131">
        <f>VLOOKUP(B169,Data[],24,FALSE)</f>
        <v>296</v>
      </c>
      <c r="B169" t="s">
        <v>87</v>
      </c>
      <c r="C169" t="str">
        <f>VLOOKUP(B169,Data[],2,FALSE)</f>
        <v>MANHATTAN</v>
      </c>
      <c r="D169" t="str">
        <f>VLOOKUP(all[[#This Row],[DEVELOPMENT]],Data[],3,FALSE)</f>
        <v>MANHATTANVILLE</v>
      </c>
      <c r="E169" t="str">
        <f>VLOOKUP(B169,Data[],8,FALSE)</f>
        <v>Zone 3</v>
      </c>
      <c r="F169" t="str">
        <f>VLOOKUP(B169,Data[],9,FALSE)</f>
        <v>$</v>
      </c>
      <c r="G169">
        <f>IFERROR(VLOOKUP(B169,Data[],4,FALSE),"")</f>
        <v>2019</v>
      </c>
      <c r="H169" t="str">
        <f ca="1">IF(G169="","",IF((G169-YEAR(TODAY()))&lt;=5,"Yes",""))</f>
        <v>Yes</v>
      </c>
      <c r="I169">
        <f>VLOOKUP(all[[#This Row],[DEVELOPMENT]],Data[],7,FALSE)</f>
        <v>46</v>
      </c>
      <c r="J169">
        <f>VLOOKUP(all[[#This Row],[DEVELOPMENT]],Data[],25,FALSE)</f>
        <v>0</v>
      </c>
      <c r="K169">
        <f>VLOOKUP(all[[#This Row],[DEVELOPMENT]],Data[],5,FALSE)</f>
        <v>3</v>
      </c>
      <c r="L169">
        <f>VLOOKUP(all[[#This Row],[DEVELOPMENT]],Data[],27,FALSE)</f>
        <v>3</v>
      </c>
      <c r="M169">
        <f>VLOOKUP(all[[#This Row],[DEVELOPMENT]],Data[],31,FALSE)</f>
        <v>2</v>
      </c>
      <c r="N169">
        <f>VLOOKUP(all[[#This Row],[DEVELOPMENT]],Data[],26,FALSE)</f>
        <v>0</v>
      </c>
      <c r="O169">
        <f>VLOOKUP(all[[#This Row],[DEVELOPMENT]],Data[],30,FALSE)</f>
        <v>0</v>
      </c>
      <c r="P169">
        <f>VLOOKUP(all[[#This Row],[DEVELOPMENT]],Data[],28,FALSE)</f>
        <v>0</v>
      </c>
      <c r="Q169">
        <f>IF(all[[#This Row],['# Bulk Crushers]]=0,1,0)</f>
        <v>1</v>
      </c>
      <c r="R169" s="5">
        <f>IFERROR(INDEX(FWD[],MATCH($B169,FWD[DEVELOPMENT],0),MATCH("ESTIMATE",FWD[#Headers],0)),0)</f>
        <v>0</v>
      </c>
      <c r="S169" s="5">
        <f>IFERROR(INDEX(EHD[],MATCH($B169,EHD[DEVELOPMENT],0),MATCH("ESTIMATE",EHD[#Headers],0)),0)</f>
        <v>0</v>
      </c>
      <c r="T169" s="5">
        <f ca="1">IFERROR(INDEX(IntComp[],MATCH($B169,IntComp[DEVELOPMENT],0),MATCH("ESTIMATE",IntComp[#Headers],0)),0)</f>
        <v>0</v>
      </c>
      <c r="U169" s="5">
        <f>IFERROR(INDEX(Yards[],MATCH($B169,Yards[DEVELOPMENT],0),MATCH("ESTIMATE",Yards[#Headers],0)),0)</f>
        <v>0</v>
      </c>
      <c r="V169" s="128">
        <f ca="1">SUM(R169:U169)</f>
        <v>0</v>
      </c>
      <c r="W169" s="5"/>
    </row>
    <row r="170" spans="1:23" x14ac:dyDescent="0.25">
      <c r="A170" s="131">
        <f>VLOOKUP(B170,Data[],24,FALSE)</f>
        <v>297</v>
      </c>
      <c r="B170" t="s">
        <v>88</v>
      </c>
      <c r="C170" t="str">
        <f>VLOOKUP(B170,Data[],2,FALSE)</f>
        <v>MANHATTAN</v>
      </c>
      <c r="D170" t="str">
        <f>VLOOKUP(all[[#This Row],[DEVELOPMENT]],Data[],3,FALSE)</f>
        <v>MANHATTANVILLE</v>
      </c>
      <c r="E170" t="str">
        <f>VLOOKUP(B170,Data[],8,FALSE)</f>
        <v>Zone 3</v>
      </c>
      <c r="F170" t="str">
        <f>VLOOKUP(B170,Data[],9,FALSE)</f>
        <v>$</v>
      </c>
      <c r="G170">
        <f>IFERROR(VLOOKUP(B170,Data[],4,FALSE),"")</f>
        <v>2019</v>
      </c>
      <c r="H170" t="str">
        <f ca="1">IF(G170="","",IF((G170-YEAR(TODAY()))&lt;=5,"Yes",""))</f>
        <v>Yes</v>
      </c>
      <c r="I170">
        <f>VLOOKUP(all[[#This Row],[DEVELOPMENT]],Data[],7,FALSE)</f>
        <v>51</v>
      </c>
      <c r="J170">
        <f>VLOOKUP(all[[#This Row],[DEVELOPMENT]],Data[],25,FALSE)</f>
        <v>0</v>
      </c>
      <c r="K170">
        <f>VLOOKUP(all[[#This Row],[DEVELOPMENT]],Data[],5,FALSE)</f>
        <v>2</v>
      </c>
      <c r="L170">
        <f>VLOOKUP(all[[#This Row],[DEVELOPMENT]],Data[],27,FALSE)</f>
        <v>2</v>
      </c>
      <c r="M170">
        <f>VLOOKUP(all[[#This Row],[DEVELOPMENT]],Data[],31,FALSE)</f>
        <v>2</v>
      </c>
      <c r="N170">
        <f>VLOOKUP(all[[#This Row],[DEVELOPMENT]],Data[],26,FALSE)</f>
        <v>0</v>
      </c>
      <c r="O170">
        <f>VLOOKUP(all[[#This Row],[DEVELOPMENT]],Data[],30,FALSE)</f>
        <v>0</v>
      </c>
      <c r="P170">
        <f>VLOOKUP(all[[#This Row],[DEVELOPMENT]],Data[],28,FALSE)</f>
        <v>0</v>
      </c>
      <c r="Q170">
        <f>IF(all[[#This Row],['# Bulk Crushers]]=0,1,0)</f>
        <v>1</v>
      </c>
      <c r="R170" s="5">
        <f>IFERROR(INDEX(FWD[],MATCH($B170,FWD[DEVELOPMENT],0),MATCH("ESTIMATE",FWD[#Headers],0)),0)</f>
        <v>0</v>
      </c>
      <c r="S170" s="5">
        <f>IFERROR(INDEX(EHD[],MATCH($B170,EHD[DEVELOPMENT],0),MATCH("ESTIMATE",EHD[#Headers],0)),0)</f>
        <v>0</v>
      </c>
      <c r="T170" s="5">
        <f ca="1">IFERROR(INDEX(IntComp[],MATCH($B170,IntComp[DEVELOPMENT],0),MATCH("ESTIMATE",IntComp[#Headers],0)),0)</f>
        <v>0</v>
      </c>
      <c r="U170" s="5">
        <f>IFERROR(INDEX(Yards[],MATCH($B170,Yards[DEVELOPMENT],0),MATCH("ESTIMATE",Yards[#Headers],0)),0)</f>
        <v>0</v>
      </c>
      <c r="V170" s="128">
        <f ca="1">SUM(R170:U170)</f>
        <v>0</v>
      </c>
      <c r="W170" s="5"/>
    </row>
    <row r="171" spans="1:23" x14ac:dyDescent="0.25">
      <c r="A171" s="131">
        <f>VLOOKUP(B171,Data[],24,FALSE)</f>
        <v>49</v>
      </c>
      <c r="B171" t="s">
        <v>268</v>
      </c>
      <c r="C171" t="str">
        <f>VLOOKUP(B171,Data[],2,FALSE)</f>
        <v>BRONX</v>
      </c>
      <c r="D171" t="str">
        <f>VLOOKUP(all[[#This Row],[DEVELOPMENT]],Data[],3,FALSE)</f>
        <v>MARBLE HILL</v>
      </c>
      <c r="E171">
        <f>VLOOKUP(B171,Data[],8,FALSE)</f>
        <v>0</v>
      </c>
      <c r="F171">
        <f>VLOOKUP(B171,Data[],9,FALSE)</f>
        <v>0</v>
      </c>
      <c r="G171" t="str">
        <f>IFERROR(VLOOKUP(B171,Data[],4,FALSE),"")</f>
        <v/>
      </c>
      <c r="H171" t="str">
        <f ca="1">IF(G171="","",IF((G171-YEAR(TODAY()))&lt;=5,"Yes",""))</f>
        <v/>
      </c>
      <c r="I171">
        <f>VLOOKUP(all[[#This Row],[DEVELOPMENT]],Data[],7,FALSE)</f>
        <v>1680</v>
      </c>
      <c r="J171">
        <f>VLOOKUP(all[[#This Row],[DEVELOPMENT]],Data[],25,FALSE)</f>
        <v>0</v>
      </c>
      <c r="K171">
        <f>VLOOKUP(all[[#This Row],[DEVELOPMENT]],Data[],5,FALSE)</f>
        <v>11</v>
      </c>
      <c r="L171">
        <f>VLOOKUP(all[[#This Row],[DEVELOPMENT]],Data[],27,FALSE)</f>
        <v>11</v>
      </c>
      <c r="M171">
        <f>VLOOKUP(all[[#This Row],[DEVELOPMENT]],Data[],31,FALSE)</f>
        <v>11</v>
      </c>
      <c r="N171">
        <f>VLOOKUP(all[[#This Row],[DEVELOPMENT]],Data[],26,FALSE)</f>
        <v>3</v>
      </c>
      <c r="O171">
        <f>VLOOKUP(all[[#This Row],[DEVELOPMENT]],Data[],30,FALSE)</f>
        <v>3</v>
      </c>
      <c r="P171">
        <f>VLOOKUP(all[[#This Row],[DEVELOPMENT]],Data[],28,FALSE)</f>
        <v>0</v>
      </c>
      <c r="Q171">
        <f>IF(all[[#This Row],['# Bulk Crushers]]=0,1,0)</f>
        <v>1</v>
      </c>
      <c r="R171" s="5">
        <f>IFERROR(INDEX(FWD[],MATCH($B171,FWD[DEVELOPMENT],0),MATCH("ESTIMATE",FWD[#Headers],0)),0)</f>
        <v>0</v>
      </c>
      <c r="S171" s="5">
        <f>IFERROR(INDEX(EHD[],MATCH($B171,EHD[DEVELOPMENT],0),MATCH("ESTIMATE",EHD[#Headers],0)),0)</f>
        <v>81792.078500000003</v>
      </c>
      <c r="T171" s="5">
        <f ca="1">IFERROR(INDEX(IntComp[],MATCH($B171,IntComp[DEVELOPMENT],0),MATCH("ESTIMATE",IntComp[#Headers],0)),0)</f>
        <v>810187.33949999989</v>
      </c>
      <c r="U171" s="5">
        <f ca="1">IFERROR(INDEX(Yards[],MATCH($B171,Yards[DEVELOPMENT],0),MATCH("ESTIMATE",Yards[#Headers],0)),0)</f>
        <v>2022307.2600000005</v>
      </c>
      <c r="V171" s="128">
        <f ca="1">SUM(R171:U171)</f>
        <v>2914286.6780000003</v>
      </c>
      <c r="W171" s="5"/>
    </row>
    <row r="172" spans="1:23" x14ac:dyDescent="0.25">
      <c r="A172" s="131">
        <f>VLOOKUP(B172,Data[],24,FALSE)</f>
        <v>21</v>
      </c>
      <c r="B172" t="s">
        <v>38</v>
      </c>
      <c r="C172" t="str">
        <f>VLOOKUP(B172,Data[],2,FALSE)</f>
        <v>BROOKLYN</v>
      </c>
      <c r="D172" t="str">
        <f>VLOOKUP(all[[#This Row],[DEVELOPMENT]],Data[],3,FALSE)</f>
        <v>MARCY</v>
      </c>
      <c r="E172" t="str">
        <f>VLOOKUP(B172,Data[],8,FALSE)</f>
        <v>Zone 1</v>
      </c>
      <c r="F172" t="str">
        <f>VLOOKUP(B172,Data[],9,FALSE)</f>
        <v>$$</v>
      </c>
      <c r="G172">
        <f>IFERROR(VLOOKUP(B172,Data[],4,FALSE),"")</f>
        <v>2027</v>
      </c>
      <c r="H172" t="str">
        <f ca="1">IF(G172="","",IF((G172-YEAR(TODAY()))&lt;=5,"Yes",""))</f>
        <v/>
      </c>
      <c r="I172">
        <f>VLOOKUP(all[[#This Row],[DEVELOPMENT]],Data[],7,FALSE)</f>
        <v>1716</v>
      </c>
      <c r="J172" t="str">
        <f>VLOOKUP(all[[#This Row],[DEVELOPMENT]],Data[],25,FALSE)</f>
        <v>Yes</v>
      </c>
      <c r="K172">
        <f>VLOOKUP(all[[#This Row],[DEVELOPMENT]],Data[],5,FALSE)</f>
        <v>27</v>
      </c>
      <c r="L172">
        <f>VLOOKUP(all[[#This Row],[DEVELOPMENT]],Data[],27,FALSE)</f>
        <v>69</v>
      </c>
      <c r="M172">
        <f>VLOOKUP(all[[#This Row],[DEVELOPMENT]],Data[],31,FALSE)</f>
        <v>69</v>
      </c>
      <c r="N172">
        <f>VLOOKUP(all[[#This Row],[DEVELOPMENT]],Data[],26,FALSE)</f>
        <v>3</v>
      </c>
      <c r="O172">
        <f>VLOOKUP(all[[#This Row],[DEVELOPMENT]],Data[],30,FALSE)</f>
        <v>3</v>
      </c>
      <c r="P172">
        <f>VLOOKUP(all[[#This Row],[DEVELOPMENT]],Data[],28,FALSE)</f>
        <v>0</v>
      </c>
      <c r="Q172">
        <f>IF(all[[#This Row],['# Bulk Crushers]]=0,1,0)</f>
        <v>1</v>
      </c>
      <c r="R172" s="5">
        <f>IFERROR(INDEX(FWD[],MATCH($B172,FWD[DEVELOPMENT],0),MATCH("ESTIMATE",FWD[#Headers],0)),0)</f>
        <v>2949350.8857286135</v>
      </c>
      <c r="S172" s="5">
        <f>IFERROR(INDEX(EHD[],MATCH($B172,EHD[DEVELOPMENT],0),MATCH("ESTIMATE",EHD[#Headers],0)),0)</f>
        <v>0</v>
      </c>
      <c r="T172" s="5">
        <f ca="1">IFERROR(INDEX(IntComp[],MATCH($B172,IntComp[DEVELOPMENT],0),MATCH("ESTIMATE",IntComp[#Headers],0)),0)</f>
        <v>5082084.2204999998</v>
      </c>
      <c r="U172" s="5">
        <f ca="1">IFERROR(INDEX(Yards[],MATCH($B172,Yards[DEVELOPMENT],0),MATCH("ESTIMATE",Yards[#Headers],0)),0)</f>
        <v>2022307.2600000005</v>
      </c>
      <c r="V172" s="128">
        <f ca="1">SUM(R172:U172)</f>
        <v>10053742.366228614</v>
      </c>
      <c r="W172" s="5"/>
    </row>
    <row r="173" spans="1:23" x14ac:dyDescent="0.25">
      <c r="A173" s="131">
        <f>VLOOKUP(B173,Data[],24,FALSE)</f>
        <v>363</v>
      </c>
      <c r="B173" t="s">
        <v>269</v>
      </c>
      <c r="C173" t="str">
        <f>VLOOKUP(B173,Data[],2,FALSE)</f>
        <v>BROOKLYN</v>
      </c>
      <c r="D173" t="str">
        <f>VLOOKUP(all[[#This Row],[DEVELOPMENT]],Data[],3,FALSE)</f>
        <v>KRAUS MANAGEMENT (PRIVATE - M/B 1)</v>
      </c>
      <c r="E173" t="str">
        <f>VLOOKUP(B173,Data[],8,FALSE)</f>
        <v>Zone 1</v>
      </c>
      <c r="F173" t="str">
        <f>VLOOKUP(B173,Data[],9,FALSE)</f>
        <v>$</v>
      </c>
      <c r="G173">
        <f>IFERROR(VLOOKUP(B173,Data[],4,FALSE),"")</f>
        <v>2019</v>
      </c>
      <c r="H173" t="str">
        <f ca="1">IF(G173="","",IF((G173-YEAR(TODAY()))&lt;=5,"Yes",""))</f>
        <v>Yes</v>
      </c>
      <c r="I173">
        <f>VLOOKUP(all[[#This Row],[DEVELOPMENT]],Data[],7,FALSE)</f>
        <v>48</v>
      </c>
      <c r="J173">
        <f>VLOOKUP(all[[#This Row],[DEVELOPMENT]],Data[],25,FALSE)</f>
        <v>0</v>
      </c>
      <c r="K173">
        <f>VLOOKUP(all[[#This Row],[DEVELOPMENT]],Data[],5,FALSE)</f>
        <v>2</v>
      </c>
      <c r="L173">
        <f>VLOOKUP(all[[#This Row],[DEVELOPMENT]],Data[],27,FALSE)</f>
        <v>0</v>
      </c>
      <c r="M173">
        <f>VLOOKUP(all[[#This Row],[DEVELOPMENT]],Data[],31,FALSE)</f>
        <v>0</v>
      </c>
      <c r="N173">
        <f>VLOOKUP(all[[#This Row],[DEVELOPMENT]],Data[],26,FALSE)</f>
        <v>0</v>
      </c>
      <c r="O173">
        <f>VLOOKUP(all[[#This Row],[DEVELOPMENT]],Data[],30,FALSE)</f>
        <v>0</v>
      </c>
      <c r="P173">
        <f>VLOOKUP(all[[#This Row],[DEVELOPMENT]],Data[],28,FALSE)</f>
        <v>0</v>
      </c>
      <c r="Q173">
        <f>IF(all[[#This Row],['# Bulk Crushers]]=0,1,0)</f>
        <v>1</v>
      </c>
      <c r="R173" s="5">
        <f>IFERROR(INDEX(FWD[],MATCH($B173,FWD[DEVELOPMENT],0),MATCH("ESTIMATE",FWD[#Headers],0)),0)</f>
        <v>0</v>
      </c>
      <c r="S173" s="5">
        <f>IFERROR(INDEX(EHD[],MATCH($B173,EHD[DEVELOPMENT],0),MATCH("ESTIMATE",EHD[#Headers],0)),0)</f>
        <v>0</v>
      </c>
      <c r="T173" s="5">
        <f ca="1">IFERROR(INDEX(IntComp[],MATCH($B173,IntComp[DEVELOPMENT],0),MATCH("ESTIMATE",IntComp[#Headers],0)),0)</f>
        <v>0</v>
      </c>
      <c r="U173" s="5">
        <f>IFERROR(INDEX(Yards[],MATCH($B173,Yards[DEVELOPMENT],0),MATCH("ESTIMATE",Yards[#Headers],0)),0)</f>
        <v>0</v>
      </c>
      <c r="V173" s="128">
        <f ca="1">SUM(R173:U173)</f>
        <v>0</v>
      </c>
      <c r="W173" s="5"/>
    </row>
    <row r="174" spans="1:23" x14ac:dyDescent="0.25">
      <c r="A174" s="131">
        <f>VLOOKUP(B174,Data[],24,FALSE)</f>
        <v>358</v>
      </c>
      <c r="B174" t="s">
        <v>270</v>
      </c>
      <c r="C174" t="str">
        <f>VLOOKUP(B174,Data[],2,FALSE)</f>
        <v>BROOKLYN</v>
      </c>
      <c r="D174" t="str">
        <f>VLOOKUP(all[[#This Row],[DEVELOPMENT]],Data[],3,FALSE)</f>
        <v>KRAUS MANAGEMENT (PRIVATE - M/B 1)</v>
      </c>
      <c r="E174">
        <f>VLOOKUP(B174,Data[],8,FALSE)</f>
        <v>0</v>
      </c>
      <c r="F174">
        <f>VLOOKUP(B174,Data[],9,FALSE)</f>
        <v>0</v>
      </c>
      <c r="G174">
        <f>IFERROR(VLOOKUP(B174,Data[],4,FALSE),"")</f>
        <v>2019</v>
      </c>
      <c r="H174" t="str">
        <f ca="1">IF(G174="","",IF((G174-YEAR(TODAY()))&lt;=5,"Yes",""))</f>
        <v>Yes</v>
      </c>
      <c r="I174">
        <f>VLOOKUP(all[[#This Row],[DEVELOPMENT]],Data[],7,FALSE)</f>
        <v>30</v>
      </c>
      <c r="J174">
        <f>VLOOKUP(all[[#This Row],[DEVELOPMENT]],Data[],25,FALSE)</f>
        <v>0</v>
      </c>
      <c r="K174">
        <f>VLOOKUP(all[[#This Row],[DEVELOPMENT]],Data[],5,FALSE)</f>
        <v>1</v>
      </c>
      <c r="L174">
        <f>VLOOKUP(all[[#This Row],[DEVELOPMENT]],Data[],27,FALSE)</f>
        <v>0</v>
      </c>
      <c r="M174">
        <f>VLOOKUP(all[[#This Row],[DEVELOPMENT]],Data[],31,FALSE)</f>
        <v>0</v>
      </c>
      <c r="N174">
        <f>VLOOKUP(all[[#This Row],[DEVELOPMENT]],Data[],26,FALSE)</f>
        <v>0</v>
      </c>
      <c r="O174">
        <f>VLOOKUP(all[[#This Row],[DEVELOPMENT]],Data[],30,FALSE)</f>
        <v>0</v>
      </c>
      <c r="P174">
        <f>VLOOKUP(all[[#This Row],[DEVELOPMENT]],Data[],28,FALSE)</f>
        <v>0</v>
      </c>
      <c r="Q174">
        <f>IF(all[[#This Row],['# Bulk Crushers]]=0,1,0)</f>
        <v>1</v>
      </c>
      <c r="R174" s="5">
        <f>IFERROR(INDEX(FWD[],MATCH($B174,FWD[DEVELOPMENT],0),MATCH("ESTIMATE",FWD[#Headers],0)),0)</f>
        <v>0</v>
      </c>
      <c r="S174" s="5">
        <f>IFERROR(INDEX(EHD[],MATCH($B174,EHD[DEVELOPMENT],0),MATCH("ESTIMATE",EHD[#Headers],0)),0)</f>
        <v>0</v>
      </c>
      <c r="T174" s="5">
        <f ca="1">IFERROR(INDEX(IntComp[],MATCH($B174,IntComp[DEVELOPMENT],0),MATCH("ESTIMATE",IntComp[#Headers],0)),0)</f>
        <v>0</v>
      </c>
      <c r="U174" s="5">
        <f>IFERROR(INDEX(Yards[],MATCH($B174,Yards[DEVELOPMENT],0),MATCH("ESTIMATE",Yards[#Headers],0)),0)</f>
        <v>0</v>
      </c>
      <c r="V174" s="128">
        <f ca="1">SUM(R174:U174)</f>
        <v>0</v>
      </c>
      <c r="W174" s="5"/>
    </row>
    <row r="175" spans="1:23" x14ac:dyDescent="0.25">
      <c r="A175" s="131">
        <f>VLOOKUP(B175,Data[],24,FALSE)</f>
        <v>77</v>
      </c>
      <c r="B175" t="s">
        <v>271</v>
      </c>
      <c r="C175" t="str">
        <f>VLOOKUP(B175,Data[],2,FALSE)</f>
        <v>STATEN ISLAND</v>
      </c>
      <c r="D175" t="str">
        <f>VLOOKUP(all[[#This Row],[DEVELOPMENT]],Data[],3,FALSE)</f>
        <v>MARINER'S HARBOR</v>
      </c>
      <c r="E175">
        <f>VLOOKUP(B175,Data[],8,FALSE)</f>
        <v>0</v>
      </c>
      <c r="F175">
        <f>VLOOKUP(B175,Data[],9,FALSE)</f>
        <v>0</v>
      </c>
      <c r="G175">
        <f>IFERROR(VLOOKUP(B175,Data[],4,FALSE),"")</f>
        <v>2028</v>
      </c>
      <c r="H175" t="str">
        <f ca="1">IF(G175="","",IF((G175-YEAR(TODAY()))&lt;=5,"Yes",""))</f>
        <v/>
      </c>
      <c r="I175">
        <f>VLOOKUP(all[[#This Row],[DEVELOPMENT]],Data[],7,FALSE)</f>
        <v>606</v>
      </c>
      <c r="J175">
        <f>VLOOKUP(all[[#This Row],[DEVELOPMENT]],Data[],25,FALSE)</f>
        <v>0</v>
      </c>
      <c r="K175">
        <f>VLOOKUP(all[[#This Row],[DEVELOPMENT]],Data[],5,FALSE)</f>
        <v>22</v>
      </c>
      <c r="L175">
        <f>VLOOKUP(all[[#This Row],[DEVELOPMENT]],Data[],27,FALSE)</f>
        <v>27</v>
      </c>
      <c r="M175">
        <f>VLOOKUP(all[[#This Row],[DEVELOPMENT]],Data[],31,FALSE)</f>
        <v>27</v>
      </c>
      <c r="N175">
        <f>VLOOKUP(all[[#This Row],[DEVELOPMENT]],Data[],26,FALSE)</f>
        <v>2</v>
      </c>
      <c r="O175">
        <f>VLOOKUP(all[[#This Row],[DEVELOPMENT]],Data[],30,FALSE)</f>
        <v>0</v>
      </c>
      <c r="P175">
        <f>VLOOKUP(all[[#This Row],[DEVELOPMENT]],Data[],28,FALSE)</f>
        <v>0</v>
      </c>
      <c r="Q175">
        <f>IF(all[[#This Row],['# Bulk Crushers]]=0,1,0)</f>
        <v>1</v>
      </c>
      <c r="R175" s="5">
        <f>IFERROR(INDEX(FWD[],MATCH($B175,FWD[DEVELOPMENT],0),MATCH("ESTIMATE",FWD[#Headers],0)),0)</f>
        <v>0</v>
      </c>
      <c r="S175" s="5">
        <f>IFERROR(INDEX(EHD[],MATCH($B175,EHD[DEVELOPMENT],0),MATCH("ESTIMATE",EHD[#Headers],0)),0)</f>
        <v>200762.37450000001</v>
      </c>
      <c r="T175" s="5">
        <f ca="1">IFERROR(INDEX(IntComp[],MATCH($B175,IntComp[DEVELOPMENT],0),MATCH("ESTIMATE",IntComp[#Headers],0)),0)</f>
        <v>1988641.6514999997</v>
      </c>
      <c r="U175" s="5">
        <f>IFERROR(INDEX(Yards[],MATCH($B175,Yards[DEVELOPMENT],0),MATCH("ESTIMATE",Yards[#Headers],0)),0)</f>
        <v>1159792.78</v>
      </c>
      <c r="V175" s="128">
        <f ca="1">SUM(R175:U175)</f>
        <v>3349196.8059999999</v>
      </c>
      <c r="W175" s="5"/>
    </row>
    <row r="176" spans="1:23" x14ac:dyDescent="0.25">
      <c r="A176" s="131">
        <f>VLOOKUP(B176,Data[],24,FALSE)</f>
        <v>83</v>
      </c>
      <c r="B176" t="s">
        <v>272</v>
      </c>
      <c r="C176" t="str">
        <f>VLOOKUP(B176,Data[],2,FALSE)</f>
        <v>BROOKLYN</v>
      </c>
      <c r="D176" t="str">
        <f>VLOOKUP(all[[#This Row],[DEVELOPMENT]],Data[],3,FALSE)</f>
        <v>MARLBORO</v>
      </c>
      <c r="E176">
        <f>VLOOKUP(B176,Data[],8,FALSE)</f>
        <v>0</v>
      </c>
      <c r="F176">
        <f>VLOOKUP(B176,Data[],9,FALSE)</f>
        <v>0</v>
      </c>
      <c r="G176" t="str">
        <f>IFERROR(VLOOKUP(B176,Data[],4,FALSE),"")</f>
        <v/>
      </c>
      <c r="H176" t="str">
        <f ca="1">IF(G176="","",IF((G176-YEAR(TODAY()))&lt;=5,"Yes",""))</f>
        <v/>
      </c>
      <c r="I176">
        <f>VLOOKUP(all[[#This Row],[DEVELOPMENT]],Data[],7,FALSE)</f>
        <v>1764</v>
      </c>
      <c r="J176">
        <f>VLOOKUP(all[[#This Row],[DEVELOPMENT]],Data[],25,FALSE)</f>
        <v>0</v>
      </c>
      <c r="K176">
        <f>VLOOKUP(all[[#This Row],[DEVELOPMENT]],Data[],5,FALSE)</f>
        <v>28</v>
      </c>
      <c r="L176">
        <f>VLOOKUP(all[[#This Row],[DEVELOPMENT]],Data[],27,FALSE)</f>
        <v>28</v>
      </c>
      <c r="M176">
        <f>VLOOKUP(all[[#This Row],[DEVELOPMENT]],Data[],31,FALSE)</f>
        <v>28</v>
      </c>
      <c r="N176">
        <f>VLOOKUP(all[[#This Row],[DEVELOPMENT]],Data[],26,FALSE)</f>
        <v>0</v>
      </c>
      <c r="O176">
        <f>VLOOKUP(all[[#This Row],[DEVELOPMENT]],Data[],30,FALSE)</f>
        <v>0</v>
      </c>
      <c r="P176">
        <f>VLOOKUP(all[[#This Row],[DEVELOPMENT]],Data[],28,FALSE)</f>
        <v>0</v>
      </c>
      <c r="Q176">
        <f>IF(all[[#This Row],['# Bulk Crushers]]=0,1,0)</f>
        <v>1</v>
      </c>
      <c r="R176" s="5">
        <f>IFERROR(INDEX(FWD[],MATCH($B176,FWD[DEVELOPMENT],0),MATCH("ESTIMATE",FWD[#Headers],0)),0)</f>
        <v>0</v>
      </c>
      <c r="S176" s="5">
        <f>IFERROR(INDEX(EHD[],MATCH($B176,EHD[DEVELOPMENT],0),MATCH("ESTIMATE",EHD[#Headers],0)),0)</f>
        <v>208198.01800000001</v>
      </c>
      <c r="T176" s="5">
        <f ca="1">IFERROR(INDEX(IntComp[],MATCH($B176,IntComp[DEVELOPMENT],0),MATCH("ESTIMATE",IntComp[#Headers],0)),0)</f>
        <v>2062295.0459999996</v>
      </c>
      <c r="U176" s="5">
        <f>IFERROR(INDEX(Yards[],MATCH($B176,Yards[DEVELOPMENT],0),MATCH("ESTIMATE",Yards[#Headers],0)),0)</f>
        <v>1159792.78</v>
      </c>
      <c r="V176" s="128">
        <f ca="1">SUM(R176:U176)</f>
        <v>3430285.8439999996</v>
      </c>
      <c r="W176" s="5"/>
    </row>
    <row r="177" spans="1:23" x14ac:dyDescent="0.25">
      <c r="A177" s="131">
        <f>VLOOKUP(B177,Data[],24,FALSE)</f>
        <v>344</v>
      </c>
      <c r="B177" t="s">
        <v>89</v>
      </c>
      <c r="C177" t="str">
        <f>VLOOKUP(B177,Data[],2,FALSE)</f>
        <v>MANHATTAN</v>
      </c>
      <c r="D177" t="str">
        <f>VLOOKUP(all[[#This Row],[DEVELOPMENT]],Data[],3,FALSE)</f>
        <v>HARLEM RIVER</v>
      </c>
      <c r="E177" t="str">
        <f>VLOOKUP(B177,Data[],8,FALSE)</f>
        <v>Zone 3</v>
      </c>
      <c r="F177" t="str">
        <f>VLOOKUP(B177,Data[],9,FALSE)</f>
        <v>$$</v>
      </c>
      <c r="G177">
        <f>IFERROR(VLOOKUP(B177,Data[],4,FALSE),"")</f>
        <v>2020</v>
      </c>
      <c r="H177" t="str">
        <f ca="1">IF(G177="","",IF((G177-YEAR(TODAY()))&lt;=5,"Yes",""))</f>
        <v>Yes</v>
      </c>
      <c r="I177">
        <f>VLOOKUP(all[[#This Row],[DEVELOPMENT]],Data[],7,FALSE)</f>
        <v>180</v>
      </c>
      <c r="J177">
        <f>VLOOKUP(all[[#This Row],[DEVELOPMENT]],Data[],25,FALSE)</f>
        <v>0</v>
      </c>
      <c r="K177">
        <f>VLOOKUP(all[[#This Row],[DEVELOPMENT]],Data[],5,FALSE)</f>
        <v>1</v>
      </c>
      <c r="L177">
        <f>VLOOKUP(all[[#This Row],[DEVELOPMENT]],Data[],27,FALSE)</f>
        <v>1</v>
      </c>
      <c r="M177">
        <f>VLOOKUP(all[[#This Row],[DEVELOPMENT]],Data[],31,FALSE)</f>
        <v>1</v>
      </c>
      <c r="N177">
        <f>VLOOKUP(all[[#This Row],[DEVELOPMENT]],Data[],26,FALSE)</f>
        <v>0</v>
      </c>
      <c r="O177">
        <f>VLOOKUP(all[[#This Row],[DEVELOPMENT]],Data[],30,FALSE)</f>
        <v>0</v>
      </c>
      <c r="P177">
        <f>VLOOKUP(all[[#This Row],[DEVELOPMENT]],Data[],28,FALSE)</f>
        <v>0</v>
      </c>
      <c r="Q177">
        <f>IF(all[[#This Row],['# Bulk Crushers]]=0,1,0)</f>
        <v>1</v>
      </c>
      <c r="R177" s="5">
        <f>IFERROR(INDEX(FWD[],MATCH($B177,FWD[DEVELOPMENT],0),MATCH("ESTIMATE",FWD[#Headers],0)),0)</f>
        <v>0</v>
      </c>
      <c r="S177" s="5">
        <f>IFERROR(INDEX(EHD[],MATCH($B177,EHD[DEVELOPMENT],0),MATCH("ESTIMATE",EHD[#Headers],0)),0)</f>
        <v>0</v>
      </c>
      <c r="T177" s="5">
        <f ca="1">IFERROR(INDEX(IntComp[],MATCH($B177,IntComp[DEVELOPMENT],0),MATCH("ESTIMATE",IntComp[#Headers],0)),0)</f>
        <v>0</v>
      </c>
      <c r="U177" s="5">
        <f>IFERROR(INDEX(Yards[],MATCH($B177,Yards[DEVELOPMENT],0),MATCH("ESTIMATE",Yards[#Headers],0)),0)</f>
        <v>0</v>
      </c>
      <c r="V177" s="128">
        <f ca="1">SUM(R177:U177)</f>
        <v>0</v>
      </c>
      <c r="W177" s="5"/>
    </row>
    <row r="178" spans="1:23" x14ac:dyDescent="0.25">
      <c r="A178" s="131">
        <f>VLOOKUP(B178,Data[],24,FALSE)</f>
        <v>103</v>
      </c>
      <c r="B178" t="s">
        <v>273</v>
      </c>
      <c r="C178" t="str">
        <f>VLOOKUP(B178,Data[],2,FALSE)</f>
        <v>BRONX</v>
      </c>
      <c r="D178" t="str">
        <f>VLOOKUP(all[[#This Row],[DEVELOPMENT]],Data[],3,FALSE)</f>
        <v>FOREST</v>
      </c>
      <c r="E178" t="str">
        <f>VLOOKUP(B178,Data[],8,FALSE)</f>
        <v>Zone 4</v>
      </c>
      <c r="F178">
        <f>VLOOKUP(B178,Data[],9,FALSE)</f>
        <v>0</v>
      </c>
      <c r="G178" t="str">
        <f>IFERROR(VLOOKUP(B178,Data[],4,FALSE),"")</f>
        <v/>
      </c>
      <c r="H178" t="str">
        <f ca="1">IF(G178="","",IF((G178-YEAR(TODAY()))&lt;=5,"Yes",""))</f>
        <v/>
      </c>
      <c r="I178">
        <f>VLOOKUP(all[[#This Row],[DEVELOPMENT]],Data[],7,FALSE)</f>
        <v>615</v>
      </c>
      <c r="J178">
        <f>VLOOKUP(all[[#This Row],[DEVELOPMENT]],Data[],25,FALSE)</f>
        <v>0</v>
      </c>
      <c r="K178">
        <f>VLOOKUP(all[[#This Row],[DEVELOPMENT]],Data[],5,FALSE)</f>
        <v>5</v>
      </c>
      <c r="L178">
        <f>VLOOKUP(all[[#This Row],[DEVELOPMENT]],Data[],27,FALSE)</f>
        <v>5</v>
      </c>
      <c r="M178">
        <f>VLOOKUP(all[[#This Row],[DEVELOPMENT]],Data[],31,FALSE)</f>
        <v>5</v>
      </c>
      <c r="N178">
        <f>VLOOKUP(all[[#This Row],[DEVELOPMENT]],Data[],26,FALSE)</f>
        <v>2</v>
      </c>
      <c r="O178">
        <f>VLOOKUP(all[[#This Row],[DEVELOPMENT]],Data[],30,FALSE)</f>
        <v>2</v>
      </c>
      <c r="P178">
        <f>VLOOKUP(all[[#This Row],[DEVELOPMENT]],Data[],28,FALSE)</f>
        <v>0</v>
      </c>
      <c r="Q178">
        <f>IF(all[[#This Row],['# Bulk Crushers]]=0,1,0)</f>
        <v>1</v>
      </c>
      <c r="R178" s="5">
        <f>IFERROR(INDEX(FWD[],MATCH($B178,FWD[DEVELOPMENT],0),MATCH("ESTIMATE",FWD[#Headers],0)),0)</f>
        <v>0</v>
      </c>
      <c r="S178" s="5">
        <f>IFERROR(INDEX(EHD[],MATCH($B178,EHD[DEVELOPMENT],0),MATCH("ESTIMATE",EHD[#Headers],0)),0)</f>
        <v>37178.217499999999</v>
      </c>
      <c r="T178" s="5">
        <f ca="1">IFERROR(INDEX(IntComp[],MATCH($B178,IntComp[DEVELOPMENT],0),MATCH("ESTIMATE",IntComp[#Headers],0)),0)</f>
        <v>368266.97249999997</v>
      </c>
      <c r="U178" s="5">
        <f ca="1">IFERROR(INDEX(Yards[],MATCH($B178,Yards[DEVELOPMENT],0),MATCH("ESTIMATE",Yards[#Headers],0)),0)</f>
        <v>1591050.0199999998</v>
      </c>
      <c r="V178" s="128">
        <f ca="1">SUM(R178:U178)</f>
        <v>1996495.2099999997</v>
      </c>
      <c r="W178" s="5"/>
    </row>
    <row r="179" spans="1:23" x14ac:dyDescent="0.25">
      <c r="A179" s="131">
        <f>VLOOKUP(B179,Data[],24,FALSE)</f>
        <v>28</v>
      </c>
      <c r="B179" t="s">
        <v>39</v>
      </c>
      <c r="C179" t="str">
        <f>VLOOKUP(B179,Data[],2,FALSE)</f>
        <v>BRONX</v>
      </c>
      <c r="D179" t="str">
        <f>VLOOKUP(all[[#This Row],[DEVELOPMENT]],Data[],3,FALSE)</f>
        <v>MELROSE</v>
      </c>
      <c r="E179" t="str">
        <f>VLOOKUP(B179,Data[],8,FALSE)</f>
        <v>Zone 1</v>
      </c>
      <c r="F179" t="str">
        <f>VLOOKUP(B179,Data[],9,FALSE)</f>
        <v>$</v>
      </c>
      <c r="G179">
        <f>IFERROR(VLOOKUP(B179,Data[],4,FALSE),"")</f>
        <v>2023</v>
      </c>
      <c r="H179" t="str">
        <f ca="1">IF(G179="","",IF((G179-YEAR(TODAY()))&lt;=5,"Yes",""))</f>
        <v>Yes</v>
      </c>
      <c r="I179">
        <f>VLOOKUP(all[[#This Row],[DEVELOPMENT]],Data[],7,FALSE)</f>
        <v>1021</v>
      </c>
      <c r="J179">
        <f>VLOOKUP(all[[#This Row],[DEVELOPMENT]],Data[],25,FALSE)</f>
        <v>0</v>
      </c>
      <c r="K179">
        <f>VLOOKUP(all[[#This Row],[DEVELOPMENT]],Data[],5,FALSE)</f>
        <v>8</v>
      </c>
      <c r="L179">
        <f>VLOOKUP(all[[#This Row],[DEVELOPMENT]],Data[],27,FALSE)</f>
        <v>8</v>
      </c>
      <c r="M179">
        <f>VLOOKUP(all[[#This Row],[DEVELOPMENT]],Data[],31,FALSE)</f>
        <v>8</v>
      </c>
      <c r="N179">
        <f>VLOOKUP(all[[#This Row],[DEVELOPMENT]],Data[],26,FALSE)</f>
        <v>2</v>
      </c>
      <c r="O179">
        <f>VLOOKUP(all[[#This Row],[DEVELOPMENT]],Data[],30,FALSE)</f>
        <v>2</v>
      </c>
      <c r="P179">
        <f>VLOOKUP(all[[#This Row],[DEVELOPMENT]],Data[],28,FALSE)</f>
        <v>0</v>
      </c>
      <c r="Q179">
        <f>IF(all[[#This Row],['# Bulk Crushers]]=0,1,0)</f>
        <v>1</v>
      </c>
      <c r="R179" s="5">
        <f>IFERROR(INDEX(FWD[],MATCH($B179,FWD[DEVELOPMENT],0),MATCH("ESTIMATE",FWD[#Headers],0)),0)</f>
        <v>0</v>
      </c>
      <c r="S179" s="5">
        <f>IFERROR(INDEX(EHD[],MATCH($B179,EHD[DEVELOPMENT],0),MATCH("ESTIMATE",EHD[#Headers],0)),0)</f>
        <v>0</v>
      </c>
      <c r="T179" s="5">
        <f ca="1">IFERROR(INDEX(IntComp[],MATCH($B179,IntComp[DEVELOPMENT],0),MATCH("ESTIMATE",IntComp[#Headers],0)),0)</f>
        <v>0</v>
      </c>
      <c r="U179" s="5">
        <f>IFERROR(INDEX(Yards[],MATCH($B179,Yards[DEVELOPMENT],0),MATCH("ESTIMATE",Yards[#Headers],0)),0)</f>
        <v>0</v>
      </c>
      <c r="V179" s="128">
        <f ca="1">SUM(R179:U179)</f>
        <v>0</v>
      </c>
      <c r="W179" s="5"/>
    </row>
    <row r="180" spans="1:23" x14ac:dyDescent="0.25">
      <c r="A180" s="131">
        <f>VLOOKUP(B180,Data[],24,FALSE)</f>
        <v>183</v>
      </c>
      <c r="B180" t="s">
        <v>50</v>
      </c>
      <c r="C180" t="str">
        <f>VLOOKUP(B180,Data[],2,FALSE)</f>
        <v>MANHATTAN</v>
      </c>
      <c r="D180" t="str">
        <f>VLOOKUP(all[[#This Row],[DEVELOPMENT]],Data[],3,FALSE)</f>
        <v>GOMPERS</v>
      </c>
      <c r="E180" t="str">
        <f>VLOOKUP(B180,Data[],8,FALSE)</f>
        <v>Zone 1</v>
      </c>
      <c r="F180" t="str">
        <f>VLOOKUP(B180,Data[],9,FALSE)</f>
        <v>$</v>
      </c>
      <c r="G180" t="str">
        <f>IFERROR(VLOOKUP(B180,Data[],4,FALSE),"")</f>
        <v/>
      </c>
      <c r="H180" t="str">
        <f ca="1">IF(G180="","",IF((G180-YEAR(TODAY()))&lt;=5,"Yes",""))</f>
        <v/>
      </c>
      <c r="I180">
        <f>VLOOKUP(all[[#This Row],[DEVELOPMENT]],Data[],7,FALSE)</f>
        <v>229</v>
      </c>
      <c r="J180" t="str">
        <f>VLOOKUP(all[[#This Row],[DEVELOPMENT]],Data[],25,FALSE)</f>
        <v>Yes</v>
      </c>
      <c r="K180">
        <f>VLOOKUP(all[[#This Row],[DEVELOPMENT]],Data[],5,FALSE)</f>
        <v>1</v>
      </c>
      <c r="L180">
        <f>VLOOKUP(all[[#This Row],[DEVELOPMENT]],Data[],27,FALSE)</f>
        <v>1</v>
      </c>
      <c r="M180">
        <f>VLOOKUP(all[[#This Row],[DEVELOPMENT]],Data[],31,FALSE)</f>
        <v>1</v>
      </c>
      <c r="N180">
        <f>VLOOKUP(all[[#This Row],[DEVELOPMENT]],Data[],26,FALSE)</f>
        <v>0</v>
      </c>
      <c r="O180">
        <f>VLOOKUP(all[[#This Row],[DEVELOPMENT]],Data[],30,FALSE)</f>
        <v>0</v>
      </c>
      <c r="P180">
        <f>VLOOKUP(all[[#This Row],[DEVELOPMENT]],Data[],28,FALSE)</f>
        <v>0</v>
      </c>
      <c r="Q180">
        <f>IF(all[[#This Row],['# Bulk Crushers]]=0,1,0)</f>
        <v>1</v>
      </c>
      <c r="R180" s="5">
        <f>IFERROR(INDEX(FWD[],MATCH($B180,FWD[DEVELOPMENT],0),MATCH("ESTIMATE",FWD[#Headers],0)),0)</f>
        <v>0</v>
      </c>
      <c r="S180" s="5">
        <f>IFERROR(INDEX(EHD[],MATCH($B180,EHD[DEVELOPMENT],0),MATCH("ESTIMATE",EHD[#Headers],0)),0)</f>
        <v>0</v>
      </c>
      <c r="T180" s="5">
        <f ca="1">IFERROR(INDEX(IntComp[],MATCH($B180,IntComp[DEVELOPMENT],0),MATCH("ESTIMATE",IntComp[#Headers],0)),0)</f>
        <v>73653.394499999995</v>
      </c>
      <c r="U180" s="5">
        <f>IFERROR(INDEX(Yards[],MATCH($B180,Yards[DEVELOPMENT],0),MATCH("ESTIMATE",Yards[#Headers],0)),0)</f>
        <v>1159792.78</v>
      </c>
      <c r="V180" s="128">
        <f ca="1">SUM(R180:U180)</f>
        <v>1233446.1745</v>
      </c>
      <c r="W180" s="5"/>
    </row>
    <row r="181" spans="1:23" x14ac:dyDescent="0.25">
      <c r="A181" s="131">
        <f>VLOOKUP(B181,Data[],24,FALSE)</f>
        <v>181</v>
      </c>
      <c r="B181" t="s">
        <v>90</v>
      </c>
      <c r="C181" t="str">
        <f>VLOOKUP(B181,Data[],2,FALSE)</f>
        <v>MANHATTAN</v>
      </c>
      <c r="D181" t="str">
        <f>VLOOKUP(all[[#This Row],[DEVELOPMENT]],Data[],3,FALSE)</f>
        <v>WILSON</v>
      </c>
      <c r="E181" t="str">
        <f>VLOOKUP(B181,Data[],8,FALSE)</f>
        <v>Zone 2</v>
      </c>
      <c r="F181" t="str">
        <f>VLOOKUP(B181,Data[],9,FALSE)</f>
        <v>$</v>
      </c>
      <c r="G181" t="str">
        <f>IFERROR(VLOOKUP(B181,Data[],4,FALSE),"")</f>
        <v/>
      </c>
      <c r="H181" t="str">
        <f ca="1">IF(G181="","",IF((G181-YEAR(TODAY()))&lt;=5,"Yes",""))</f>
        <v/>
      </c>
      <c r="I181">
        <f>VLOOKUP(all[[#This Row],[DEVELOPMENT]],Data[],7,FALSE)</f>
        <v>271</v>
      </c>
      <c r="J181">
        <f>VLOOKUP(all[[#This Row],[DEVELOPMENT]],Data[],25,FALSE)</f>
        <v>0</v>
      </c>
      <c r="K181">
        <f>VLOOKUP(all[[#This Row],[DEVELOPMENT]],Data[],5,FALSE)</f>
        <v>3</v>
      </c>
      <c r="L181">
        <f>VLOOKUP(all[[#This Row],[DEVELOPMENT]],Data[],27,FALSE)</f>
        <v>3</v>
      </c>
      <c r="M181">
        <f>VLOOKUP(all[[#This Row],[DEVELOPMENT]],Data[],31,FALSE)</f>
        <v>3</v>
      </c>
      <c r="N181">
        <f>VLOOKUP(all[[#This Row],[DEVELOPMENT]],Data[],26,FALSE)</f>
        <v>0</v>
      </c>
      <c r="O181">
        <f>VLOOKUP(all[[#This Row],[DEVELOPMENT]],Data[],30,FALSE)</f>
        <v>0</v>
      </c>
      <c r="P181">
        <f>VLOOKUP(all[[#This Row],[DEVELOPMENT]],Data[],28,FALSE)</f>
        <v>0</v>
      </c>
      <c r="Q181">
        <f>IF(all[[#This Row],['# Bulk Crushers]]=0,1,0)</f>
        <v>1</v>
      </c>
      <c r="R181" s="5">
        <f>IFERROR(INDEX(FWD[],MATCH($B181,FWD[DEVELOPMENT],0),MATCH("ESTIMATE",FWD[#Headers],0)),0)</f>
        <v>0</v>
      </c>
      <c r="S181" s="5">
        <f>IFERROR(INDEX(EHD[],MATCH($B181,EHD[DEVELOPMENT],0),MATCH("ESTIMATE",EHD[#Headers],0)),0)</f>
        <v>22306.930500000002</v>
      </c>
      <c r="T181" s="5">
        <f ca="1">IFERROR(INDEX(IntComp[],MATCH($B181,IntComp[DEVELOPMENT],0),MATCH("ESTIMATE",IntComp[#Headers],0)),0)</f>
        <v>220960.18349999996</v>
      </c>
      <c r="U181" s="5">
        <f>IFERROR(INDEX(Yards[],MATCH($B181,Yards[DEVELOPMENT],0),MATCH("ESTIMATE",Yards[#Headers],0)),0)</f>
        <v>1159792.78</v>
      </c>
      <c r="V181" s="128">
        <f ca="1">SUM(R181:U181)</f>
        <v>1403059.8939999999</v>
      </c>
      <c r="W181" s="5"/>
    </row>
    <row r="182" spans="1:23" x14ac:dyDescent="0.25">
      <c r="A182" s="131">
        <f>VLOOKUP(B182,Data[],24,FALSE)</f>
        <v>191</v>
      </c>
      <c r="B182" t="s">
        <v>274</v>
      </c>
      <c r="C182" t="str">
        <f>VLOOKUP(B182,Data[],2,FALSE)</f>
        <v>BRONX</v>
      </c>
      <c r="D182" t="str">
        <f>VLOOKUP(all[[#This Row],[DEVELOPMENT]],Data[],3,FALSE)</f>
        <v>EASTCHESTER GARDENS</v>
      </c>
      <c r="E182">
        <f>VLOOKUP(B182,Data[],8,FALSE)</f>
        <v>0</v>
      </c>
      <c r="F182">
        <f>VLOOKUP(B182,Data[],9,FALSE)</f>
        <v>0</v>
      </c>
      <c r="G182">
        <f>IFERROR(VLOOKUP(B182,Data[],4,FALSE),"")</f>
        <v>2026</v>
      </c>
      <c r="H182" t="str">
        <f ca="1">IF(G182="","",IF((G182-YEAR(TODAY()))&lt;=5,"Yes",""))</f>
        <v/>
      </c>
      <c r="I182">
        <f>VLOOKUP(all[[#This Row],[DEVELOPMENT]],Data[],7,FALSE)</f>
        <v>177</v>
      </c>
      <c r="J182">
        <f>VLOOKUP(all[[#This Row],[DEVELOPMENT]],Data[],25,FALSE)</f>
        <v>0</v>
      </c>
      <c r="K182">
        <f>VLOOKUP(all[[#This Row],[DEVELOPMENT]],Data[],5,FALSE)</f>
        <v>1</v>
      </c>
      <c r="L182">
        <f>VLOOKUP(all[[#This Row],[DEVELOPMENT]],Data[],27,FALSE)</f>
        <v>1</v>
      </c>
      <c r="M182">
        <f>VLOOKUP(all[[#This Row],[DEVELOPMENT]],Data[],31,FALSE)</f>
        <v>1</v>
      </c>
      <c r="N182">
        <f>VLOOKUP(all[[#This Row],[DEVELOPMENT]],Data[],26,FALSE)</f>
        <v>0</v>
      </c>
      <c r="O182">
        <f>VLOOKUP(all[[#This Row],[DEVELOPMENT]],Data[],30,FALSE)</f>
        <v>0</v>
      </c>
      <c r="P182">
        <f>VLOOKUP(all[[#This Row],[DEVELOPMENT]],Data[],28,FALSE)</f>
        <v>0</v>
      </c>
      <c r="Q182">
        <f>IF(all[[#This Row],['# Bulk Crushers]]=0,1,0)</f>
        <v>1</v>
      </c>
      <c r="R182" s="5">
        <f>IFERROR(INDEX(FWD[],MATCH($B182,FWD[DEVELOPMENT],0),MATCH("ESTIMATE",FWD[#Headers],0)),0)</f>
        <v>0</v>
      </c>
      <c r="S182" s="5">
        <f>IFERROR(INDEX(EHD[],MATCH($B182,EHD[DEVELOPMENT],0),MATCH("ESTIMATE",EHD[#Headers],0)),0)</f>
        <v>0</v>
      </c>
      <c r="T182" s="5">
        <f ca="1">IFERROR(INDEX(IntComp[],MATCH($B182,IntComp[DEVELOPMENT],0),MATCH("ESTIMATE",IntComp[#Headers],0)),0)</f>
        <v>73653.394499999995</v>
      </c>
      <c r="U182" s="5">
        <f>IFERROR(INDEX(Yards[],MATCH($B182,Yards[DEVELOPMENT],0),MATCH("ESTIMATE",Yards[#Headers],0)),0)</f>
        <v>1159792.78</v>
      </c>
      <c r="V182" s="128">
        <f ca="1">SUM(R182:U182)</f>
        <v>1233446.1745</v>
      </c>
      <c r="W182" s="5"/>
    </row>
    <row r="183" spans="1:23" x14ac:dyDescent="0.25">
      <c r="A183" s="131">
        <f>VLOOKUP(B183,Data[],24,FALSE)</f>
        <v>84</v>
      </c>
      <c r="B183" t="s">
        <v>275</v>
      </c>
      <c r="C183" t="str">
        <f>VLOOKUP(B183,Data[],2,FALSE)</f>
        <v>BRONX</v>
      </c>
      <c r="D183" t="str">
        <f>VLOOKUP(all[[#This Row],[DEVELOPMENT]],Data[],3,FALSE)</f>
        <v>MILL BROOK</v>
      </c>
      <c r="E183">
        <f>VLOOKUP(B183,Data[],8,FALSE)</f>
        <v>0</v>
      </c>
      <c r="F183">
        <f>VLOOKUP(B183,Data[],9,FALSE)</f>
        <v>0</v>
      </c>
      <c r="G183" t="str">
        <f>IFERROR(VLOOKUP(B183,Data[],4,FALSE),"")</f>
        <v/>
      </c>
      <c r="H183" t="str">
        <f ca="1">IF(G183="","",IF((G183-YEAR(TODAY()))&lt;=5,"Yes",""))</f>
        <v/>
      </c>
      <c r="I183">
        <f>VLOOKUP(all[[#This Row],[DEVELOPMENT]],Data[],7,FALSE)</f>
        <v>1251</v>
      </c>
      <c r="J183">
        <f>VLOOKUP(all[[#This Row],[DEVELOPMENT]],Data[],25,FALSE)</f>
        <v>0</v>
      </c>
      <c r="K183">
        <f>VLOOKUP(all[[#This Row],[DEVELOPMENT]],Data[],5,FALSE)</f>
        <v>9</v>
      </c>
      <c r="L183">
        <f>VLOOKUP(all[[#This Row],[DEVELOPMENT]],Data[],27,FALSE)</f>
        <v>9</v>
      </c>
      <c r="M183">
        <f>VLOOKUP(all[[#This Row],[DEVELOPMENT]],Data[],31,FALSE)</f>
        <v>9</v>
      </c>
      <c r="N183">
        <f>VLOOKUP(all[[#This Row],[DEVELOPMENT]],Data[],26,FALSE)</f>
        <v>3</v>
      </c>
      <c r="O183">
        <f>VLOOKUP(all[[#This Row],[DEVELOPMENT]],Data[],30,FALSE)</f>
        <v>3</v>
      </c>
      <c r="P183">
        <f>VLOOKUP(all[[#This Row],[DEVELOPMENT]],Data[],28,FALSE)</f>
        <v>0</v>
      </c>
      <c r="Q183">
        <f>IF(all[[#This Row],['# Bulk Crushers]]=0,1,0)</f>
        <v>1</v>
      </c>
      <c r="R183" s="5">
        <f>IFERROR(INDEX(FWD[],MATCH($B183,FWD[DEVELOPMENT],0),MATCH("ESTIMATE",FWD[#Headers],0)),0)</f>
        <v>0</v>
      </c>
      <c r="S183" s="5">
        <f>IFERROR(INDEX(EHD[],MATCH($B183,EHD[DEVELOPMENT],0),MATCH("ESTIMATE",EHD[#Headers],0)),0)</f>
        <v>66920.791500000007</v>
      </c>
      <c r="T183" s="5">
        <f ca="1">IFERROR(INDEX(IntComp[],MATCH($B183,IntComp[DEVELOPMENT],0),MATCH("ESTIMATE",IntComp[#Headers],0)),0)</f>
        <v>662880.5504999999</v>
      </c>
      <c r="U183" s="5">
        <f ca="1">IFERROR(INDEX(Yards[],MATCH($B183,Yards[DEVELOPMENT],0),MATCH("ESTIMATE",Yards[#Headers],0)),0)</f>
        <v>2022307.2600000005</v>
      </c>
      <c r="V183" s="128">
        <f ca="1">SUM(R183:U183)</f>
        <v>2752108.6020000004</v>
      </c>
      <c r="W183" s="5"/>
    </row>
    <row r="184" spans="1:23" x14ac:dyDescent="0.25">
      <c r="A184" s="131">
        <f>VLOOKUP(B184,Data[],24,FALSE)</f>
        <v>132</v>
      </c>
      <c r="B184" t="s">
        <v>276</v>
      </c>
      <c r="C184" t="str">
        <f>VLOOKUP(B184,Data[],2,FALSE)</f>
        <v>BRONX</v>
      </c>
      <c r="D184" t="str">
        <f>VLOOKUP(all[[#This Row],[DEVELOPMENT]],Data[],3,FALSE)</f>
        <v>MILL BROOK</v>
      </c>
      <c r="E184">
        <f>VLOOKUP(B184,Data[],8,FALSE)</f>
        <v>0</v>
      </c>
      <c r="F184">
        <f>VLOOKUP(B184,Data[],9,FALSE)</f>
        <v>0</v>
      </c>
      <c r="G184" t="str">
        <f>IFERROR(VLOOKUP(B184,Data[],4,FALSE),"")</f>
        <v/>
      </c>
      <c r="H184" t="str">
        <f ca="1">IF(G184="","",IF((G184-YEAR(TODAY()))&lt;=5,"Yes",""))</f>
        <v/>
      </c>
      <c r="I184">
        <f>VLOOKUP(all[[#This Row],[DEVELOPMENT]],Data[],7,FALSE)</f>
        <v>125</v>
      </c>
      <c r="J184">
        <f>VLOOKUP(all[[#This Row],[DEVELOPMENT]],Data[],25,FALSE)</f>
        <v>0</v>
      </c>
      <c r="K184">
        <f>VLOOKUP(all[[#This Row],[DEVELOPMENT]],Data[],5,FALSE)</f>
        <v>1</v>
      </c>
      <c r="L184">
        <f>VLOOKUP(all[[#This Row],[DEVELOPMENT]],Data[],27,FALSE)</f>
        <v>1</v>
      </c>
      <c r="M184">
        <f>VLOOKUP(all[[#This Row],[DEVELOPMENT]],Data[],31,FALSE)</f>
        <v>1</v>
      </c>
      <c r="N184">
        <f>VLOOKUP(all[[#This Row],[DEVELOPMENT]],Data[],26,FALSE)</f>
        <v>0</v>
      </c>
      <c r="O184">
        <f>VLOOKUP(all[[#This Row],[DEVELOPMENT]],Data[],30,FALSE)</f>
        <v>0</v>
      </c>
      <c r="P184">
        <f>VLOOKUP(all[[#This Row],[DEVELOPMENT]],Data[],28,FALSE)</f>
        <v>0</v>
      </c>
      <c r="Q184">
        <f>IF(all[[#This Row],['# Bulk Crushers]]=0,1,0)</f>
        <v>1</v>
      </c>
      <c r="R184" s="5">
        <f>IFERROR(INDEX(FWD[],MATCH($B184,FWD[DEVELOPMENT],0),MATCH("ESTIMATE",FWD[#Headers],0)),0)</f>
        <v>0</v>
      </c>
      <c r="S184" s="5">
        <f>IFERROR(INDEX(EHD[],MATCH($B184,EHD[DEVELOPMENT],0),MATCH("ESTIMATE",EHD[#Headers],0)),0)</f>
        <v>7435.6435000000001</v>
      </c>
      <c r="T184" s="5">
        <f ca="1">IFERROR(INDEX(IntComp[],MATCH($B184,IntComp[DEVELOPMENT],0),MATCH("ESTIMATE",IntComp[#Headers],0)),0)</f>
        <v>73653.394499999995</v>
      </c>
      <c r="U184" s="5">
        <f>IFERROR(INDEX(Yards[],MATCH($B184,Yards[DEVELOPMENT],0),MATCH("ESTIMATE",Yards[#Headers],0)),0)</f>
        <v>1159792.78</v>
      </c>
      <c r="V184" s="128">
        <f ca="1">SUM(R184:U184)</f>
        <v>1240881.818</v>
      </c>
      <c r="W184" s="5"/>
    </row>
    <row r="185" spans="1:23" x14ac:dyDescent="0.25">
      <c r="A185" s="131">
        <f>VLOOKUP(B185,Data[],24,FALSE)</f>
        <v>145</v>
      </c>
      <c r="B185" t="s">
        <v>277</v>
      </c>
      <c r="C185" t="str">
        <f>VLOOKUP(B185,Data[],2,FALSE)</f>
        <v>BRONX</v>
      </c>
      <c r="D185" t="str">
        <f>VLOOKUP(all[[#This Row],[DEVELOPMENT]],Data[],3,FALSE)</f>
        <v>MITCHEL</v>
      </c>
      <c r="E185">
        <f>VLOOKUP(B185,Data[],8,FALSE)</f>
        <v>0</v>
      </c>
      <c r="F185">
        <f>VLOOKUP(B185,Data[],9,FALSE)</f>
        <v>0</v>
      </c>
      <c r="G185" t="str">
        <f>IFERROR(VLOOKUP(B185,Data[],4,FALSE),"")</f>
        <v/>
      </c>
      <c r="H185" t="str">
        <f ca="1">IF(G185="","",IF((G185-YEAR(TODAY()))&lt;=5,"Yes",""))</f>
        <v/>
      </c>
      <c r="I185">
        <f>VLOOKUP(all[[#This Row],[DEVELOPMENT]],Data[],7,FALSE)</f>
        <v>1732</v>
      </c>
      <c r="J185">
        <f>VLOOKUP(all[[#This Row],[DEVELOPMENT]],Data[],25,FALSE)</f>
        <v>0</v>
      </c>
      <c r="K185">
        <f>VLOOKUP(all[[#This Row],[DEVELOPMENT]],Data[],5,FALSE)</f>
        <v>10</v>
      </c>
      <c r="L185">
        <f>VLOOKUP(all[[#This Row],[DEVELOPMENT]],Data[],27,FALSE)</f>
        <v>20</v>
      </c>
      <c r="M185">
        <f>VLOOKUP(all[[#This Row],[DEVELOPMENT]],Data[],31,FALSE)</f>
        <v>20</v>
      </c>
      <c r="N185">
        <f>VLOOKUP(all[[#This Row],[DEVELOPMENT]],Data[],26,FALSE)</f>
        <v>4</v>
      </c>
      <c r="O185">
        <f>VLOOKUP(all[[#This Row],[DEVELOPMENT]],Data[],30,FALSE)</f>
        <v>4</v>
      </c>
      <c r="P185">
        <f>VLOOKUP(all[[#This Row],[DEVELOPMENT]],Data[],28,FALSE)</f>
        <v>0</v>
      </c>
      <c r="Q185">
        <f>IF(all[[#This Row],['# Bulk Crushers]]=0,1,0)</f>
        <v>1</v>
      </c>
      <c r="R185" s="5">
        <f>IFERROR(INDEX(FWD[],MATCH($B185,FWD[DEVELOPMENT],0),MATCH("ESTIMATE",FWD[#Headers],0)),0)</f>
        <v>0</v>
      </c>
      <c r="S185" s="5">
        <f>IFERROR(INDEX(EHD[],MATCH($B185,EHD[DEVELOPMENT],0),MATCH("ESTIMATE",EHD[#Headers],0)),0)</f>
        <v>148712.87</v>
      </c>
      <c r="T185" s="5">
        <f ca="1">IFERROR(INDEX(IntComp[],MATCH($B185,IntComp[DEVELOPMENT],0),MATCH("ESTIMATE",IntComp[#Headers],0)),0)</f>
        <v>1473067.89</v>
      </c>
      <c r="U185" s="5">
        <f ca="1">IFERROR(INDEX(Yards[],MATCH($B185,Yards[DEVELOPMENT],0),MATCH("ESTIMATE",Yards[#Headers],0)),0)</f>
        <v>2453564.4999999995</v>
      </c>
      <c r="V185" s="128">
        <f ca="1">SUM(R185:U185)</f>
        <v>4075345.2599999993</v>
      </c>
      <c r="W185" s="5"/>
    </row>
    <row r="186" spans="1:23" x14ac:dyDescent="0.25">
      <c r="A186" s="131">
        <f>VLOOKUP(B186,Data[],24,FALSE)</f>
        <v>88</v>
      </c>
      <c r="B186" t="s">
        <v>114</v>
      </c>
      <c r="C186" t="str">
        <f>VLOOKUP(B186,Data[],2,FALSE)</f>
        <v>BRONX</v>
      </c>
      <c r="D186" t="str">
        <f>VLOOKUP(all[[#This Row],[DEVELOPMENT]],Data[],3,FALSE)</f>
        <v>MONROE</v>
      </c>
      <c r="E186" t="str">
        <f>VLOOKUP(B186,Data[],8,FALSE)</f>
        <v>Zone 3</v>
      </c>
      <c r="F186" t="str">
        <f>VLOOKUP(B186,Data[],9,FALSE)</f>
        <v>$</v>
      </c>
      <c r="G186" t="str">
        <f>IFERROR(VLOOKUP(B186,Data[],4,FALSE),"")</f>
        <v/>
      </c>
      <c r="H186" t="str">
        <f ca="1">IF(G186="","",IF((G186-YEAR(TODAY()))&lt;=5,"Yes",""))</f>
        <v/>
      </c>
      <c r="I186">
        <f>VLOOKUP(all[[#This Row],[DEVELOPMENT]],Data[],7,FALSE)</f>
        <v>1100</v>
      </c>
      <c r="J186">
        <f>VLOOKUP(all[[#This Row],[DEVELOPMENT]],Data[],25,FALSE)</f>
        <v>0</v>
      </c>
      <c r="K186">
        <f>VLOOKUP(all[[#This Row],[DEVELOPMENT]],Data[],5,FALSE)</f>
        <v>12</v>
      </c>
      <c r="L186">
        <f>VLOOKUP(all[[#This Row],[DEVELOPMENT]],Data[],27,FALSE)</f>
        <v>18</v>
      </c>
      <c r="M186">
        <f>VLOOKUP(all[[#This Row],[DEVELOPMENT]],Data[],31,FALSE)</f>
        <v>18</v>
      </c>
      <c r="N186">
        <f>VLOOKUP(all[[#This Row],[DEVELOPMENT]],Data[],26,FALSE)</f>
        <v>2</v>
      </c>
      <c r="O186">
        <f>VLOOKUP(all[[#This Row],[DEVELOPMENT]],Data[],30,FALSE)</f>
        <v>2</v>
      </c>
      <c r="P186">
        <f>VLOOKUP(all[[#This Row],[DEVELOPMENT]],Data[],28,FALSE)</f>
        <v>0</v>
      </c>
      <c r="Q186">
        <f>IF(all[[#This Row],['# Bulk Crushers]]=0,1,0)</f>
        <v>1</v>
      </c>
      <c r="R186" s="5">
        <f>IFERROR(INDEX(FWD[],MATCH($B186,FWD[DEVELOPMENT],0),MATCH("ESTIMATE",FWD[#Headers],0)),0)</f>
        <v>0</v>
      </c>
      <c r="S186" s="5">
        <f>IFERROR(INDEX(EHD[],MATCH($B186,EHD[DEVELOPMENT],0),MATCH("ESTIMATE",EHD[#Headers],0)),0)</f>
        <v>133841.58300000001</v>
      </c>
      <c r="T186" s="5">
        <f ca="1">IFERROR(INDEX(IntComp[],MATCH($B186,IntComp[DEVELOPMENT],0),MATCH("ESTIMATE",IntComp[#Headers],0)),0)</f>
        <v>1325761.1009999998</v>
      </c>
      <c r="U186" s="5">
        <f ca="1">IFERROR(INDEX(Yards[],MATCH($B186,Yards[DEVELOPMENT],0),MATCH("ESTIMATE",Yards[#Headers],0)),0)</f>
        <v>1591050.0199999998</v>
      </c>
      <c r="V186" s="128">
        <f ca="1">SUM(R186:U186)</f>
        <v>3050652.7039999999</v>
      </c>
      <c r="W186" s="5"/>
    </row>
    <row r="187" spans="1:23" x14ac:dyDescent="0.25">
      <c r="A187" s="131">
        <f>VLOOKUP(B187,Data[],24,FALSE)</f>
        <v>129</v>
      </c>
      <c r="B187" t="s">
        <v>91</v>
      </c>
      <c r="C187" t="str">
        <f>VLOOKUP(B187,Data[],2,FALSE)</f>
        <v>BRONX</v>
      </c>
      <c r="D187" t="str">
        <f>VLOOKUP(all[[#This Row],[DEVELOPMENT]],Data[],3,FALSE)</f>
        <v>SAINT MARY'S PARK</v>
      </c>
      <c r="E187" t="str">
        <f>VLOOKUP(B187,Data[],8,FALSE)</f>
        <v>Zone 3</v>
      </c>
      <c r="F187" t="str">
        <f>VLOOKUP(B187,Data[],9,FALSE)</f>
        <v>$$</v>
      </c>
      <c r="G187" t="str">
        <f>IFERROR(VLOOKUP(B187,Data[],4,FALSE),"")</f>
        <v/>
      </c>
      <c r="H187" t="str">
        <f ca="1">IF(G187="","",IF((G187-YEAR(TODAY()))&lt;=5,"Yes",""))</f>
        <v/>
      </c>
      <c r="I187">
        <f>VLOOKUP(all[[#This Row],[DEVELOPMENT]],Data[],7,FALSE)</f>
        <v>463</v>
      </c>
      <c r="J187">
        <f>VLOOKUP(all[[#This Row],[DEVELOPMENT]],Data[],25,FALSE)</f>
        <v>0</v>
      </c>
      <c r="K187">
        <f>VLOOKUP(all[[#This Row],[DEVELOPMENT]],Data[],5,FALSE)</f>
        <v>2</v>
      </c>
      <c r="L187">
        <f>VLOOKUP(all[[#This Row],[DEVELOPMENT]],Data[],27,FALSE)</f>
        <v>4</v>
      </c>
      <c r="M187">
        <f>VLOOKUP(all[[#This Row],[DEVELOPMENT]],Data[],31,FALSE)</f>
        <v>4</v>
      </c>
      <c r="N187">
        <f>VLOOKUP(all[[#This Row],[DEVELOPMENT]],Data[],26,FALSE)</f>
        <v>1</v>
      </c>
      <c r="O187">
        <f>VLOOKUP(all[[#This Row],[DEVELOPMENT]],Data[],30,FALSE)</f>
        <v>1</v>
      </c>
      <c r="P187">
        <f>VLOOKUP(all[[#This Row],[DEVELOPMENT]],Data[],28,FALSE)</f>
        <v>0</v>
      </c>
      <c r="Q187">
        <f>IF(all[[#This Row],['# Bulk Crushers]]=0,1,0)</f>
        <v>1</v>
      </c>
      <c r="R187" s="5">
        <f>IFERROR(INDEX(FWD[],MATCH($B187,FWD[DEVELOPMENT],0),MATCH("ESTIMATE",FWD[#Headers],0)),0)</f>
        <v>0</v>
      </c>
      <c r="S187" s="5">
        <f>IFERROR(INDEX(EHD[],MATCH($B187,EHD[DEVELOPMENT],0),MATCH("ESTIMATE",EHD[#Headers],0)),0)</f>
        <v>29742.574000000001</v>
      </c>
      <c r="T187" s="5">
        <f ca="1">IFERROR(INDEX(IntComp[],MATCH($B187,IntComp[DEVELOPMENT],0),MATCH("ESTIMATE",IntComp[#Headers],0)),0)</f>
        <v>294613.57799999998</v>
      </c>
      <c r="U187" s="5">
        <f ca="1">IFERROR(INDEX(Yards[],MATCH($B187,Yards[DEVELOPMENT],0),MATCH("ESTIMATE",Yards[#Headers],0)),0)</f>
        <v>1159792.78</v>
      </c>
      <c r="V187" s="128">
        <f ca="1">SUM(R187:U187)</f>
        <v>1484148.932</v>
      </c>
      <c r="W187" s="5"/>
    </row>
    <row r="188" spans="1:23" x14ac:dyDescent="0.25">
      <c r="A188" s="131">
        <f>VLOOKUP(B188,Data[],24,FALSE)</f>
        <v>102</v>
      </c>
      <c r="B188" t="s">
        <v>40</v>
      </c>
      <c r="C188" t="str">
        <f>VLOOKUP(B188,Data[],2,FALSE)</f>
        <v>BRONX</v>
      </c>
      <c r="D188" t="str">
        <f>VLOOKUP(all[[#This Row],[DEVELOPMENT]],Data[],3,FALSE)</f>
        <v>MORRIS</v>
      </c>
      <c r="E188" t="str">
        <f>VLOOKUP(B188,Data[],8,FALSE)</f>
        <v>Zone 1</v>
      </c>
      <c r="F188" t="str">
        <f>VLOOKUP(B188,Data[],9,FALSE)</f>
        <v>$$</v>
      </c>
      <c r="G188" t="str">
        <f>IFERROR(VLOOKUP(B188,Data[],4,FALSE),"")</f>
        <v/>
      </c>
      <c r="H188" t="str">
        <f ca="1">IF(G188="","",IF((G188-YEAR(TODAY()))&lt;=5,"Yes",""))</f>
        <v/>
      </c>
      <c r="I188">
        <f>VLOOKUP(all[[#This Row],[DEVELOPMENT]],Data[],7,FALSE)</f>
        <v>1083</v>
      </c>
      <c r="J188">
        <f>VLOOKUP(all[[#This Row],[DEVELOPMENT]],Data[],25,FALSE)</f>
        <v>0</v>
      </c>
      <c r="K188">
        <f>VLOOKUP(all[[#This Row],[DEVELOPMENT]],Data[],5,FALSE)</f>
        <v>10</v>
      </c>
      <c r="L188">
        <f>VLOOKUP(all[[#This Row],[DEVELOPMENT]],Data[],27,FALSE)</f>
        <v>10</v>
      </c>
      <c r="M188">
        <f>VLOOKUP(all[[#This Row],[DEVELOPMENT]],Data[],31,FALSE)</f>
        <v>10</v>
      </c>
      <c r="N188">
        <f>VLOOKUP(all[[#This Row],[DEVELOPMENT]],Data[],26,FALSE)</f>
        <v>3</v>
      </c>
      <c r="O188">
        <f>VLOOKUP(all[[#This Row],[DEVELOPMENT]],Data[],30,FALSE)</f>
        <v>3</v>
      </c>
      <c r="P188">
        <f>VLOOKUP(all[[#This Row],[DEVELOPMENT]],Data[],28,FALSE)</f>
        <v>0</v>
      </c>
      <c r="Q188">
        <f>IF(all[[#This Row],['# Bulk Crushers]]=0,1,0)</f>
        <v>1</v>
      </c>
      <c r="R188" s="5">
        <f>IFERROR(INDEX(FWD[],MATCH($B188,FWD[DEVELOPMENT],0),MATCH("ESTIMATE",FWD[#Headers],0)),0)</f>
        <v>0</v>
      </c>
      <c r="S188" s="5">
        <f>IFERROR(INDEX(EHD[],MATCH($B188,EHD[DEVELOPMENT],0),MATCH("ESTIMATE",EHD[#Headers],0)),0)</f>
        <v>0</v>
      </c>
      <c r="T188" s="5">
        <f ca="1">IFERROR(INDEX(IntComp[],MATCH($B188,IntComp[DEVELOPMENT],0),MATCH("ESTIMATE",IntComp[#Headers],0)),0)</f>
        <v>736533.94499999995</v>
      </c>
      <c r="U188" s="5">
        <f ca="1">IFERROR(INDEX(Yards[],MATCH($B188,Yards[DEVELOPMENT],0),MATCH("ESTIMATE",Yards[#Headers],0)),0)</f>
        <v>2022307.2600000005</v>
      </c>
      <c r="V188" s="128">
        <f ca="1">SUM(R188:U188)</f>
        <v>2758841.2050000005</v>
      </c>
      <c r="W188" s="5"/>
    </row>
    <row r="189" spans="1:23" x14ac:dyDescent="0.25">
      <c r="A189" s="131">
        <f>VLOOKUP(B189,Data[],24,FALSE)</f>
        <v>502</v>
      </c>
      <c r="B189" t="s">
        <v>140</v>
      </c>
      <c r="C189" t="str">
        <f>VLOOKUP(B189,Data[],2,FALSE)</f>
        <v>BRONX</v>
      </c>
      <c r="D189" t="str">
        <f>VLOOKUP(all[[#This Row],[DEVELOPMENT]],Data[],3,FALSE)</f>
        <v>MORRIS</v>
      </c>
      <c r="E189" t="str">
        <f>VLOOKUP(B189,Data[],8,FALSE)</f>
        <v>Zone 1</v>
      </c>
      <c r="F189" t="str">
        <f>VLOOKUP(B189,Data[],9,FALSE)</f>
        <v>$$$</v>
      </c>
      <c r="G189" t="str">
        <f>IFERROR(VLOOKUP(B189,Data[],4,FALSE),"")</f>
        <v/>
      </c>
      <c r="H189" t="str">
        <f ca="1">IF(G189="","",IF((G189-YEAR(TODAY()))&lt;=5,"Yes",""))</f>
        <v/>
      </c>
      <c r="I189">
        <f>VLOOKUP(all[[#This Row],[DEVELOPMENT]],Data[],7,FALSE)</f>
        <v>802</v>
      </c>
      <c r="J189">
        <f>VLOOKUP(all[[#This Row],[DEVELOPMENT]],Data[],25,FALSE)</f>
        <v>0</v>
      </c>
      <c r="K189">
        <f>VLOOKUP(all[[#This Row],[DEVELOPMENT]],Data[],5,FALSE)</f>
        <v>7</v>
      </c>
      <c r="L189">
        <f>VLOOKUP(all[[#This Row],[DEVELOPMENT]],Data[],27,FALSE)</f>
        <v>7</v>
      </c>
      <c r="M189">
        <f>VLOOKUP(all[[#This Row],[DEVELOPMENT]],Data[],31,FALSE)</f>
        <v>7</v>
      </c>
      <c r="N189">
        <f>VLOOKUP(all[[#This Row],[DEVELOPMENT]],Data[],26,FALSE)</f>
        <v>2</v>
      </c>
      <c r="O189">
        <f>VLOOKUP(all[[#This Row],[DEVELOPMENT]],Data[],30,FALSE)</f>
        <v>2</v>
      </c>
      <c r="P189">
        <f>VLOOKUP(all[[#This Row],[DEVELOPMENT]],Data[],28,FALSE)</f>
        <v>0</v>
      </c>
      <c r="Q189">
        <f>IF(all[[#This Row],['# Bulk Crushers]]=0,1,0)</f>
        <v>1</v>
      </c>
      <c r="R189" s="5">
        <f>IFERROR(INDEX(FWD[],MATCH($B189,FWD[DEVELOPMENT],0),MATCH("ESTIMATE",FWD[#Headers],0)),0)</f>
        <v>0</v>
      </c>
      <c r="S189" s="5">
        <f>IFERROR(INDEX(EHD[],MATCH($B189,EHD[DEVELOPMENT],0),MATCH("ESTIMATE",EHD[#Headers],0)),0)</f>
        <v>52049.504500000003</v>
      </c>
      <c r="T189" s="5">
        <f ca="1">IFERROR(INDEX(IntComp[],MATCH($B189,IntComp[DEVELOPMENT],0),MATCH("ESTIMATE",IntComp[#Headers],0)),0)</f>
        <v>515573.76149999991</v>
      </c>
      <c r="U189" s="5">
        <f ca="1">IFERROR(INDEX(Yards[],MATCH($B189,Yards[DEVELOPMENT],0),MATCH("ESTIMATE",Yards[#Headers],0)),0)</f>
        <v>1591050.0199999998</v>
      </c>
      <c r="V189" s="128">
        <f ca="1">SUM(R189:U189)</f>
        <v>2158673.2859999998</v>
      </c>
      <c r="W189" s="5"/>
    </row>
    <row r="190" spans="1:23" x14ac:dyDescent="0.25">
      <c r="A190" s="131">
        <f>VLOOKUP(B190,Data[],24,FALSE)</f>
        <v>277</v>
      </c>
      <c r="B190" t="s">
        <v>92</v>
      </c>
      <c r="C190" t="str">
        <f>VLOOKUP(B190,Data[],2,FALSE)</f>
        <v>MANHATTAN</v>
      </c>
      <c r="D190" t="str">
        <f>VLOOKUP(all[[#This Row],[DEVELOPMENT]],Data[],3,FALSE)</f>
        <v>ROBINSON</v>
      </c>
      <c r="E190" t="str">
        <f>VLOOKUP(B190,Data[],8,FALSE)</f>
        <v>Zone 2</v>
      </c>
      <c r="F190" t="str">
        <f>VLOOKUP(B190,Data[],9,FALSE)</f>
        <v>$$$$</v>
      </c>
      <c r="G190" t="str">
        <f>IFERROR(VLOOKUP(B190,Data[],4,FALSE),"")</f>
        <v/>
      </c>
      <c r="H190" t="str">
        <f ca="1">IF(G190="","",IF((G190-YEAR(TODAY()))&lt;=5,"Yes",""))</f>
        <v/>
      </c>
      <c r="I190">
        <f>VLOOKUP(all[[#This Row],[DEVELOPMENT]],Data[],7,FALSE)</f>
        <v>97</v>
      </c>
      <c r="J190">
        <f>VLOOKUP(all[[#This Row],[DEVELOPMENT]],Data[],25,FALSE)</f>
        <v>0</v>
      </c>
      <c r="K190">
        <f>VLOOKUP(all[[#This Row],[DEVELOPMENT]],Data[],5,FALSE)</f>
        <v>1</v>
      </c>
      <c r="L190">
        <f>VLOOKUP(all[[#This Row],[DEVELOPMENT]],Data[],27,FALSE)</f>
        <v>1</v>
      </c>
      <c r="M190">
        <f>VLOOKUP(all[[#This Row],[DEVELOPMENT]],Data[],31,FALSE)</f>
        <v>1</v>
      </c>
      <c r="N190">
        <f>VLOOKUP(all[[#This Row],[DEVELOPMENT]],Data[],26,FALSE)</f>
        <v>0</v>
      </c>
      <c r="O190">
        <f>VLOOKUP(all[[#This Row],[DEVELOPMENT]],Data[],30,FALSE)</f>
        <v>0</v>
      </c>
      <c r="P190">
        <f>VLOOKUP(all[[#This Row],[DEVELOPMENT]],Data[],28,FALSE)</f>
        <v>0</v>
      </c>
      <c r="Q190">
        <f>IF(all[[#This Row],['# Bulk Crushers]]=0,1,0)</f>
        <v>1</v>
      </c>
      <c r="R190" s="5">
        <f>IFERROR(INDEX(FWD[],MATCH($B190,FWD[DEVELOPMENT],0),MATCH("ESTIMATE",FWD[#Headers],0)),0)</f>
        <v>0</v>
      </c>
      <c r="S190" s="5">
        <f>IFERROR(INDEX(EHD[],MATCH($B190,EHD[DEVELOPMENT],0),MATCH("ESTIMATE",EHD[#Headers],0)),0)</f>
        <v>7435.6435000000001</v>
      </c>
      <c r="T190" s="5">
        <f ca="1">IFERROR(INDEX(IntComp[],MATCH($B190,IntComp[DEVELOPMENT],0),MATCH("ESTIMATE",IntComp[#Headers],0)),0)</f>
        <v>73653.394499999995</v>
      </c>
      <c r="U190" s="5">
        <f>IFERROR(INDEX(Yards[],MATCH($B190,Yards[DEVELOPMENT],0),MATCH("ESTIMATE",Yards[#Headers],0)),0)</f>
        <v>1159792.78</v>
      </c>
      <c r="V190" s="128">
        <f ca="1">SUM(R190:U190)</f>
        <v>1240881.818</v>
      </c>
      <c r="W190" s="5"/>
    </row>
    <row r="191" spans="1:23" x14ac:dyDescent="0.25">
      <c r="A191" s="131">
        <f>VLOOKUP(B191,Data[],24,FALSE)</f>
        <v>130</v>
      </c>
      <c r="B191" t="s">
        <v>147</v>
      </c>
      <c r="C191" t="str">
        <f>VLOOKUP(B191,Data[],2,FALSE)</f>
        <v>BRONX</v>
      </c>
      <c r="D191" t="str">
        <f>VLOOKUP(all[[#This Row],[DEVELOPMENT]],Data[],3,FALSE)</f>
        <v>WEBSTER</v>
      </c>
      <c r="E191" t="str">
        <f>VLOOKUP(B191,Data[],8,FALSE)</f>
        <v>Zone 1</v>
      </c>
      <c r="F191" t="str">
        <f>VLOOKUP(B191,Data[],9,FALSE)</f>
        <v>$$$$</v>
      </c>
      <c r="G191" t="str">
        <f>IFERROR(VLOOKUP(B191,Data[],4,FALSE),"")</f>
        <v/>
      </c>
      <c r="H191" t="str">
        <f ca="1">IF(G191="","",IF((G191-YEAR(TODAY()))&lt;=5,"Yes",""))</f>
        <v/>
      </c>
      <c r="I191">
        <f>VLOOKUP(all[[#This Row],[DEVELOPMENT]],Data[],7,FALSE)</f>
        <v>206</v>
      </c>
      <c r="J191">
        <f>VLOOKUP(all[[#This Row],[DEVELOPMENT]],Data[],25,FALSE)</f>
        <v>0</v>
      </c>
      <c r="K191">
        <f>VLOOKUP(all[[#This Row],[DEVELOPMENT]],Data[],5,FALSE)</f>
        <v>2</v>
      </c>
      <c r="L191">
        <f>VLOOKUP(all[[#This Row],[DEVELOPMENT]],Data[],27,FALSE)</f>
        <v>2</v>
      </c>
      <c r="M191">
        <f>VLOOKUP(all[[#This Row],[DEVELOPMENT]],Data[],31,FALSE)</f>
        <v>2</v>
      </c>
      <c r="N191">
        <f>VLOOKUP(all[[#This Row],[DEVELOPMENT]],Data[],26,FALSE)</f>
        <v>0</v>
      </c>
      <c r="O191">
        <f>VLOOKUP(all[[#This Row],[DEVELOPMENT]],Data[],30,FALSE)</f>
        <v>0</v>
      </c>
      <c r="P191">
        <f>VLOOKUP(all[[#This Row],[DEVELOPMENT]],Data[],28,FALSE)</f>
        <v>0</v>
      </c>
      <c r="Q191">
        <f>IF(all[[#This Row],['# Bulk Crushers]]=0,1,0)</f>
        <v>1</v>
      </c>
      <c r="R191" s="5">
        <f>IFERROR(INDEX(FWD[],MATCH($B191,FWD[DEVELOPMENT],0),MATCH("ESTIMATE",FWD[#Headers],0)),0)</f>
        <v>354059.60516322521</v>
      </c>
      <c r="S191" s="5">
        <f>IFERROR(INDEX(EHD[],MATCH($B191,EHD[DEVELOPMENT],0),MATCH("ESTIMATE",EHD[#Headers],0)),0)</f>
        <v>14871.287</v>
      </c>
      <c r="T191" s="5">
        <f ca="1">IFERROR(INDEX(IntComp[],MATCH($B191,IntComp[DEVELOPMENT],0),MATCH("ESTIMATE",IntComp[#Headers],0)),0)</f>
        <v>147306.78899999999</v>
      </c>
      <c r="U191" s="5">
        <f>IFERROR(INDEX(Yards[],MATCH($B191,Yards[DEVELOPMENT],0),MATCH("ESTIMATE",Yards[#Headers],0)),0)</f>
        <v>1159792.78</v>
      </c>
      <c r="V191" s="128">
        <f ca="1">SUM(R191:U191)</f>
        <v>1676030.4611632251</v>
      </c>
      <c r="W191" s="5"/>
    </row>
    <row r="192" spans="1:23" x14ac:dyDescent="0.25">
      <c r="A192" s="131">
        <f>VLOOKUP(B192,Data[],24,FALSE)</f>
        <v>267</v>
      </c>
      <c r="B192" t="s">
        <v>41</v>
      </c>
      <c r="C192" t="str">
        <f>VLOOKUP(B192,Data[],2,FALSE)</f>
        <v>BRONX</v>
      </c>
      <c r="D192" t="str">
        <f>VLOOKUP(all[[#This Row],[DEVELOPMENT]],Data[],3,FALSE)</f>
        <v>MORRISANIA AIR RIGHTS</v>
      </c>
      <c r="E192" t="str">
        <f>VLOOKUP(B192,Data[],8,FALSE)</f>
        <v>Zone 1</v>
      </c>
      <c r="F192" t="str">
        <f>VLOOKUP(B192,Data[],9,FALSE)</f>
        <v>$</v>
      </c>
      <c r="G192" t="str">
        <f>IFERROR(VLOOKUP(B192,Data[],4,FALSE),"")</f>
        <v/>
      </c>
      <c r="H192" t="str">
        <f ca="1">IF(G192="","",IF((G192-YEAR(TODAY()))&lt;=5,"Yes",""))</f>
        <v/>
      </c>
      <c r="I192">
        <f>VLOOKUP(all[[#This Row],[DEVELOPMENT]],Data[],7,FALSE)</f>
        <v>841</v>
      </c>
      <c r="J192">
        <f>VLOOKUP(all[[#This Row],[DEVELOPMENT]],Data[],25,FALSE)</f>
        <v>0</v>
      </c>
      <c r="K192">
        <f>VLOOKUP(all[[#This Row],[DEVELOPMENT]],Data[],5,FALSE)</f>
        <v>3</v>
      </c>
      <c r="L192">
        <f>VLOOKUP(all[[#This Row],[DEVELOPMENT]],Data[],27,FALSE)</f>
        <v>5</v>
      </c>
      <c r="M192">
        <f>VLOOKUP(all[[#This Row],[DEVELOPMENT]],Data[],31,FALSE)</f>
        <v>5</v>
      </c>
      <c r="N192">
        <f>VLOOKUP(all[[#This Row],[DEVELOPMENT]],Data[],26,FALSE)</f>
        <v>0</v>
      </c>
      <c r="O192">
        <f>VLOOKUP(all[[#This Row],[DEVELOPMENT]],Data[],30,FALSE)</f>
        <v>0</v>
      </c>
      <c r="P192">
        <f>VLOOKUP(all[[#This Row],[DEVELOPMENT]],Data[],28,FALSE)</f>
        <v>0</v>
      </c>
      <c r="Q192">
        <f>IF(all[[#This Row],['# Bulk Crushers]]=0,1,0)</f>
        <v>1</v>
      </c>
      <c r="R192" s="5">
        <f>IFERROR(INDEX(FWD[],MATCH($B192,FWD[DEVELOPMENT],0),MATCH("ESTIMATE",FWD[#Headers],0)),0)</f>
        <v>0</v>
      </c>
      <c r="S192" s="5">
        <f>IFERROR(INDEX(EHD[],MATCH($B192,EHD[DEVELOPMENT],0),MATCH("ESTIMATE",EHD[#Headers],0)),0)</f>
        <v>0</v>
      </c>
      <c r="T192" s="5">
        <f ca="1">IFERROR(INDEX(IntComp[],MATCH($B192,IntComp[DEVELOPMENT],0),MATCH("ESTIMATE",IntComp[#Headers],0)),0)</f>
        <v>368266.97249999997</v>
      </c>
      <c r="U192" s="5">
        <f>IFERROR(INDEX(Yards[],MATCH($B192,Yards[DEVELOPMENT],0),MATCH("ESTIMATE",Yards[#Headers],0)),0)</f>
        <v>1159792.78</v>
      </c>
      <c r="V192" s="128">
        <f ca="1">SUM(R192:U192)</f>
        <v>1528059.7524999999</v>
      </c>
      <c r="W192" s="5"/>
    </row>
    <row r="193" spans="1:23" x14ac:dyDescent="0.25">
      <c r="A193" s="131">
        <f>VLOOKUP(B193,Data[],24,FALSE)</f>
        <v>121</v>
      </c>
      <c r="B193" t="s">
        <v>278</v>
      </c>
      <c r="C193" t="str">
        <f>VLOOKUP(B193,Data[],2,FALSE)</f>
        <v>BRONX</v>
      </c>
      <c r="D193" t="str">
        <f>VLOOKUP(all[[#This Row],[DEVELOPMENT]],Data[],3,FALSE)</f>
        <v>MOTT HAVEN</v>
      </c>
      <c r="E193">
        <f>VLOOKUP(B193,Data[],8,FALSE)</f>
        <v>0</v>
      </c>
      <c r="F193">
        <f>VLOOKUP(B193,Data[],9,FALSE)</f>
        <v>0</v>
      </c>
      <c r="G193" t="str">
        <f>IFERROR(VLOOKUP(B193,Data[],4,FALSE),"")</f>
        <v/>
      </c>
      <c r="H193" t="str">
        <f ca="1">IF(G193="","",IF((G193-YEAR(TODAY()))&lt;=5,"Yes",""))</f>
        <v/>
      </c>
      <c r="I193">
        <f>VLOOKUP(all[[#This Row],[DEVELOPMENT]],Data[],7,FALSE)</f>
        <v>992</v>
      </c>
      <c r="J193">
        <f>VLOOKUP(all[[#This Row],[DEVELOPMENT]],Data[],25,FALSE)</f>
        <v>0</v>
      </c>
      <c r="K193">
        <f>VLOOKUP(all[[#This Row],[DEVELOPMENT]],Data[],5,FALSE)</f>
        <v>8</v>
      </c>
      <c r="L193">
        <f>VLOOKUP(all[[#This Row],[DEVELOPMENT]],Data[],27,FALSE)</f>
        <v>8</v>
      </c>
      <c r="M193">
        <f>VLOOKUP(all[[#This Row],[DEVELOPMENT]],Data[],31,FALSE)</f>
        <v>8</v>
      </c>
      <c r="N193">
        <f>VLOOKUP(all[[#This Row],[DEVELOPMENT]],Data[],26,FALSE)</f>
        <v>2</v>
      </c>
      <c r="O193">
        <f>VLOOKUP(all[[#This Row],[DEVELOPMENT]],Data[],30,FALSE)</f>
        <v>2</v>
      </c>
      <c r="P193">
        <f>VLOOKUP(all[[#This Row],[DEVELOPMENT]],Data[],28,FALSE)</f>
        <v>0</v>
      </c>
      <c r="Q193">
        <f>IF(all[[#This Row],['# Bulk Crushers]]=0,1,0)</f>
        <v>1</v>
      </c>
      <c r="R193" s="5">
        <f>IFERROR(INDEX(FWD[],MATCH($B193,FWD[DEVELOPMENT],0),MATCH("ESTIMATE",FWD[#Headers],0)),0)</f>
        <v>0</v>
      </c>
      <c r="S193" s="5">
        <f>IFERROR(INDEX(EHD[],MATCH($B193,EHD[DEVELOPMENT],0),MATCH("ESTIMATE",EHD[#Headers],0)),0)</f>
        <v>59485.148000000001</v>
      </c>
      <c r="T193" s="5">
        <f ca="1">IFERROR(INDEX(IntComp[],MATCH($B193,IntComp[DEVELOPMENT],0),MATCH("ESTIMATE",IntComp[#Headers],0)),0)</f>
        <v>589227.15599999996</v>
      </c>
      <c r="U193" s="5">
        <f ca="1">IFERROR(INDEX(Yards[],MATCH($B193,Yards[DEVELOPMENT],0),MATCH("ESTIMATE",Yards[#Headers],0)),0)</f>
        <v>1591050.0199999998</v>
      </c>
      <c r="V193" s="128">
        <f ca="1">SUM(R193:U193)</f>
        <v>2239762.324</v>
      </c>
      <c r="W193" s="5"/>
    </row>
    <row r="194" spans="1:23" x14ac:dyDescent="0.25">
      <c r="A194" s="131">
        <f>VLOOKUP(B194,Data[],24,FALSE)</f>
        <v>314</v>
      </c>
      <c r="B194" t="s">
        <v>279</v>
      </c>
      <c r="C194" t="str">
        <f>VLOOKUP(B194,Data[],2,FALSE)</f>
        <v>STATEN ISLAND</v>
      </c>
      <c r="D194" t="str">
        <f>VLOOKUP(all[[#This Row],[DEVELOPMENT]],Data[],3,FALSE)</f>
        <v>SOUTH BEACH</v>
      </c>
      <c r="E194">
        <f>VLOOKUP(B194,Data[],8,FALSE)</f>
        <v>0</v>
      </c>
      <c r="F194">
        <f>VLOOKUP(B194,Data[],9,FALSE)</f>
        <v>0</v>
      </c>
      <c r="G194" t="str">
        <f>IFERROR(VLOOKUP(B194,Data[],4,FALSE),"")</f>
        <v/>
      </c>
      <c r="H194" t="str">
        <f ca="1">IF(G194="","",IF((G194-YEAR(TODAY()))&lt;=5,"Yes",""))</f>
        <v/>
      </c>
      <c r="I194">
        <f>VLOOKUP(all[[#This Row],[DEVELOPMENT]],Data[],7,FALSE)</f>
        <v>276</v>
      </c>
      <c r="J194">
        <f>VLOOKUP(all[[#This Row],[DEVELOPMENT]],Data[],25,FALSE)</f>
        <v>0</v>
      </c>
      <c r="K194">
        <f>VLOOKUP(all[[#This Row],[DEVELOPMENT]],Data[],5,FALSE)</f>
        <v>1</v>
      </c>
      <c r="L194">
        <f>VLOOKUP(all[[#This Row],[DEVELOPMENT]],Data[],27,FALSE)</f>
        <v>2</v>
      </c>
      <c r="M194">
        <f>VLOOKUP(all[[#This Row],[DEVELOPMENT]],Data[],31,FALSE)</f>
        <v>2</v>
      </c>
      <c r="N194">
        <f>VLOOKUP(all[[#This Row],[DEVELOPMENT]],Data[],26,FALSE)</f>
        <v>0</v>
      </c>
      <c r="O194">
        <f>VLOOKUP(all[[#This Row],[DEVELOPMENT]],Data[],30,FALSE)</f>
        <v>0</v>
      </c>
      <c r="P194">
        <f>VLOOKUP(all[[#This Row],[DEVELOPMENT]],Data[],28,FALSE)</f>
        <v>0</v>
      </c>
      <c r="Q194">
        <f>IF(all[[#This Row],['# Bulk Crushers]]=0,1,0)</f>
        <v>1</v>
      </c>
      <c r="R194" s="5">
        <f>IFERROR(INDEX(FWD[],MATCH($B194,FWD[DEVELOPMENT],0),MATCH("ESTIMATE",FWD[#Headers],0)),0)</f>
        <v>0</v>
      </c>
      <c r="S194" s="5">
        <f>IFERROR(INDEX(EHD[],MATCH($B194,EHD[DEVELOPMENT],0),MATCH("ESTIMATE",EHD[#Headers],0)),0)</f>
        <v>0</v>
      </c>
      <c r="T194" s="5">
        <f ca="1">IFERROR(INDEX(IntComp[],MATCH($B194,IntComp[DEVELOPMENT],0),MATCH("ESTIMATE",IntComp[#Headers],0)),0)</f>
        <v>147306.78899999999</v>
      </c>
      <c r="U194" s="5">
        <f>IFERROR(INDEX(Yards[],MATCH($B194,Yards[DEVELOPMENT],0),MATCH("ESTIMATE",Yards[#Headers],0)),0)</f>
        <v>1159792.78</v>
      </c>
      <c r="V194" s="128">
        <f ca="1">SUM(R194:U194)</f>
        <v>1307099.5690000001</v>
      </c>
      <c r="W194" s="5"/>
    </row>
    <row r="195" spans="1:23" x14ac:dyDescent="0.25">
      <c r="A195" s="131">
        <f>VLOOKUP(B195,Data[],24,FALSE)</f>
        <v>43</v>
      </c>
      <c r="B195" t="s">
        <v>280</v>
      </c>
      <c r="C195" t="str">
        <f>VLOOKUP(B195,Data[],2,FALSE)</f>
        <v>BROOKLYN</v>
      </c>
      <c r="D195" t="str">
        <f>VLOOKUP(all[[#This Row],[DEVELOPMENT]],Data[],3,FALSE)</f>
        <v>SHEEPSHEAD BAY</v>
      </c>
      <c r="E195">
        <f>VLOOKUP(B195,Data[],8,FALSE)</f>
        <v>0</v>
      </c>
      <c r="F195">
        <f>VLOOKUP(B195,Data[],9,FALSE)</f>
        <v>0</v>
      </c>
      <c r="G195">
        <f>IFERROR(VLOOKUP(B195,Data[],4,FALSE),"")</f>
        <v>2028</v>
      </c>
      <c r="H195" t="str">
        <f ca="1">IF(G195="","",IF((G195-YEAR(TODAY()))&lt;=5,"Yes",""))</f>
        <v/>
      </c>
      <c r="I195">
        <f>VLOOKUP(all[[#This Row],[DEVELOPMENT]],Data[],7,FALSE)</f>
        <v>1146</v>
      </c>
      <c r="J195">
        <f>VLOOKUP(all[[#This Row],[DEVELOPMENT]],Data[],25,FALSE)</f>
        <v>0</v>
      </c>
      <c r="K195">
        <f>VLOOKUP(all[[#This Row],[DEVELOPMENT]],Data[],5,FALSE)</f>
        <v>16</v>
      </c>
      <c r="L195">
        <f>VLOOKUP(all[[#This Row],[DEVELOPMENT]],Data[],27,FALSE)</f>
        <v>32</v>
      </c>
      <c r="M195">
        <f>VLOOKUP(all[[#This Row],[DEVELOPMENT]],Data[],31,FALSE)</f>
        <v>32</v>
      </c>
      <c r="N195">
        <f>VLOOKUP(all[[#This Row],[DEVELOPMENT]],Data[],26,FALSE)</f>
        <v>0</v>
      </c>
      <c r="O195">
        <f>VLOOKUP(all[[#This Row],[DEVELOPMENT]],Data[],30,FALSE)</f>
        <v>0</v>
      </c>
      <c r="P195">
        <f>VLOOKUP(all[[#This Row],[DEVELOPMENT]],Data[],28,FALSE)</f>
        <v>0</v>
      </c>
      <c r="Q195">
        <f>IF(all[[#This Row],['# Bulk Crushers]]=0,1,0)</f>
        <v>1</v>
      </c>
      <c r="R195" s="5">
        <f>IFERROR(INDEX(FWD[],MATCH($B195,FWD[DEVELOPMENT],0),MATCH("ESTIMATE",FWD[#Headers],0)),0)</f>
        <v>0</v>
      </c>
      <c r="S195" s="5">
        <f>IFERROR(INDEX(EHD[],MATCH($B195,EHD[DEVELOPMENT],0),MATCH("ESTIMATE",EHD[#Headers],0)),0)</f>
        <v>237940.592</v>
      </c>
      <c r="T195" s="5">
        <f ca="1">IFERROR(INDEX(IntComp[],MATCH($B195,IntComp[DEVELOPMENT],0),MATCH("ESTIMATE",IntComp[#Headers],0)),0)</f>
        <v>2356908.6239999998</v>
      </c>
      <c r="U195" s="5">
        <f>IFERROR(INDEX(Yards[],MATCH($B195,Yards[DEVELOPMENT],0),MATCH("ESTIMATE",Yards[#Headers],0)),0)</f>
        <v>1159792.78</v>
      </c>
      <c r="V195" s="128">
        <f ca="1">SUM(R195:U195)</f>
        <v>3754641.9960000003</v>
      </c>
      <c r="W195" s="5"/>
    </row>
    <row r="196" spans="1:23" x14ac:dyDescent="0.25">
      <c r="A196" s="131">
        <f>VLOOKUP(B196,Data[],24,FALSE)</f>
        <v>51</v>
      </c>
      <c r="B196" t="s">
        <v>281</v>
      </c>
      <c r="C196" t="str">
        <f>VLOOKUP(B196,Data[],2,FALSE)</f>
        <v>QUEENS</v>
      </c>
      <c r="D196" t="str">
        <f>VLOOKUP(all[[#This Row],[DEVELOPMENT]],Data[],3,FALSE)</f>
        <v>BEACH 41ST STREET-BEACH CHANNEL DRIVE</v>
      </c>
      <c r="E196">
        <f>VLOOKUP(B196,Data[],8,FALSE)</f>
        <v>0</v>
      </c>
      <c r="F196">
        <f>VLOOKUP(B196,Data[],9,FALSE)</f>
        <v>0</v>
      </c>
      <c r="G196" t="str">
        <f>IFERROR(VLOOKUP(B196,Data[],4,FALSE),"")</f>
        <v/>
      </c>
      <c r="H196" t="str">
        <f ca="1">IF(G196="","",IF((G196-YEAR(TODAY()))&lt;=5,"Yes",""))</f>
        <v/>
      </c>
      <c r="I196">
        <f>VLOOKUP(all[[#This Row],[DEVELOPMENT]],Data[],7,FALSE)</f>
        <v>417</v>
      </c>
      <c r="J196">
        <f>VLOOKUP(all[[#This Row],[DEVELOPMENT]],Data[],25,FALSE)</f>
        <v>0</v>
      </c>
      <c r="K196">
        <f>VLOOKUP(all[[#This Row],[DEVELOPMENT]],Data[],5,FALSE)</f>
        <v>7</v>
      </c>
      <c r="L196">
        <f>VLOOKUP(all[[#This Row],[DEVELOPMENT]],Data[],27,FALSE)</f>
        <v>13</v>
      </c>
      <c r="M196">
        <f>VLOOKUP(all[[#This Row],[DEVELOPMENT]],Data[],31,FALSE)</f>
        <v>13</v>
      </c>
      <c r="N196">
        <f>VLOOKUP(all[[#This Row],[DEVELOPMENT]],Data[],26,FALSE)</f>
        <v>0</v>
      </c>
      <c r="O196">
        <f>VLOOKUP(all[[#This Row],[DEVELOPMENT]],Data[],30,FALSE)</f>
        <v>0</v>
      </c>
      <c r="P196">
        <f>VLOOKUP(all[[#This Row],[DEVELOPMENT]],Data[],28,FALSE)</f>
        <v>0</v>
      </c>
      <c r="Q196">
        <f>IF(all[[#This Row],['# Bulk Crushers]]=0,1,0)</f>
        <v>1</v>
      </c>
      <c r="R196" s="5">
        <f>IFERROR(INDEX(FWD[],MATCH($B196,FWD[DEVELOPMENT],0),MATCH("ESTIMATE",FWD[#Headers],0)),0)</f>
        <v>0</v>
      </c>
      <c r="S196" s="5">
        <f>IFERROR(INDEX(EHD[],MATCH($B196,EHD[DEVELOPMENT],0),MATCH("ESTIMATE",EHD[#Headers],0)),0)</f>
        <v>96663.3655</v>
      </c>
      <c r="T196" s="5">
        <f ca="1">IFERROR(INDEX(IntComp[],MATCH($B196,IntComp[DEVELOPMENT],0),MATCH("ESTIMATE",IntComp[#Headers],0)),0)</f>
        <v>957494.12849999988</v>
      </c>
      <c r="U196" s="5">
        <f>IFERROR(INDEX(Yards[],MATCH($B196,Yards[DEVELOPMENT],0),MATCH("ESTIMATE",Yards[#Headers],0)),0)</f>
        <v>1159792.78</v>
      </c>
      <c r="V196" s="128">
        <f ca="1">SUM(R196:U196)</f>
        <v>2213950.2740000002</v>
      </c>
      <c r="W196" s="5"/>
    </row>
    <row r="197" spans="1:23" x14ac:dyDescent="0.25">
      <c r="A197" s="131">
        <f>VLOOKUP(B197,Data[],24,FALSE)</f>
        <v>162</v>
      </c>
      <c r="B197" t="s">
        <v>282</v>
      </c>
      <c r="C197" t="str">
        <f>VLOOKUP(B197,Data[],2,FALSE)</f>
        <v>BROOKLYN</v>
      </c>
      <c r="D197" t="str">
        <f>VLOOKUP(all[[#This Row],[DEVELOPMENT]],Data[],3,FALSE)</f>
        <v>OCEAN HILL APARTMENTS</v>
      </c>
      <c r="E197">
        <f>VLOOKUP(B197,Data[],8,FALSE)</f>
        <v>0</v>
      </c>
      <c r="F197">
        <f>VLOOKUP(B197,Data[],9,FALSE)</f>
        <v>0</v>
      </c>
      <c r="G197" t="str">
        <f>IFERROR(VLOOKUP(B197,Data[],4,FALSE),"")</f>
        <v/>
      </c>
      <c r="H197" t="str">
        <f ca="1">IF(G197="","",IF((G197-YEAR(TODAY()))&lt;=5,"Yes",""))</f>
        <v/>
      </c>
      <c r="I197">
        <f>VLOOKUP(all[[#This Row],[DEVELOPMENT]],Data[],7,FALSE)</f>
        <v>238</v>
      </c>
      <c r="J197" t="str">
        <f>VLOOKUP(all[[#This Row],[DEVELOPMENT]],Data[],25,FALSE)</f>
        <v>Yes</v>
      </c>
      <c r="K197">
        <f>VLOOKUP(all[[#This Row],[DEVELOPMENT]],Data[],5,FALSE)</f>
        <v>3</v>
      </c>
      <c r="L197">
        <f>VLOOKUP(all[[#This Row],[DEVELOPMENT]],Data[],27,FALSE)</f>
        <v>3</v>
      </c>
      <c r="M197">
        <f>VLOOKUP(all[[#This Row],[DEVELOPMENT]],Data[],31,FALSE)</f>
        <v>3</v>
      </c>
      <c r="N197">
        <f>VLOOKUP(all[[#This Row],[DEVELOPMENT]],Data[],26,FALSE)</f>
        <v>0</v>
      </c>
      <c r="O197">
        <f>VLOOKUP(all[[#This Row],[DEVELOPMENT]],Data[],30,FALSE)</f>
        <v>0</v>
      </c>
      <c r="P197">
        <f>VLOOKUP(all[[#This Row],[DEVELOPMENT]],Data[],28,FALSE)</f>
        <v>0</v>
      </c>
      <c r="Q197">
        <f>IF(all[[#This Row],['# Bulk Crushers]]=0,1,0)</f>
        <v>1</v>
      </c>
      <c r="R197" s="5">
        <f>IFERROR(INDEX(FWD[],MATCH($B197,FWD[DEVELOPMENT],0),MATCH("ESTIMATE",FWD[#Headers],0)),0)</f>
        <v>409059.15547984268</v>
      </c>
      <c r="S197" s="5">
        <f>IFERROR(INDEX(EHD[],MATCH($B197,EHD[DEVELOPMENT],0),MATCH("ESTIMATE",EHD[#Headers],0)),0)</f>
        <v>22306.930500000002</v>
      </c>
      <c r="T197" s="5">
        <f ca="1">IFERROR(INDEX(IntComp[],MATCH($B197,IntComp[DEVELOPMENT],0),MATCH("ESTIMATE",IntComp[#Headers],0)),0)</f>
        <v>220960.18349999996</v>
      </c>
      <c r="U197" s="5">
        <f>IFERROR(INDEX(Yards[],MATCH($B197,Yards[DEVELOPMENT],0),MATCH("ESTIMATE",Yards[#Headers],0)),0)</f>
        <v>1159792.78</v>
      </c>
      <c r="V197" s="128">
        <f ca="1">SUM(R197:U197)</f>
        <v>1812119.0494798427</v>
      </c>
      <c r="W197" s="5"/>
    </row>
    <row r="198" spans="1:23" x14ac:dyDescent="0.25">
      <c r="A198" s="131">
        <f>VLOOKUP(B198,Data[],24,FALSE)</f>
        <v>313</v>
      </c>
      <c r="B198" t="s">
        <v>283</v>
      </c>
      <c r="C198" t="str">
        <f>VLOOKUP(B198,Data[],2,FALSE)</f>
        <v>BROOKLYN</v>
      </c>
      <c r="D198" t="str">
        <f>VLOOKUP(all[[#This Row],[DEVELOPMENT]],Data[],3,FALSE)</f>
        <v>PARK ROCK CONSOLIDATED</v>
      </c>
      <c r="E198">
        <f>VLOOKUP(B198,Data[],8,FALSE)</f>
        <v>0</v>
      </c>
      <c r="F198">
        <f>VLOOKUP(B198,Data[],9,FALSE)</f>
        <v>0</v>
      </c>
      <c r="G198">
        <f>IFERROR(VLOOKUP(B198,Data[],4,FALSE),"")</f>
        <v>2025</v>
      </c>
      <c r="H198" t="str">
        <f ca="1">IF(G198="","",IF((G198-YEAR(TODAY()))&lt;=5,"Yes",""))</f>
        <v/>
      </c>
      <c r="I198">
        <f>VLOOKUP(all[[#This Row],[DEVELOPMENT]],Data[],7,FALSE)</f>
        <v>125</v>
      </c>
      <c r="J198" t="str">
        <f>VLOOKUP(all[[#This Row],[DEVELOPMENT]],Data[],25,FALSE)</f>
        <v>Yes</v>
      </c>
      <c r="K198">
        <f>VLOOKUP(all[[#This Row],[DEVELOPMENT]],Data[],5,FALSE)</f>
        <v>5</v>
      </c>
      <c r="L198">
        <f>VLOOKUP(all[[#This Row],[DEVELOPMENT]],Data[],27,FALSE)</f>
        <v>6</v>
      </c>
      <c r="M198">
        <f>VLOOKUP(all[[#This Row],[DEVELOPMENT]],Data[],31,FALSE)</f>
        <v>6</v>
      </c>
      <c r="N198">
        <f>VLOOKUP(all[[#This Row],[DEVELOPMENT]],Data[],26,FALSE)</f>
        <v>0</v>
      </c>
      <c r="O198">
        <f>VLOOKUP(all[[#This Row],[DEVELOPMENT]],Data[],30,FALSE)</f>
        <v>0</v>
      </c>
      <c r="P198">
        <f>VLOOKUP(all[[#This Row],[DEVELOPMENT]],Data[],28,FALSE)</f>
        <v>0</v>
      </c>
      <c r="Q198">
        <f>IF(all[[#This Row],['# Bulk Crushers]]=0,1,0)</f>
        <v>1</v>
      </c>
      <c r="R198" s="5">
        <f>IFERROR(INDEX(FWD[],MATCH($B198,FWD[DEVELOPMENT],0),MATCH("ESTIMATE",FWD[#Headers],0)),0)</f>
        <v>214841.99342428712</v>
      </c>
      <c r="S198" s="5">
        <f>IFERROR(INDEX(EHD[],MATCH($B198,EHD[DEVELOPMENT],0),MATCH("ESTIMATE",EHD[#Headers],0)),0)</f>
        <v>44613.861000000004</v>
      </c>
      <c r="T198" s="5">
        <f ca="1">IFERROR(INDEX(IntComp[],MATCH($B198,IntComp[DEVELOPMENT],0),MATCH("ESTIMATE",IntComp[#Headers],0)),0)</f>
        <v>0</v>
      </c>
      <c r="U198" s="5">
        <f>IFERROR(INDEX(Yards[],MATCH($B198,Yards[DEVELOPMENT],0),MATCH("ESTIMATE",Yards[#Headers],0)),0)</f>
        <v>0</v>
      </c>
      <c r="V198" s="128">
        <f ca="1">SUM(R198:U198)</f>
        <v>259455.85442428713</v>
      </c>
      <c r="W198" s="5"/>
    </row>
    <row r="199" spans="1:23" x14ac:dyDescent="0.25">
      <c r="A199" s="131">
        <f>VLOOKUP(B199,Data[],24,FALSE)</f>
        <v>172</v>
      </c>
      <c r="B199" t="s">
        <v>284</v>
      </c>
      <c r="C199" t="str">
        <f>VLOOKUP(B199,Data[],2,FALSE)</f>
        <v>BROOKLYN</v>
      </c>
      <c r="D199" t="str">
        <f>VLOOKUP(all[[#This Row],[DEVELOPMENT]],Data[],3,FALSE)</f>
        <v>O'DWYER GARDENS</v>
      </c>
      <c r="E199">
        <f>VLOOKUP(B199,Data[],8,FALSE)</f>
        <v>0</v>
      </c>
      <c r="F199">
        <f>VLOOKUP(B199,Data[],9,FALSE)</f>
        <v>0</v>
      </c>
      <c r="G199" t="str">
        <f>IFERROR(VLOOKUP(B199,Data[],4,FALSE),"")</f>
        <v/>
      </c>
      <c r="H199" t="str">
        <f ca="1">IF(G199="","",IF((G199-YEAR(TODAY()))&lt;=5,"Yes",""))</f>
        <v/>
      </c>
      <c r="I199">
        <f>VLOOKUP(all[[#This Row],[DEVELOPMENT]],Data[],7,FALSE)</f>
        <v>570</v>
      </c>
      <c r="J199">
        <f>VLOOKUP(all[[#This Row],[DEVELOPMENT]],Data[],25,FALSE)</f>
        <v>0</v>
      </c>
      <c r="K199">
        <f>VLOOKUP(all[[#This Row],[DEVELOPMENT]],Data[],5,FALSE)</f>
        <v>6</v>
      </c>
      <c r="L199">
        <f>VLOOKUP(all[[#This Row],[DEVELOPMENT]],Data[],27,FALSE)</f>
        <v>6</v>
      </c>
      <c r="M199">
        <f>VLOOKUP(all[[#This Row],[DEVELOPMENT]],Data[],31,FALSE)</f>
        <v>6</v>
      </c>
      <c r="N199">
        <f>VLOOKUP(all[[#This Row],[DEVELOPMENT]],Data[],26,FALSE)</f>
        <v>0</v>
      </c>
      <c r="O199">
        <f>VLOOKUP(all[[#This Row],[DEVELOPMENT]],Data[],30,FALSE)</f>
        <v>0</v>
      </c>
      <c r="P199">
        <f>VLOOKUP(all[[#This Row],[DEVELOPMENT]],Data[],28,FALSE)</f>
        <v>0</v>
      </c>
      <c r="Q199">
        <f>IF(all[[#This Row],['# Bulk Crushers]]=0,1,0)</f>
        <v>1</v>
      </c>
      <c r="R199" s="5">
        <f>IFERROR(INDEX(FWD[],MATCH($B199,FWD[DEVELOPMENT],0),MATCH("ESTIMATE",FWD[#Headers],0)),0)</f>
        <v>0</v>
      </c>
      <c r="S199" s="5">
        <f>IFERROR(INDEX(EHD[],MATCH($B199,EHD[DEVELOPMENT],0),MATCH("ESTIMATE",EHD[#Headers],0)),0)</f>
        <v>44613.861000000004</v>
      </c>
      <c r="T199" s="5">
        <f ca="1">IFERROR(INDEX(IntComp[],MATCH($B199,IntComp[DEVELOPMENT],0),MATCH("ESTIMATE",IntComp[#Headers],0)),0)</f>
        <v>441920.36699999991</v>
      </c>
      <c r="U199" s="5">
        <f>IFERROR(INDEX(Yards[],MATCH($B199,Yards[DEVELOPMENT],0),MATCH("ESTIMATE",Yards[#Headers],0)),0)</f>
        <v>1159792.78</v>
      </c>
      <c r="V199" s="128">
        <f ca="1">SUM(R199:U199)</f>
        <v>1646327.0079999999</v>
      </c>
      <c r="W199" s="5"/>
    </row>
    <row r="200" spans="1:23" x14ac:dyDescent="0.25">
      <c r="A200" s="131">
        <f>VLOOKUP(B200,Data[],24,FALSE)</f>
        <v>204</v>
      </c>
      <c r="B200" t="s">
        <v>93</v>
      </c>
      <c r="C200" t="str">
        <f>VLOOKUP(B200,Data[],2,FALSE)</f>
        <v>MANHATTAN</v>
      </c>
      <c r="D200" t="str">
        <f>VLOOKUP(all[[#This Row],[DEVELOPMENT]],Data[],3,FALSE)</f>
        <v>ROBINSON</v>
      </c>
      <c r="E200" t="str">
        <f>VLOOKUP(B200,Data[],8,FALSE)</f>
        <v>Zone 3</v>
      </c>
      <c r="F200" t="str">
        <f>VLOOKUP(B200,Data[],9,FALSE)</f>
        <v>$$</v>
      </c>
      <c r="G200">
        <f>IFERROR(VLOOKUP(B200,Data[],4,FALSE),"")</f>
        <v>2019</v>
      </c>
      <c r="H200" t="str">
        <f ca="1">IF(G200="","",IF((G200-YEAR(TODAY()))&lt;=5,"Yes",""))</f>
        <v>Yes</v>
      </c>
      <c r="I200">
        <f>VLOOKUP(all[[#This Row],[DEVELOPMENT]],Data[],7,FALSE)</f>
        <v>90</v>
      </c>
      <c r="J200">
        <f>VLOOKUP(all[[#This Row],[DEVELOPMENT]],Data[],25,FALSE)</f>
        <v>0</v>
      </c>
      <c r="K200">
        <f>VLOOKUP(all[[#This Row],[DEVELOPMENT]],Data[],5,FALSE)</f>
        <v>2</v>
      </c>
      <c r="L200">
        <f>VLOOKUP(all[[#This Row],[DEVELOPMENT]],Data[],27,FALSE)</f>
        <v>2</v>
      </c>
      <c r="M200">
        <f>VLOOKUP(all[[#This Row],[DEVELOPMENT]],Data[],31,FALSE)</f>
        <v>2</v>
      </c>
      <c r="N200">
        <f>VLOOKUP(all[[#This Row],[DEVELOPMENT]],Data[],26,FALSE)</f>
        <v>0</v>
      </c>
      <c r="O200">
        <f>VLOOKUP(all[[#This Row],[DEVELOPMENT]],Data[],30,FALSE)</f>
        <v>0</v>
      </c>
      <c r="P200">
        <f>VLOOKUP(all[[#This Row],[DEVELOPMENT]],Data[],28,FALSE)</f>
        <v>0</v>
      </c>
      <c r="Q200">
        <f>IF(all[[#This Row],['# Bulk Crushers]]=0,1,0)</f>
        <v>1</v>
      </c>
      <c r="R200" s="5">
        <f>IFERROR(INDEX(FWD[],MATCH($B200,FWD[DEVELOPMENT],0),MATCH("ESTIMATE",FWD[#Headers],0)),0)</f>
        <v>0</v>
      </c>
      <c r="S200" s="5">
        <f>IFERROR(INDEX(EHD[],MATCH($B200,EHD[DEVELOPMENT],0),MATCH("ESTIMATE",EHD[#Headers],0)),0)</f>
        <v>0</v>
      </c>
      <c r="T200" s="5">
        <f ca="1">IFERROR(INDEX(IntComp[],MATCH($B200,IntComp[DEVELOPMENT],0),MATCH("ESTIMATE",IntComp[#Headers],0)),0)</f>
        <v>0</v>
      </c>
      <c r="U200" s="5">
        <f>IFERROR(INDEX(Yards[],MATCH($B200,Yards[DEVELOPMENT],0),MATCH("ESTIMATE",Yards[#Headers],0)),0)</f>
        <v>0</v>
      </c>
      <c r="V200" s="128">
        <f ca="1">SUM(R200:U200)</f>
        <v>0</v>
      </c>
      <c r="W200" s="5"/>
    </row>
    <row r="201" spans="1:23" x14ac:dyDescent="0.25">
      <c r="A201" s="131">
        <f>VLOOKUP(B201,Data[],24,FALSE)</f>
        <v>351</v>
      </c>
      <c r="B201" t="s">
        <v>285</v>
      </c>
      <c r="C201" t="str">
        <f>VLOOKUP(B201,Data[],2,FALSE)</f>
        <v>BROOKLYN</v>
      </c>
      <c r="D201" t="str">
        <f>VLOOKUP(all[[#This Row],[DEVELOPMENT]],Data[],3,FALSE)</f>
        <v>PARK ROCK CONSOLIDATED</v>
      </c>
      <c r="E201">
        <f>VLOOKUP(B201,Data[],8,FALSE)</f>
        <v>0</v>
      </c>
      <c r="F201">
        <f>VLOOKUP(B201,Data[],9,FALSE)</f>
        <v>0</v>
      </c>
      <c r="G201">
        <f>IFERROR(VLOOKUP(B201,Data[],4,FALSE),"")</f>
        <v>2025</v>
      </c>
      <c r="H201" t="str">
        <f ca="1">IF(G201="","",IF((G201-YEAR(TODAY()))&lt;=5,"Yes",""))</f>
        <v/>
      </c>
      <c r="I201">
        <f>VLOOKUP(all[[#This Row],[DEVELOPMENT]],Data[],7,FALSE)</f>
        <v>134</v>
      </c>
      <c r="J201" t="str">
        <f>VLOOKUP(all[[#This Row],[DEVELOPMENT]],Data[],25,FALSE)</f>
        <v>Yes</v>
      </c>
      <c r="K201">
        <f>VLOOKUP(all[[#This Row],[DEVELOPMENT]],Data[],5,FALSE)</f>
        <v>9</v>
      </c>
      <c r="L201">
        <f>VLOOKUP(all[[#This Row],[DEVELOPMENT]],Data[],27,FALSE)</f>
        <v>6</v>
      </c>
      <c r="M201">
        <f>VLOOKUP(all[[#This Row],[DEVELOPMENT]],Data[],31,FALSE)</f>
        <v>6</v>
      </c>
      <c r="N201">
        <f>VLOOKUP(all[[#This Row],[DEVELOPMENT]],Data[],26,FALSE)</f>
        <v>0</v>
      </c>
      <c r="O201">
        <f>VLOOKUP(all[[#This Row],[DEVELOPMENT]],Data[],30,FALSE)</f>
        <v>0</v>
      </c>
      <c r="P201">
        <f>VLOOKUP(all[[#This Row],[DEVELOPMENT]],Data[],28,FALSE)</f>
        <v>0</v>
      </c>
      <c r="Q201">
        <f>IF(all[[#This Row],['# Bulk Crushers]]=0,1,0)</f>
        <v>1</v>
      </c>
      <c r="R201" s="5">
        <f>IFERROR(INDEX(FWD[],MATCH($B201,FWD[DEVELOPMENT],0),MATCH("ESTIMATE",FWD[#Headers],0)),0)</f>
        <v>230310.6169508358</v>
      </c>
      <c r="S201" s="5">
        <f>IFERROR(INDEX(EHD[],MATCH($B201,EHD[DEVELOPMENT],0),MATCH("ESTIMATE",EHD[#Headers],0)),0)</f>
        <v>44613.861000000004</v>
      </c>
      <c r="T201" s="5">
        <f ca="1">IFERROR(INDEX(IntComp[],MATCH($B201,IntComp[DEVELOPMENT],0),MATCH("ESTIMATE",IntComp[#Headers],0)),0)</f>
        <v>0</v>
      </c>
      <c r="U201" s="5">
        <f>IFERROR(INDEX(Yards[],MATCH($B201,Yards[DEVELOPMENT],0),MATCH("ESTIMATE",Yards[#Headers],0)),0)</f>
        <v>0</v>
      </c>
      <c r="V201" s="128">
        <f ca="1">SUM(R201:U201)</f>
        <v>274924.47795083583</v>
      </c>
      <c r="W201" s="5"/>
    </row>
    <row r="202" spans="1:23" x14ac:dyDescent="0.25">
      <c r="A202" s="131">
        <f>VLOOKUP(B202,Data[],24,FALSE)</f>
        <v>47</v>
      </c>
      <c r="B202" t="s">
        <v>286</v>
      </c>
      <c r="C202" t="str">
        <f>VLOOKUP(B202,Data[],2,FALSE)</f>
        <v>BRONX</v>
      </c>
      <c r="D202" t="str">
        <f>VLOOKUP(all[[#This Row],[DEVELOPMENT]],Data[],3,FALSE)</f>
        <v>PARKSIDE</v>
      </c>
      <c r="E202">
        <f>VLOOKUP(B202,Data[],8,FALSE)</f>
        <v>0</v>
      </c>
      <c r="F202">
        <f>VLOOKUP(B202,Data[],9,FALSE)</f>
        <v>0</v>
      </c>
      <c r="G202" t="str">
        <f>IFERROR(VLOOKUP(B202,Data[],4,FALSE),"")</f>
        <v/>
      </c>
      <c r="H202" t="str">
        <f ca="1">IF(G202="","",IF((G202-YEAR(TODAY()))&lt;=5,"Yes",""))</f>
        <v/>
      </c>
      <c r="I202">
        <f>VLOOKUP(all[[#This Row],[DEVELOPMENT]],Data[],7,FALSE)</f>
        <v>879</v>
      </c>
      <c r="J202">
        <f>VLOOKUP(all[[#This Row],[DEVELOPMENT]],Data[],25,FALSE)</f>
        <v>0</v>
      </c>
      <c r="K202">
        <f>VLOOKUP(all[[#This Row],[DEVELOPMENT]],Data[],5,FALSE)</f>
        <v>14</v>
      </c>
      <c r="L202">
        <f>VLOOKUP(all[[#This Row],[DEVELOPMENT]],Data[],27,FALSE)</f>
        <v>21</v>
      </c>
      <c r="M202">
        <f>VLOOKUP(all[[#This Row],[DEVELOPMENT]],Data[],31,FALSE)</f>
        <v>21</v>
      </c>
      <c r="N202">
        <f>VLOOKUP(all[[#This Row],[DEVELOPMENT]],Data[],26,FALSE)</f>
        <v>2</v>
      </c>
      <c r="O202">
        <f>VLOOKUP(all[[#This Row],[DEVELOPMENT]],Data[],30,FALSE)</f>
        <v>2</v>
      </c>
      <c r="P202">
        <f>VLOOKUP(all[[#This Row],[DEVELOPMENT]],Data[],28,FALSE)</f>
        <v>0</v>
      </c>
      <c r="Q202">
        <f>IF(all[[#This Row],['# Bulk Crushers]]=0,1,0)</f>
        <v>1</v>
      </c>
      <c r="R202" s="5">
        <f>IFERROR(INDEX(FWD[],MATCH($B202,FWD[DEVELOPMENT],0),MATCH("ESTIMATE",FWD[#Headers],0)),0)</f>
        <v>0</v>
      </c>
      <c r="S202" s="5">
        <f>IFERROR(INDEX(EHD[],MATCH($B202,EHD[DEVELOPMENT],0),MATCH("ESTIMATE",EHD[#Headers],0)),0)</f>
        <v>156148.5135</v>
      </c>
      <c r="T202" s="5">
        <f ca="1">IFERROR(INDEX(IntComp[],MATCH($B202,IntComp[DEVELOPMENT],0),MATCH("ESTIMATE",IntComp[#Headers],0)),0)</f>
        <v>1546721.2844999998</v>
      </c>
      <c r="U202" s="5">
        <f ca="1">IFERROR(INDEX(Yards[],MATCH($B202,Yards[DEVELOPMENT],0),MATCH("ESTIMATE",Yards[#Headers],0)),0)</f>
        <v>1591050.0199999998</v>
      </c>
      <c r="V202" s="128">
        <f ca="1">SUM(R202:U202)</f>
        <v>3293919.818</v>
      </c>
      <c r="W202" s="5"/>
    </row>
    <row r="203" spans="1:23" x14ac:dyDescent="0.25">
      <c r="A203" s="131">
        <f>VLOOKUP(B203,Data[],24,FALSE)</f>
        <v>24</v>
      </c>
      <c r="B203" t="s">
        <v>132</v>
      </c>
      <c r="C203" t="str">
        <f>VLOOKUP(B203,Data[],2,FALSE)</f>
        <v>BRONX</v>
      </c>
      <c r="D203" t="str">
        <f>VLOOKUP(all[[#This Row],[DEVELOPMENT]],Data[],3,FALSE)</f>
        <v>PATTERSON</v>
      </c>
      <c r="E203" t="str">
        <f>VLOOKUP(B203,Data[],8,FALSE)</f>
        <v>Zone 3</v>
      </c>
      <c r="F203" t="str">
        <f>VLOOKUP(B203,Data[],9,FALSE)</f>
        <v>$$</v>
      </c>
      <c r="G203">
        <f>IFERROR(VLOOKUP(B203,Data[],4,FALSE),"")</f>
        <v>2025</v>
      </c>
      <c r="H203" t="str">
        <f ca="1">IF(G203="","",IF((G203-YEAR(TODAY()))&lt;=5,"Yes",""))</f>
        <v/>
      </c>
      <c r="I203">
        <f>VLOOKUP(all[[#This Row],[DEVELOPMENT]],Data[],7,FALSE)</f>
        <v>1789</v>
      </c>
      <c r="J203">
        <f>VLOOKUP(all[[#This Row],[DEVELOPMENT]],Data[],25,FALSE)</f>
        <v>0</v>
      </c>
      <c r="K203">
        <f>VLOOKUP(all[[#This Row],[DEVELOPMENT]],Data[],5,FALSE)</f>
        <v>15</v>
      </c>
      <c r="L203">
        <f>VLOOKUP(all[[#This Row],[DEVELOPMENT]],Data[],27,FALSE)</f>
        <v>25</v>
      </c>
      <c r="M203">
        <f>VLOOKUP(all[[#This Row],[DEVELOPMENT]],Data[],31,FALSE)</f>
        <v>0</v>
      </c>
      <c r="N203">
        <f>VLOOKUP(all[[#This Row],[DEVELOPMENT]],Data[],26,FALSE)</f>
        <v>4</v>
      </c>
      <c r="O203">
        <f>VLOOKUP(all[[#This Row],[DEVELOPMENT]],Data[],30,FALSE)</f>
        <v>0</v>
      </c>
      <c r="P203">
        <f>VLOOKUP(all[[#This Row],[DEVELOPMENT]],Data[],28,FALSE)</f>
        <v>0</v>
      </c>
      <c r="Q203">
        <f>IF(all[[#This Row],['# Bulk Crushers]]=0,1,0)</f>
        <v>1</v>
      </c>
      <c r="R203" s="5">
        <f>IFERROR(INDEX(FWD[],MATCH($B203,FWD[DEVELOPMENT],0),MATCH("ESTIMATE",FWD[#Headers],0)),0)</f>
        <v>0</v>
      </c>
      <c r="S203" s="5">
        <f>IFERROR(INDEX(EHD[],MATCH($B203,EHD[DEVELOPMENT],0),MATCH("ESTIMATE",EHD[#Headers],0)),0)</f>
        <v>185891.08749999999</v>
      </c>
      <c r="T203" s="5">
        <f ca="1">IFERROR(INDEX(IntComp[],MATCH($B203,IntComp[DEVELOPMENT],0),MATCH("ESTIMATE",IntComp[#Headers],0)),0)</f>
        <v>0</v>
      </c>
      <c r="U203" s="5">
        <f>IFERROR(INDEX(Yards[],MATCH($B203,Yards[DEVELOPMENT],0),MATCH("ESTIMATE",Yards[#Headers],0)),0)</f>
        <v>0</v>
      </c>
      <c r="V203" s="128">
        <f ca="1">SUM(R203:U203)</f>
        <v>185891.08749999999</v>
      </c>
      <c r="W203" s="5"/>
    </row>
    <row r="204" spans="1:23" x14ac:dyDescent="0.25">
      <c r="A204" s="131">
        <f>VLOOKUP(B204,Data[],24,FALSE)</f>
        <v>39</v>
      </c>
      <c r="B204" t="s">
        <v>287</v>
      </c>
      <c r="C204" t="str">
        <f>VLOOKUP(B204,Data[],2,FALSE)</f>
        <v>BRONX</v>
      </c>
      <c r="D204" t="str">
        <f>VLOOKUP(all[[#This Row],[DEVELOPMENT]],Data[],3,FALSE)</f>
        <v>PELHAM PARKWAY</v>
      </c>
      <c r="E204">
        <f>VLOOKUP(B204,Data[],8,FALSE)</f>
        <v>0</v>
      </c>
      <c r="F204">
        <f>VLOOKUP(B204,Data[],9,FALSE)</f>
        <v>0</v>
      </c>
      <c r="G204">
        <f>IFERROR(VLOOKUP(B204,Data[],4,FALSE),"")</f>
        <v>2022</v>
      </c>
      <c r="H204" t="str">
        <f ca="1">IF(G204="","",IF((G204-YEAR(TODAY()))&lt;=5,"Yes",""))</f>
        <v>Yes</v>
      </c>
      <c r="I204">
        <f>VLOOKUP(all[[#This Row],[DEVELOPMENT]],Data[],7,FALSE)</f>
        <v>1265</v>
      </c>
      <c r="J204">
        <f>VLOOKUP(all[[#This Row],[DEVELOPMENT]],Data[],25,FALSE)</f>
        <v>0</v>
      </c>
      <c r="K204">
        <f>VLOOKUP(all[[#This Row],[DEVELOPMENT]],Data[],5,FALSE)</f>
        <v>23</v>
      </c>
      <c r="L204">
        <f>VLOOKUP(all[[#This Row],[DEVELOPMENT]],Data[],27,FALSE)</f>
        <v>38</v>
      </c>
      <c r="M204">
        <f>VLOOKUP(all[[#This Row],[DEVELOPMENT]],Data[],31,FALSE)</f>
        <v>38</v>
      </c>
      <c r="N204">
        <f>VLOOKUP(all[[#This Row],[DEVELOPMENT]],Data[],26,FALSE)</f>
        <v>3</v>
      </c>
      <c r="O204">
        <f>VLOOKUP(all[[#This Row],[DEVELOPMENT]],Data[],30,FALSE)</f>
        <v>3</v>
      </c>
      <c r="P204">
        <f>VLOOKUP(all[[#This Row],[DEVELOPMENT]],Data[],28,FALSE)</f>
        <v>0</v>
      </c>
      <c r="Q204">
        <f>IF(all[[#This Row],['# Bulk Crushers]]=0,1,0)</f>
        <v>1</v>
      </c>
      <c r="R204" s="5">
        <f>IFERROR(INDEX(FWD[],MATCH($B204,FWD[DEVELOPMENT],0),MATCH("ESTIMATE",FWD[#Headers],0)),0)</f>
        <v>0</v>
      </c>
      <c r="S204" s="5">
        <f>IFERROR(INDEX(EHD[],MATCH($B204,EHD[DEVELOPMENT],0),MATCH("ESTIMATE",EHD[#Headers],0)),0)</f>
        <v>282554.45299999998</v>
      </c>
      <c r="T204" s="5">
        <f ca="1">IFERROR(INDEX(IntComp[],MATCH($B204,IntComp[DEVELOPMENT],0),MATCH("ESTIMATE",IntComp[#Headers],0)),0)</f>
        <v>0</v>
      </c>
      <c r="U204" s="5">
        <f>IFERROR(INDEX(Yards[],MATCH($B204,Yards[DEVELOPMENT],0),MATCH("ESTIMATE",Yards[#Headers],0)),0)</f>
        <v>0</v>
      </c>
      <c r="V204" s="128">
        <f ca="1">SUM(R204:U204)</f>
        <v>282554.45299999998</v>
      </c>
      <c r="W204" s="5"/>
    </row>
    <row r="205" spans="1:23" x14ac:dyDescent="0.25">
      <c r="A205" s="131">
        <f>VLOOKUP(B205,Data[],24,FALSE)</f>
        <v>194</v>
      </c>
      <c r="B205" t="s">
        <v>288</v>
      </c>
      <c r="C205" t="str">
        <f>VLOOKUP(B205,Data[],2,FALSE)</f>
        <v>BROOKLYN</v>
      </c>
      <c r="D205" t="str">
        <f>VLOOKUP(all[[#This Row],[DEVELOPMENT]],Data[],3,FALSE)</f>
        <v>PENNSYLVANIA-WORTMAN</v>
      </c>
      <c r="E205">
        <f>VLOOKUP(B205,Data[],8,FALSE)</f>
        <v>0</v>
      </c>
      <c r="F205">
        <f>VLOOKUP(B205,Data[],9,FALSE)</f>
        <v>0</v>
      </c>
      <c r="G205" t="str">
        <f>IFERROR(VLOOKUP(B205,Data[],4,FALSE),"")</f>
        <v/>
      </c>
      <c r="H205" t="str">
        <f ca="1">IF(G205="","",IF((G205-YEAR(TODAY()))&lt;=5,"Yes",""))</f>
        <v/>
      </c>
      <c r="I205">
        <f>VLOOKUP(all[[#This Row],[DEVELOPMENT]],Data[],7,FALSE)</f>
        <v>336</v>
      </c>
      <c r="J205">
        <f>VLOOKUP(all[[#This Row],[DEVELOPMENT]],Data[],25,FALSE)</f>
        <v>0</v>
      </c>
      <c r="K205">
        <f>VLOOKUP(all[[#This Row],[DEVELOPMENT]],Data[],5,FALSE)</f>
        <v>3</v>
      </c>
      <c r="L205">
        <f>VLOOKUP(all[[#This Row],[DEVELOPMENT]],Data[],27,FALSE)</f>
        <v>3</v>
      </c>
      <c r="M205">
        <f>VLOOKUP(all[[#This Row],[DEVELOPMENT]],Data[],31,FALSE)</f>
        <v>3</v>
      </c>
      <c r="N205">
        <f>VLOOKUP(all[[#This Row],[DEVELOPMENT]],Data[],26,FALSE)</f>
        <v>0</v>
      </c>
      <c r="O205">
        <f>VLOOKUP(all[[#This Row],[DEVELOPMENT]],Data[],30,FALSE)</f>
        <v>0</v>
      </c>
      <c r="P205">
        <f>VLOOKUP(all[[#This Row],[DEVELOPMENT]],Data[],28,FALSE)</f>
        <v>0</v>
      </c>
      <c r="Q205">
        <f>IF(all[[#This Row],['# Bulk Crushers]]=0,1,0)</f>
        <v>1</v>
      </c>
      <c r="R205" s="5">
        <f>IFERROR(INDEX(FWD[],MATCH($B205,FWD[DEVELOPMENT],0),MATCH("ESTIMATE",FWD[#Headers],0)),0)</f>
        <v>0</v>
      </c>
      <c r="S205" s="5">
        <f>IFERROR(INDEX(EHD[],MATCH($B205,EHD[DEVELOPMENT],0),MATCH("ESTIMATE",EHD[#Headers],0)),0)</f>
        <v>22306.930500000002</v>
      </c>
      <c r="T205" s="5">
        <f ca="1">IFERROR(INDEX(IntComp[],MATCH($B205,IntComp[DEVELOPMENT],0),MATCH("ESTIMATE",IntComp[#Headers],0)),0)</f>
        <v>220960.18349999996</v>
      </c>
      <c r="U205" s="5">
        <f>IFERROR(INDEX(Yards[],MATCH($B205,Yards[DEVELOPMENT],0),MATCH("ESTIMATE",Yards[#Headers],0)),0)</f>
        <v>1159792.78</v>
      </c>
      <c r="V205" s="128">
        <f ca="1">SUM(R205:U205)</f>
        <v>1403059.8939999999</v>
      </c>
      <c r="W205" s="5"/>
    </row>
    <row r="206" spans="1:23" x14ac:dyDescent="0.25">
      <c r="A206" s="131">
        <f>VLOOKUP(B206,Data[],24,FALSE)</f>
        <v>89</v>
      </c>
      <c r="B206" t="s">
        <v>289</v>
      </c>
      <c r="C206" t="str">
        <f>VLOOKUP(B206,Data[],2,FALSE)</f>
        <v>BROOKLYN</v>
      </c>
      <c r="D206" t="str">
        <f>VLOOKUP(all[[#This Row],[DEVELOPMENT]],Data[],3,FALSE)</f>
        <v>PINK</v>
      </c>
      <c r="E206">
        <f>VLOOKUP(B206,Data[],8,FALSE)</f>
        <v>0</v>
      </c>
      <c r="F206">
        <f>VLOOKUP(B206,Data[],9,FALSE)</f>
        <v>0</v>
      </c>
      <c r="G206" t="str">
        <f>IFERROR(VLOOKUP(B206,Data[],4,FALSE),"")</f>
        <v/>
      </c>
      <c r="H206" t="str">
        <f ca="1">IF(G206="","",IF((G206-YEAR(TODAY()))&lt;=5,"Yes",""))</f>
        <v/>
      </c>
      <c r="I206">
        <f>VLOOKUP(all[[#This Row],[DEVELOPMENT]],Data[],7,FALSE)</f>
        <v>1500</v>
      </c>
      <c r="J206">
        <f>VLOOKUP(all[[#This Row],[DEVELOPMENT]],Data[],25,FALSE)</f>
        <v>0</v>
      </c>
      <c r="K206">
        <f>VLOOKUP(all[[#This Row],[DEVELOPMENT]],Data[],5,FALSE)</f>
        <v>22</v>
      </c>
      <c r="L206">
        <f>VLOOKUP(all[[#This Row],[DEVELOPMENT]],Data[],27,FALSE)</f>
        <v>22</v>
      </c>
      <c r="M206">
        <f>VLOOKUP(all[[#This Row],[DEVELOPMENT]],Data[],31,FALSE)</f>
        <v>22</v>
      </c>
      <c r="N206">
        <f>VLOOKUP(all[[#This Row],[DEVELOPMENT]],Data[],26,FALSE)</f>
        <v>0</v>
      </c>
      <c r="O206">
        <f>VLOOKUP(all[[#This Row],[DEVELOPMENT]],Data[],30,FALSE)</f>
        <v>0</v>
      </c>
      <c r="P206">
        <f>VLOOKUP(all[[#This Row],[DEVELOPMENT]],Data[],28,FALSE)</f>
        <v>0</v>
      </c>
      <c r="Q206">
        <f>IF(all[[#This Row],['# Bulk Crushers]]=0,1,0)</f>
        <v>1</v>
      </c>
      <c r="R206" s="5">
        <f>IFERROR(INDEX(FWD[],MATCH($B206,FWD[DEVELOPMENT],0),MATCH("ESTIMATE",FWD[#Headers],0)),0)</f>
        <v>0</v>
      </c>
      <c r="S206" s="5">
        <f>IFERROR(INDEX(EHD[],MATCH($B206,EHD[DEVELOPMENT],0),MATCH("ESTIMATE",EHD[#Headers],0)),0)</f>
        <v>163584.15700000001</v>
      </c>
      <c r="T206" s="5">
        <f ca="1">IFERROR(INDEX(IntComp[],MATCH($B206,IntComp[DEVELOPMENT],0),MATCH("ESTIMATE",IntComp[#Headers],0)),0)</f>
        <v>1620374.6789999998</v>
      </c>
      <c r="U206" s="5">
        <f>IFERROR(INDEX(Yards[],MATCH($B206,Yards[DEVELOPMENT],0),MATCH("ESTIMATE",Yards[#Headers],0)),0)</f>
        <v>1159792.78</v>
      </c>
      <c r="V206" s="128">
        <f ca="1">SUM(R206:U206)</f>
        <v>2943751.6159999995</v>
      </c>
      <c r="W206" s="5"/>
    </row>
    <row r="207" spans="1:23" x14ac:dyDescent="0.25">
      <c r="A207" s="131">
        <f>VLOOKUP(B207,Data[],24,FALSE)</f>
        <v>149</v>
      </c>
      <c r="B207" t="s">
        <v>133</v>
      </c>
      <c r="C207" t="str">
        <f>VLOOKUP(B207,Data[],2,FALSE)</f>
        <v>MANHATTAN</v>
      </c>
      <c r="D207" t="str">
        <f>VLOOKUP(all[[#This Row],[DEVELOPMENT]],Data[],3,FALSE)</f>
        <v>POLO GROUNDS TOWERS</v>
      </c>
      <c r="E207" t="str">
        <f>VLOOKUP(B207,Data[],8,FALSE)</f>
        <v>Zone 2</v>
      </c>
      <c r="F207" t="str">
        <f>VLOOKUP(B207,Data[],9,FALSE)</f>
        <v>$</v>
      </c>
      <c r="G207" t="str">
        <f>IFERROR(VLOOKUP(B207,Data[],4,FALSE),"")</f>
        <v/>
      </c>
      <c r="H207" t="str">
        <f ca="1">IF(G207="","",IF((G207-YEAR(TODAY()))&lt;=5,"Yes",""))</f>
        <v/>
      </c>
      <c r="I207">
        <f>VLOOKUP(all[[#This Row],[DEVELOPMENT]],Data[],7,FALSE)</f>
        <v>1614</v>
      </c>
      <c r="J207">
        <f>VLOOKUP(all[[#This Row],[DEVELOPMENT]],Data[],25,FALSE)</f>
        <v>0</v>
      </c>
      <c r="K207">
        <f>VLOOKUP(all[[#This Row],[DEVELOPMENT]],Data[],5,FALSE)</f>
        <v>4</v>
      </c>
      <c r="L207">
        <f>VLOOKUP(all[[#This Row],[DEVELOPMENT]],Data[],27,FALSE)</f>
        <v>9</v>
      </c>
      <c r="M207">
        <f>VLOOKUP(all[[#This Row],[DEVELOPMENT]],Data[],31,FALSE)</f>
        <v>9</v>
      </c>
      <c r="N207">
        <f>VLOOKUP(all[[#This Row],[DEVELOPMENT]],Data[],26,FALSE)</f>
        <v>3</v>
      </c>
      <c r="O207">
        <f>VLOOKUP(all[[#This Row],[DEVELOPMENT]],Data[],30,FALSE)</f>
        <v>3</v>
      </c>
      <c r="P207">
        <f>VLOOKUP(all[[#This Row],[DEVELOPMENT]],Data[],28,FALSE)</f>
        <v>0</v>
      </c>
      <c r="Q207">
        <f>IF(all[[#This Row],['# Bulk Crushers]]=0,1,0)</f>
        <v>1</v>
      </c>
      <c r="R207" s="5">
        <f>IFERROR(INDEX(FWD[],MATCH($B207,FWD[DEVELOPMENT],0),MATCH("ESTIMATE",FWD[#Headers],0)),0)</f>
        <v>0</v>
      </c>
      <c r="S207" s="5">
        <f>IFERROR(INDEX(EHD[],MATCH($B207,EHD[DEVELOPMENT],0),MATCH("ESTIMATE",EHD[#Headers],0)),0)</f>
        <v>66920.791500000007</v>
      </c>
      <c r="T207" s="5">
        <f ca="1">IFERROR(INDEX(IntComp[],MATCH($B207,IntComp[DEVELOPMENT],0),MATCH("ESTIMATE",IntComp[#Headers],0)),0)</f>
        <v>662880.5504999999</v>
      </c>
      <c r="U207" s="5">
        <f ca="1">IFERROR(INDEX(Yards[],MATCH($B207,Yards[DEVELOPMENT],0),MATCH("ESTIMATE",Yards[#Headers],0)),0)</f>
        <v>2022307.2600000005</v>
      </c>
      <c r="V207" s="128">
        <f ca="1">SUM(R207:U207)</f>
        <v>2752108.6020000004</v>
      </c>
      <c r="W207" s="5"/>
    </row>
    <row r="208" spans="1:23" x14ac:dyDescent="0.25">
      <c r="A208" s="131">
        <f>VLOOKUP(B208,Data[],24,FALSE)</f>
        <v>53</v>
      </c>
      <c r="B208" t="s">
        <v>290</v>
      </c>
      <c r="C208" t="str">
        <f>VLOOKUP(B208,Data[],2,FALSE)</f>
        <v>QUEENS</v>
      </c>
      <c r="D208" t="str">
        <f>VLOOKUP(all[[#This Row],[DEVELOPMENT]],Data[],3,FALSE)</f>
        <v>POMONOK</v>
      </c>
      <c r="E208">
        <f>VLOOKUP(B208,Data[],8,FALSE)</f>
        <v>0</v>
      </c>
      <c r="F208">
        <f>VLOOKUP(B208,Data[],9,FALSE)</f>
        <v>0</v>
      </c>
      <c r="G208">
        <f>IFERROR(VLOOKUP(B208,Data[],4,FALSE),"")</f>
        <v>2027</v>
      </c>
      <c r="H208" t="str">
        <f ca="1">IF(G208="","",IF((G208-YEAR(TODAY()))&lt;=5,"Yes",""))</f>
        <v/>
      </c>
      <c r="I208">
        <f>VLOOKUP(all[[#This Row],[DEVELOPMENT]],Data[],7,FALSE)</f>
        <v>2069</v>
      </c>
      <c r="J208">
        <f>VLOOKUP(all[[#This Row],[DEVELOPMENT]],Data[],25,FALSE)</f>
        <v>0</v>
      </c>
      <c r="K208">
        <f>VLOOKUP(all[[#This Row],[DEVELOPMENT]],Data[],5,FALSE)</f>
        <v>35</v>
      </c>
      <c r="L208">
        <f>VLOOKUP(all[[#This Row],[DEVELOPMENT]],Data[],27,FALSE)</f>
        <v>121</v>
      </c>
      <c r="M208">
        <f>VLOOKUP(all[[#This Row],[DEVELOPMENT]],Data[],31,FALSE)</f>
        <v>121</v>
      </c>
      <c r="N208">
        <f>VLOOKUP(all[[#This Row],[DEVELOPMENT]],Data[],26,FALSE)</f>
        <v>5</v>
      </c>
      <c r="O208">
        <f>VLOOKUP(all[[#This Row],[DEVELOPMENT]],Data[],30,FALSE)</f>
        <v>5</v>
      </c>
      <c r="P208">
        <f>VLOOKUP(all[[#This Row],[DEVELOPMENT]],Data[],28,FALSE)</f>
        <v>0</v>
      </c>
      <c r="Q208">
        <f>IF(all[[#This Row],['# Bulk Crushers]]=0,1,0)</f>
        <v>1</v>
      </c>
      <c r="R208" s="5">
        <f>IFERROR(INDEX(FWD[],MATCH($B208,FWD[DEVELOPMENT],0),MATCH("ESTIMATE",FWD[#Headers],0)),0)</f>
        <v>0</v>
      </c>
      <c r="S208" s="5">
        <f>IFERROR(INDEX(EHD[],MATCH($B208,EHD[DEVELOPMENT],0),MATCH("ESTIMATE",EHD[#Headers],0)),0)</f>
        <v>899712.86349999998</v>
      </c>
      <c r="T208" s="5">
        <f ca="1">IFERROR(INDEX(IntComp[],MATCH($B208,IntComp[DEVELOPMENT],0),MATCH("ESTIMATE",IntComp[#Headers],0)),0)</f>
        <v>8912060.7344999984</v>
      </c>
      <c r="U208" s="5">
        <f ca="1">IFERROR(INDEX(Yards[],MATCH($B208,Yards[DEVELOPMENT],0),MATCH("ESTIMATE",Yards[#Headers],0)),0)</f>
        <v>2884821.74</v>
      </c>
      <c r="V208" s="128">
        <f ca="1">SUM(R208:U208)</f>
        <v>12696595.337999998</v>
      </c>
      <c r="W208" s="5"/>
    </row>
    <row r="209" spans="1:23" x14ac:dyDescent="0.25">
      <c r="A209" s="131">
        <f>VLOOKUP(B209,Data[],24,FALSE)</f>
        <v>340</v>
      </c>
      <c r="B209" t="s">
        <v>94</v>
      </c>
      <c r="C209" t="str">
        <f>VLOOKUP(B209,Data[],2,FALSE)</f>
        <v>MANHATTAN</v>
      </c>
      <c r="D209" t="str">
        <f>VLOOKUP(all[[#This Row],[DEVELOPMENT]],Data[],3,FALSE)</f>
        <v>DREW-HAMILTON</v>
      </c>
      <c r="E209" t="str">
        <f>VLOOKUP(B209,Data[],8,FALSE)</f>
        <v>Zone 3</v>
      </c>
      <c r="F209" t="str">
        <f>VLOOKUP(B209,Data[],9,FALSE)</f>
        <v>$</v>
      </c>
      <c r="G209">
        <f>IFERROR(VLOOKUP(B209,Data[],4,FALSE),"")</f>
        <v>2019</v>
      </c>
      <c r="H209" t="str">
        <f ca="1">IF(G209="","",IF((G209-YEAR(TODAY()))&lt;=5,"Yes",""))</f>
        <v>Yes</v>
      </c>
      <c r="I209">
        <f>VLOOKUP(all[[#This Row],[DEVELOPMENT]],Data[],7,FALSE)</f>
        <v>125</v>
      </c>
      <c r="J209">
        <f>VLOOKUP(all[[#This Row],[DEVELOPMENT]],Data[],25,FALSE)</f>
        <v>0</v>
      </c>
      <c r="K209">
        <f>VLOOKUP(all[[#This Row],[DEVELOPMENT]],Data[],5,FALSE)</f>
        <v>1</v>
      </c>
      <c r="L209">
        <f>VLOOKUP(all[[#This Row],[DEVELOPMENT]],Data[],27,FALSE)</f>
        <v>1</v>
      </c>
      <c r="M209">
        <f>VLOOKUP(all[[#This Row],[DEVELOPMENT]],Data[],31,FALSE)</f>
        <v>1</v>
      </c>
      <c r="N209">
        <f>VLOOKUP(all[[#This Row],[DEVELOPMENT]],Data[],26,FALSE)</f>
        <v>0</v>
      </c>
      <c r="O209">
        <f>VLOOKUP(all[[#This Row],[DEVELOPMENT]],Data[],30,FALSE)</f>
        <v>0</v>
      </c>
      <c r="P209">
        <f>VLOOKUP(all[[#This Row],[DEVELOPMENT]],Data[],28,FALSE)</f>
        <v>0</v>
      </c>
      <c r="Q209">
        <f>IF(all[[#This Row],['# Bulk Crushers]]=0,1,0)</f>
        <v>1</v>
      </c>
      <c r="R209" s="5">
        <f>IFERROR(INDEX(FWD[],MATCH($B209,FWD[DEVELOPMENT],0),MATCH("ESTIMATE",FWD[#Headers],0)),0)</f>
        <v>0</v>
      </c>
      <c r="S209" s="5">
        <f>IFERROR(INDEX(EHD[],MATCH($B209,EHD[DEVELOPMENT],0),MATCH("ESTIMATE",EHD[#Headers],0)),0)</f>
        <v>0</v>
      </c>
      <c r="T209" s="5">
        <f ca="1">IFERROR(INDEX(IntComp[],MATCH($B209,IntComp[DEVELOPMENT],0),MATCH("ESTIMATE",IntComp[#Headers],0)),0)</f>
        <v>0</v>
      </c>
      <c r="U209" s="5">
        <f>IFERROR(INDEX(Yards[],MATCH($B209,Yards[DEVELOPMENT],0),MATCH("ESTIMATE",Yards[#Headers],0)),0)</f>
        <v>0</v>
      </c>
      <c r="V209" s="128">
        <f ca="1">SUM(R209:U209)</f>
        <v>0</v>
      </c>
      <c r="W209" s="5"/>
    </row>
    <row r="210" spans="1:23" x14ac:dyDescent="0.25">
      <c r="A210" s="131">
        <f>VLOOKUP(B210,Data[],24,FALSE)</f>
        <v>505</v>
      </c>
      <c r="B210" t="s">
        <v>134</v>
      </c>
      <c r="C210" t="str">
        <f>VLOOKUP(B210,Data[],2,FALSE)</f>
        <v>QUEENS</v>
      </c>
      <c r="D210" t="str">
        <f>VLOOKUP(all[[#This Row],[DEVELOPMENT]],Data[],3,FALSE)</f>
        <v>QUEENSBRIDGE NORTH</v>
      </c>
      <c r="E210" t="str">
        <f>VLOOKUP(B210,Data[],8,FALSE)</f>
        <v>Zone 3</v>
      </c>
      <c r="F210" t="str">
        <f>VLOOKUP(B210,Data[],9,FALSE)</f>
        <v>$</v>
      </c>
      <c r="G210" t="str">
        <f>IFERROR(VLOOKUP(B210,Data[],4,FALSE),"")</f>
        <v/>
      </c>
      <c r="H210" t="str">
        <f ca="1">IF(G210="","",IF((G210-YEAR(TODAY()))&lt;=5,"Yes",""))</f>
        <v/>
      </c>
      <c r="I210">
        <f>VLOOKUP(all[[#This Row],[DEVELOPMENT]],Data[],7,FALSE)</f>
        <v>1542</v>
      </c>
      <c r="J210">
        <f>VLOOKUP(all[[#This Row],[DEVELOPMENT]],Data[],25,FALSE)</f>
        <v>0</v>
      </c>
      <c r="K210">
        <f>VLOOKUP(all[[#This Row],[DEVELOPMENT]],Data[],5,FALSE)</f>
        <v>13</v>
      </c>
      <c r="L210">
        <f>VLOOKUP(all[[#This Row],[DEVELOPMENT]],Data[],27,FALSE)</f>
        <v>47</v>
      </c>
      <c r="M210">
        <f>VLOOKUP(all[[#This Row],[DEVELOPMENT]],Data[],31,FALSE)</f>
        <v>47</v>
      </c>
      <c r="N210">
        <f>VLOOKUP(all[[#This Row],[DEVELOPMENT]],Data[],26,FALSE)</f>
        <v>0</v>
      </c>
      <c r="O210">
        <f>VLOOKUP(all[[#This Row],[DEVELOPMENT]],Data[],30,FALSE)</f>
        <v>0</v>
      </c>
      <c r="P210">
        <f>VLOOKUP(all[[#This Row],[DEVELOPMENT]],Data[],28,FALSE)</f>
        <v>0</v>
      </c>
      <c r="Q210">
        <f>IF(all[[#This Row],['# Bulk Crushers]]=0,1,0)</f>
        <v>1</v>
      </c>
      <c r="R210" s="5">
        <f>IFERROR(INDEX(FWD[],MATCH($B210,FWD[DEVELOPMENT],0),MATCH("ESTIMATE",FWD[#Headers],0)),0)</f>
        <v>0</v>
      </c>
      <c r="S210" s="5">
        <f>IFERROR(INDEX(EHD[],MATCH($B210,EHD[DEVELOPMENT],0),MATCH("ESTIMATE",EHD[#Headers],0)),0)</f>
        <v>349475.24450000003</v>
      </c>
      <c r="T210" s="5">
        <f ca="1">IFERROR(INDEX(IntComp[],MATCH($B210,IntComp[DEVELOPMENT],0),MATCH("ESTIMATE",IntComp[#Headers],0)),0)</f>
        <v>3461709.5414999998</v>
      </c>
      <c r="U210" s="5">
        <f>IFERROR(INDEX(Yards[],MATCH($B210,Yards[DEVELOPMENT],0),MATCH("ESTIMATE",Yards[#Headers],0)),0)</f>
        <v>1159792.78</v>
      </c>
      <c r="V210" s="128">
        <f ca="1">SUM(R210:U210)</f>
        <v>4970977.5659999996</v>
      </c>
      <c r="W210" s="5"/>
    </row>
    <row r="211" spans="1:23" x14ac:dyDescent="0.25">
      <c r="A211" s="131">
        <f>VLOOKUP(B211,Data[],24,FALSE)</f>
        <v>5</v>
      </c>
      <c r="B211" t="s">
        <v>135</v>
      </c>
      <c r="C211" t="str">
        <f>VLOOKUP(B211,Data[],2,FALSE)</f>
        <v>QUEENS</v>
      </c>
      <c r="D211" t="str">
        <f>VLOOKUP(all[[#This Row],[DEVELOPMENT]],Data[],3,FALSE)</f>
        <v>QUEENSBRIDGE SOUTH</v>
      </c>
      <c r="E211" t="str">
        <f>VLOOKUP(B211,Data[],8,FALSE)</f>
        <v>Zone 3</v>
      </c>
      <c r="F211" t="str">
        <f>VLOOKUP(B211,Data[],9,FALSE)</f>
        <v>$</v>
      </c>
      <c r="G211" t="str">
        <f>IFERROR(VLOOKUP(B211,Data[],4,FALSE),"")</f>
        <v/>
      </c>
      <c r="H211" t="str">
        <f ca="1">IF(G211="","",IF((G211-YEAR(TODAY()))&lt;=5,"Yes",""))</f>
        <v/>
      </c>
      <c r="I211">
        <f>VLOOKUP(all[[#This Row],[DEVELOPMENT]],Data[],7,FALSE)</f>
        <v>1603</v>
      </c>
      <c r="J211">
        <f>VLOOKUP(all[[#This Row],[DEVELOPMENT]],Data[],25,FALSE)</f>
        <v>0</v>
      </c>
      <c r="K211">
        <f>VLOOKUP(all[[#This Row],[DEVELOPMENT]],Data[],5,FALSE)</f>
        <v>13</v>
      </c>
      <c r="L211">
        <f>VLOOKUP(all[[#This Row],[DEVELOPMENT]],Data[],27,FALSE)</f>
        <v>49</v>
      </c>
      <c r="M211">
        <f>VLOOKUP(all[[#This Row],[DEVELOPMENT]],Data[],31,FALSE)</f>
        <v>49</v>
      </c>
      <c r="N211">
        <f>VLOOKUP(all[[#This Row],[DEVELOPMENT]],Data[],26,FALSE)</f>
        <v>12</v>
      </c>
      <c r="O211">
        <f>VLOOKUP(all[[#This Row],[DEVELOPMENT]],Data[],30,FALSE)</f>
        <v>6</v>
      </c>
      <c r="P211">
        <f>VLOOKUP(all[[#This Row],[DEVELOPMENT]],Data[],28,FALSE)</f>
        <v>0</v>
      </c>
      <c r="Q211">
        <f>IF(all[[#This Row],['# Bulk Crushers]]=0,1,0)</f>
        <v>1</v>
      </c>
      <c r="R211" s="5">
        <f>IFERROR(INDEX(FWD[],MATCH($B211,FWD[DEVELOPMENT],0),MATCH("ESTIMATE",FWD[#Headers],0)),0)</f>
        <v>0</v>
      </c>
      <c r="S211" s="5">
        <f>IFERROR(INDEX(EHD[],MATCH($B211,EHD[DEVELOPMENT],0),MATCH("ESTIMATE",EHD[#Headers],0)),0)</f>
        <v>364346.53149999998</v>
      </c>
      <c r="T211" s="5">
        <f ca="1">IFERROR(INDEX(IntComp[],MATCH($B211,IntComp[DEVELOPMENT],0),MATCH("ESTIMATE",IntComp[#Headers],0)),0)</f>
        <v>3609016.3304999997</v>
      </c>
      <c r="U211" s="5">
        <f ca="1">IFERROR(INDEX(Yards[],MATCH($B211,Yards[DEVELOPMENT],0),MATCH("ESTIMATE",Yards[#Headers],0)),0)</f>
        <v>3316078.9799999995</v>
      </c>
      <c r="V211" s="128">
        <f ca="1">SUM(R211:U211)</f>
        <v>7289441.8419999992</v>
      </c>
      <c r="W211" s="5"/>
    </row>
    <row r="212" spans="1:23" x14ac:dyDescent="0.25">
      <c r="A212" s="131">
        <f>VLOOKUP(B212,Data[],24,FALSE)</f>
        <v>352</v>
      </c>
      <c r="B212" t="s">
        <v>291</v>
      </c>
      <c r="C212" t="str">
        <f>VLOOKUP(B212,Data[],2,FALSE)</f>
        <v>BROOKLYN</v>
      </c>
      <c r="D212" t="str">
        <f>VLOOKUP(all[[#This Row],[DEVELOPMENT]],Data[],3,FALSE)</f>
        <v>REID APARTMENTS</v>
      </c>
      <c r="E212">
        <f>VLOOKUP(B212,Data[],8,FALSE)</f>
        <v>0</v>
      </c>
      <c r="F212">
        <f>VLOOKUP(B212,Data[],9,FALSE)</f>
        <v>0</v>
      </c>
      <c r="G212">
        <f>IFERROR(VLOOKUP(B212,Data[],4,FALSE),"")</f>
        <v>2021</v>
      </c>
      <c r="H212" t="str">
        <f ca="1">IF(G212="","",IF((G212-YEAR(TODAY()))&lt;=5,"Yes",""))</f>
        <v>Yes</v>
      </c>
      <c r="I212">
        <f>VLOOKUP(all[[#This Row],[DEVELOPMENT]],Data[],7,FALSE)</f>
        <v>118</v>
      </c>
      <c r="J212">
        <f>VLOOKUP(all[[#This Row],[DEVELOPMENT]],Data[],25,FALSE)</f>
        <v>0</v>
      </c>
      <c r="K212">
        <f>VLOOKUP(all[[#This Row],[DEVELOPMENT]],Data[],5,FALSE)</f>
        <v>5</v>
      </c>
      <c r="L212">
        <f>VLOOKUP(all[[#This Row],[DEVELOPMENT]],Data[],27,FALSE)</f>
        <v>9</v>
      </c>
      <c r="M212">
        <f>VLOOKUP(all[[#This Row],[DEVELOPMENT]],Data[],31,FALSE)</f>
        <v>9</v>
      </c>
      <c r="N212">
        <f>VLOOKUP(all[[#This Row],[DEVELOPMENT]],Data[],26,FALSE)</f>
        <v>0</v>
      </c>
      <c r="O212">
        <f>VLOOKUP(all[[#This Row],[DEVELOPMENT]],Data[],30,FALSE)</f>
        <v>0</v>
      </c>
      <c r="P212">
        <f>VLOOKUP(all[[#This Row],[DEVELOPMENT]],Data[],28,FALSE)</f>
        <v>0</v>
      </c>
      <c r="Q212">
        <f>IF(all[[#This Row],['# Bulk Crushers]]=0,1,0)</f>
        <v>1</v>
      </c>
      <c r="R212" s="5">
        <f>IFERROR(INDEX(FWD[],MATCH($B212,FWD[DEVELOPMENT],0),MATCH("ESTIMATE",FWD[#Headers],0)),0)</f>
        <v>0</v>
      </c>
      <c r="S212" s="5">
        <f>IFERROR(INDEX(EHD[],MATCH($B212,EHD[DEVELOPMENT],0),MATCH("ESTIMATE",EHD[#Headers],0)),0)</f>
        <v>66920.791500000007</v>
      </c>
      <c r="T212" s="5">
        <f ca="1">IFERROR(INDEX(IntComp[],MATCH($B212,IntComp[DEVELOPMENT],0),MATCH("ESTIMATE",IntComp[#Headers],0)),0)</f>
        <v>0</v>
      </c>
      <c r="U212" s="5">
        <f>IFERROR(INDEX(Yards[],MATCH($B212,Yards[DEVELOPMENT],0),MATCH("ESTIMATE",Yards[#Headers],0)),0)</f>
        <v>0</v>
      </c>
      <c r="V212" s="128">
        <f ca="1">SUM(R212:U212)</f>
        <v>66920.791500000007</v>
      </c>
      <c r="W212" s="5"/>
    </row>
    <row r="213" spans="1:23" x14ac:dyDescent="0.25">
      <c r="A213" s="131">
        <f>VLOOKUP(B213,Data[],24,FALSE)</f>
        <v>245</v>
      </c>
      <c r="B213" t="s">
        <v>292</v>
      </c>
      <c r="C213" t="str">
        <f>VLOOKUP(B213,Data[],2,FALSE)</f>
        <v>BRONX</v>
      </c>
      <c r="D213" t="str">
        <f>VLOOKUP(all[[#This Row],[DEVELOPMENT]],Data[],3,FALSE)</f>
        <v>THROGGS NECK</v>
      </c>
      <c r="E213">
        <f>VLOOKUP(B213,Data[],8,FALSE)</f>
        <v>0</v>
      </c>
      <c r="F213">
        <f>VLOOKUP(B213,Data[],9,FALSE)</f>
        <v>0</v>
      </c>
      <c r="G213">
        <f>IFERROR(VLOOKUP(B213,Data[],4,FALSE),"")</f>
        <v>2022</v>
      </c>
      <c r="H213" t="str">
        <f ca="1">IF(G213="","",IF((G213-YEAR(TODAY()))&lt;=5,"Yes",""))</f>
        <v>Yes</v>
      </c>
      <c r="I213">
        <f>VLOOKUP(all[[#This Row],[DEVELOPMENT]],Data[],7,FALSE)</f>
        <v>251</v>
      </c>
      <c r="J213">
        <f>VLOOKUP(all[[#This Row],[DEVELOPMENT]],Data[],25,FALSE)</f>
        <v>0</v>
      </c>
      <c r="K213">
        <f>VLOOKUP(all[[#This Row],[DEVELOPMENT]],Data[],5,FALSE)</f>
        <v>3</v>
      </c>
      <c r="L213">
        <f>VLOOKUP(all[[#This Row],[DEVELOPMENT]],Data[],27,FALSE)</f>
        <v>3</v>
      </c>
      <c r="M213">
        <f>VLOOKUP(all[[#This Row],[DEVELOPMENT]],Data[],31,FALSE)</f>
        <v>3</v>
      </c>
      <c r="N213">
        <f>VLOOKUP(all[[#This Row],[DEVELOPMENT]],Data[],26,FALSE)</f>
        <v>0</v>
      </c>
      <c r="O213">
        <f>VLOOKUP(all[[#This Row],[DEVELOPMENT]],Data[],30,FALSE)</f>
        <v>0</v>
      </c>
      <c r="P213">
        <f>VLOOKUP(all[[#This Row],[DEVELOPMENT]],Data[],28,FALSE)</f>
        <v>0</v>
      </c>
      <c r="Q213">
        <f>IF(all[[#This Row],['# Bulk Crushers]]=0,1,0)</f>
        <v>1</v>
      </c>
      <c r="R213" s="5">
        <f>IFERROR(INDEX(FWD[],MATCH($B213,FWD[DEVELOPMENT],0),MATCH("ESTIMATE",FWD[#Headers],0)),0)</f>
        <v>0</v>
      </c>
      <c r="S213" s="5">
        <f>IFERROR(INDEX(EHD[],MATCH($B213,EHD[DEVELOPMENT],0),MATCH("ESTIMATE",EHD[#Headers],0)),0)</f>
        <v>0</v>
      </c>
      <c r="T213" s="5">
        <f ca="1">IFERROR(INDEX(IntComp[],MATCH($B213,IntComp[DEVELOPMENT],0),MATCH("ESTIMATE",IntComp[#Headers],0)),0)</f>
        <v>0</v>
      </c>
      <c r="U213" s="5">
        <f>IFERROR(INDEX(Yards[],MATCH($B213,Yards[DEVELOPMENT],0),MATCH("ESTIMATE",Yards[#Headers],0)),0)</f>
        <v>0</v>
      </c>
      <c r="V213" s="128">
        <f ca="1">SUM(R213:U213)</f>
        <v>0</v>
      </c>
      <c r="W213" s="5"/>
    </row>
    <row r="214" spans="1:23" x14ac:dyDescent="0.25">
      <c r="A214" s="131">
        <f>VLOOKUP(B214,Data[],24,FALSE)</f>
        <v>37</v>
      </c>
      <c r="B214" t="s">
        <v>115</v>
      </c>
      <c r="C214" t="str">
        <f>VLOOKUP(B214,Data[],2,FALSE)</f>
        <v>MANHATTAN</v>
      </c>
      <c r="D214" t="str">
        <f>VLOOKUP(all[[#This Row],[DEVELOPMENT]],Data[],3,FALSE)</f>
        <v>RANGEL</v>
      </c>
      <c r="E214" t="str">
        <f>VLOOKUP(B214,Data[],8,FALSE)</f>
        <v>Zone 2</v>
      </c>
      <c r="F214" t="str">
        <f>VLOOKUP(B214,Data[],9,FALSE)</f>
        <v>$</v>
      </c>
      <c r="G214" t="str">
        <f>IFERROR(VLOOKUP(B214,Data[],4,FALSE),"")</f>
        <v/>
      </c>
      <c r="H214" t="str">
        <f ca="1">IF(G214="","",IF((G214-YEAR(TODAY()))&lt;=5,"Yes",""))</f>
        <v/>
      </c>
      <c r="I214">
        <f>VLOOKUP(all[[#This Row],[DEVELOPMENT]],Data[],7,FALSE)</f>
        <v>982</v>
      </c>
      <c r="J214">
        <f>VLOOKUP(all[[#This Row],[DEVELOPMENT]],Data[],25,FALSE)</f>
        <v>0</v>
      </c>
      <c r="K214">
        <f>VLOOKUP(all[[#This Row],[DEVELOPMENT]],Data[],5,FALSE)</f>
        <v>8</v>
      </c>
      <c r="L214">
        <f>VLOOKUP(all[[#This Row],[DEVELOPMENT]],Data[],27,FALSE)</f>
        <v>10</v>
      </c>
      <c r="M214">
        <f>VLOOKUP(all[[#This Row],[DEVELOPMENT]],Data[],31,FALSE)</f>
        <v>10</v>
      </c>
      <c r="N214">
        <f>VLOOKUP(all[[#This Row],[DEVELOPMENT]],Data[],26,FALSE)</f>
        <v>3</v>
      </c>
      <c r="O214">
        <f>VLOOKUP(all[[#This Row],[DEVELOPMENT]],Data[],30,FALSE)</f>
        <v>3</v>
      </c>
      <c r="P214">
        <f>VLOOKUP(all[[#This Row],[DEVELOPMENT]],Data[],28,FALSE)</f>
        <v>0</v>
      </c>
      <c r="Q214">
        <f>IF(all[[#This Row],['# Bulk Crushers]]=0,1,0)</f>
        <v>1</v>
      </c>
      <c r="R214" s="5">
        <f>IFERROR(INDEX(FWD[],MATCH($B214,FWD[DEVELOPMENT],0),MATCH("ESTIMATE",FWD[#Headers],0)),0)</f>
        <v>0</v>
      </c>
      <c r="S214" s="5">
        <f>IFERROR(INDEX(EHD[],MATCH($B214,EHD[DEVELOPMENT],0),MATCH("ESTIMATE",EHD[#Headers],0)),0)</f>
        <v>74356.434999999998</v>
      </c>
      <c r="T214" s="5">
        <f ca="1">IFERROR(INDEX(IntComp[],MATCH($B214,IntComp[DEVELOPMENT],0),MATCH("ESTIMATE",IntComp[#Headers],0)),0)</f>
        <v>736533.94499999995</v>
      </c>
      <c r="U214" s="5">
        <f ca="1">IFERROR(INDEX(Yards[],MATCH($B214,Yards[DEVELOPMENT],0),MATCH("ESTIMATE",Yards[#Headers],0)),0)</f>
        <v>2022307.2600000005</v>
      </c>
      <c r="V214" s="128">
        <f ca="1">SUM(R214:U214)</f>
        <v>2833197.6400000006</v>
      </c>
      <c r="W214" s="5"/>
    </row>
    <row r="215" spans="1:23" x14ac:dyDescent="0.25">
      <c r="A215" s="131">
        <f>VLOOKUP(B215,Data[],24,FALSE)</f>
        <v>48</v>
      </c>
      <c r="B215" t="s">
        <v>293</v>
      </c>
      <c r="C215" t="str">
        <f>VLOOKUP(B215,Data[],2,FALSE)</f>
        <v>QUEENS</v>
      </c>
      <c r="D215" t="str">
        <f>VLOOKUP(all[[#This Row],[DEVELOPMENT]],Data[],3,FALSE)</f>
        <v>RAVENSWOOD</v>
      </c>
      <c r="E215">
        <f>VLOOKUP(B215,Data[],8,FALSE)</f>
        <v>0</v>
      </c>
      <c r="F215">
        <f>VLOOKUP(B215,Data[],9,FALSE)</f>
        <v>0</v>
      </c>
      <c r="G215" t="str">
        <f>IFERROR(VLOOKUP(B215,Data[],4,FALSE),"")</f>
        <v/>
      </c>
      <c r="H215" t="str">
        <f ca="1">IF(G215="","",IF((G215-YEAR(TODAY()))&lt;=5,"Yes",""))</f>
        <v/>
      </c>
      <c r="I215">
        <f>VLOOKUP(all[[#This Row],[DEVELOPMENT]],Data[],7,FALSE)</f>
        <v>2164</v>
      </c>
      <c r="J215">
        <f>VLOOKUP(all[[#This Row],[DEVELOPMENT]],Data[],25,FALSE)</f>
        <v>0</v>
      </c>
      <c r="K215">
        <f>VLOOKUP(all[[#This Row],[DEVELOPMENT]],Data[],5,FALSE)</f>
        <v>31</v>
      </c>
      <c r="L215">
        <f>VLOOKUP(all[[#This Row],[DEVELOPMENT]],Data[],27,FALSE)</f>
        <v>39</v>
      </c>
      <c r="M215">
        <f>VLOOKUP(all[[#This Row],[DEVELOPMENT]],Data[],31,FALSE)</f>
        <v>39</v>
      </c>
      <c r="N215">
        <f>VLOOKUP(all[[#This Row],[DEVELOPMENT]],Data[],26,FALSE)</f>
        <v>0</v>
      </c>
      <c r="O215">
        <f>VLOOKUP(all[[#This Row],[DEVELOPMENT]],Data[],30,FALSE)</f>
        <v>0</v>
      </c>
      <c r="P215">
        <f>VLOOKUP(all[[#This Row],[DEVELOPMENT]],Data[],28,FALSE)</f>
        <v>0</v>
      </c>
      <c r="Q215">
        <f>IF(all[[#This Row],['# Bulk Crushers]]=0,1,0)</f>
        <v>1</v>
      </c>
      <c r="R215" s="5">
        <f>IFERROR(INDEX(FWD[],MATCH($B215,FWD[DEVELOPMENT],0),MATCH("ESTIMATE",FWD[#Headers],0)),0)</f>
        <v>0</v>
      </c>
      <c r="S215" s="5">
        <f>IFERROR(INDEX(EHD[],MATCH($B215,EHD[DEVELOPMENT],0),MATCH("ESTIMATE",EHD[#Headers],0)),0)</f>
        <v>289990.09649999999</v>
      </c>
      <c r="T215" s="5">
        <f ca="1">IFERROR(INDEX(IntComp[],MATCH($B215,IntComp[DEVELOPMENT],0),MATCH("ESTIMATE",IntComp[#Headers],0)),0)</f>
        <v>2872482.3854999994</v>
      </c>
      <c r="U215" s="5">
        <f>IFERROR(INDEX(Yards[],MATCH($B215,Yards[DEVELOPMENT],0),MATCH("ESTIMATE",Yards[#Headers],0)),0)</f>
        <v>1159792.78</v>
      </c>
      <c r="V215" s="128">
        <f ca="1">SUM(R215:U215)</f>
        <v>4322265.2619999992</v>
      </c>
      <c r="W215" s="5"/>
    </row>
    <row r="216" spans="1:23" x14ac:dyDescent="0.25">
      <c r="A216" s="131">
        <f>VLOOKUP(B216,Data[],24,FALSE)</f>
        <v>4</v>
      </c>
      <c r="B216" t="s">
        <v>294</v>
      </c>
      <c r="C216" t="str">
        <f>VLOOKUP(B216,Data[],2,FALSE)</f>
        <v>BROOKLYN</v>
      </c>
      <c r="D216" t="str">
        <f>VLOOKUP(all[[#This Row],[DEVELOPMENT]],Data[],3,FALSE)</f>
        <v>RED HOOK EAST</v>
      </c>
      <c r="E216">
        <f>VLOOKUP(B216,Data[],8,FALSE)</f>
        <v>0</v>
      </c>
      <c r="F216">
        <f>VLOOKUP(B216,Data[],9,FALSE)</f>
        <v>0</v>
      </c>
      <c r="G216">
        <f>IFERROR(VLOOKUP(B216,Data[],4,FALSE),"")</f>
        <v>2024</v>
      </c>
      <c r="H216" t="str">
        <f ca="1">IF(G216="","",IF((G216-YEAR(TODAY()))&lt;=5,"Yes",""))</f>
        <v>Yes</v>
      </c>
      <c r="I216">
        <f>VLOOKUP(all[[#This Row],[DEVELOPMENT]],Data[],7,FALSE)</f>
        <v>1404</v>
      </c>
      <c r="J216">
        <f>VLOOKUP(all[[#This Row],[DEVELOPMENT]],Data[],25,FALSE)</f>
        <v>0</v>
      </c>
      <c r="K216">
        <f>VLOOKUP(all[[#This Row],[DEVELOPMENT]],Data[],5,FALSE)</f>
        <v>16</v>
      </c>
      <c r="L216">
        <f>VLOOKUP(all[[#This Row],[DEVELOPMENT]],Data[],27,FALSE)</f>
        <v>47</v>
      </c>
      <c r="M216">
        <f>VLOOKUP(all[[#This Row],[DEVELOPMENT]],Data[],31,FALSE)</f>
        <v>47</v>
      </c>
      <c r="N216">
        <f>VLOOKUP(all[[#This Row],[DEVELOPMENT]],Data[],26,FALSE)</f>
        <v>0</v>
      </c>
      <c r="O216">
        <f>VLOOKUP(all[[#This Row],[DEVELOPMENT]],Data[],30,FALSE)</f>
        <v>0</v>
      </c>
      <c r="P216">
        <f>VLOOKUP(all[[#This Row],[DEVELOPMENT]],Data[],28,FALSE)</f>
        <v>0</v>
      </c>
      <c r="Q216">
        <f>IF(all[[#This Row],['# Bulk Crushers]]=0,1,0)</f>
        <v>1</v>
      </c>
      <c r="R216" s="5">
        <f>IFERROR(INDEX(FWD[],MATCH($B216,FWD[DEVELOPMENT],0),MATCH("ESTIMATE",FWD[#Headers],0)),0)</f>
        <v>0</v>
      </c>
      <c r="S216" s="5">
        <f>IFERROR(INDEX(EHD[],MATCH($B216,EHD[DEVELOPMENT],0),MATCH("ESTIMATE",EHD[#Headers],0)),0)</f>
        <v>349475.24450000003</v>
      </c>
      <c r="T216" s="5">
        <f ca="1">IFERROR(INDEX(IntComp[],MATCH($B216,IntComp[DEVELOPMENT],0),MATCH("ESTIMATE",IntComp[#Headers],0)),0)</f>
        <v>0</v>
      </c>
      <c r="U216" s="5">
        <f>IFERROR(INDEX(Yards[],MATCH($B216,Yards[DEVELOPMENT],0),MATCH("ESTIMATE",Yards[#Headers],0)),0)</f>
        <v>0</v>
      </c>
      <c r="V216" s="128">
        <f ca="1">SUM(R216:U216)</f>
        <v>349475.24450000003</v>
      </c>
      <c r="W216" s="5"/>
    </row>
    <row r="217" spans="1:23" x14ac:dyDescent="0.25">
      <c r="A217" s="131">
        <f>VLOOKUP(B217,Data[],24,FALSE)</f>
        <v>79</v>
      </c>
      <c r="B217" t="s">
        <v>295</v>
      </c>
      <c r="C217" t="str">
        <f>VLOOKUP(B217,Data[],2,FALSE)</f>
        <v>BROOKLYN</v>
      </c>
      <c r="D217" t="str">
        <f>VLOOKUP(all[[#This Row],[DEVELOPMENT]],Data[],3,FALSE)</f>
        <v>RED HOOK WEST</v>
      </c>
      <c r="E217">
        <f>VLOOKUP(B217,Data[],8,FALSE)</f>
        <v>0</v>
      </c>
      <c r="F217">
        <f>VLOOKUP(B217,Data[],9,FALSE)</f>
        <v>0</v>
      </c>
      <c r="G217">
        <f>IFERROR(VLOOKUP(B217,Data[],4,FALSE),"")</f>
        <v>2025</v>
      </c>
      <c r="H217" t="str">
        <f ca="1">IF(G217="","",IF((G217-YEAR(TODAY()))&lt;=5,"Yes",""))</f>
        <v/>
      </c>
      <c r="I217">
        <f>VLOOKUP(all[[#This Row],[DEVELOPMENT]],Data[],7,FALSE)</f>
        <v>1471</v>
      </c>
      <c r="J217">
        <f>VLOOKUP(all[[#This Row],[DEVELOPMENT]],Data[],25,FALSE)</f>
        <v>0</v>
      </c>
      <c r="K217">
        <f>VLOOKUP(all[[#This Row],[DEVELOPMENT]],Data[],5,FALSE)</f>
        <v>14</v>
      </c>
      <c r="L217">
        <f>VLOOKUP(all[[#This Row],[DEVELOPMENT]],Data[],27,FALSE)</f>
        <v>43</v>
      </c>
      <c r="M217">
        <f>VLOOKUP(all[[#This Row],[DEVELOPMENT]],Data[],31,FALSE)</f>
        <v>43</v>
      </c>
      <c r="N217">
        <f>VLOOKUP(all[[#This Row],[DEVELOPMENT]],Data[],26,FALSE)</f>
        <v>2</v>
      </c>
      <c r="O217">
        <f>VLOOKUP(all[[#This Row],[DEVELOPMENT]],Data[],30,FALSE)</f>
        <v>2</v>
      </c>
      <c r="P217">
        <f>VLOOKUP(all[[#This Row],[DEVELOPMENT]],Data[],28,FALSE)</f>
        <v>0</v>
      </c>
      <c r="Q217">
        <f>IF(all[[#This Row],['# Bulk Crushers]]=0,1,0)</f>
        <v>1</v>
      </c>
      <c r="R217" s="5">
        <f>IFERROR(INDEX(FWD[],MATCH($B217,FWD[DEVELOPMENT],0),MATCH("ESTIMATE",FWD[#Headers],0)),0)</f>
        <v>0</v>
      </c>
      <c r="S217" s="5">
        <f>IFERROR(INDEX(EHD[],MATCH($B217,EHD[DEVELOPMENT],0),MATCH("ESTIMATE",EHD[#Headers],0)),0)</f>
        <v>319732.67050000001</v>
      </c>
      <c r="T217" s="5">
        <f ca="1">IFERROR(INDEX(IntComp[],MATCH($B217,IntComp[DEVELOPMENT],0),MATCH("ESTIMATE",IntComp[#Headers],0)),0)</f>
        <v>0</v>
      </c>
      <c r="U217" s="5">
        <f>IFERROR(INDEX(Yards[],MATCH($B217,Yards[DEVELOPMENT],0),MATCH("ESTIMATE",Yards[#Headers],0)),0)</f>
        <v>0</v>
      </c>
      <c r="V217" s="128">
        <f ca="1">SUM(R217:U217)</f>
        <v>319732.67050000001</v>
      </c>
      <c r="W217" s="5"/>
    </row>
    <row r="218" spans="1:23" x14ac:dyDescent="0.25">
      <c r="A218" s="131">
        <f>VLOOKUP(B218,Data[],24,FALSE)</f>
        <v>55</v>
      </c>
      <c r="B218" t="s">
        <v>296</v>
      </c>
      <c r="C218" t="str">
        <f>VLOOKUP(B218,Data[],2,FALSE)</f>
        <v>QUEENS</v>
      </c>
      <c r="D218" t="str">
        <f>VLOOKUP(all[[#This Row],[DEVELOPMENT]],Data[],3,FALSE)</f>
        <v>REDFERN</v>
      </c>
      <c r="E218">
        <f>VLOOKUP(B218,Data[],8,FALSE)</f>
        <v>0</v>
      </c>
      <c r="F218">
        <f>VLOOKUP(B218,Data[],9,FALSE)</f>
        <v>0</v>
      </c>
      <c r="G218">
        <f>IFERROR(VLOOKUP(B218,Data[],4,FALSE),"")</f>
        <v>2022</v>
      </c>
      <c r="H218" t="str">
        <f ca="1">IF(G218="","",IF((G218-YEAR(TODAY()))&lt;=5,"Yes",""))</f>
        <v>Yes</v>
      </c>
      <c r="I218">
        <f>VLOOKUP(all[[#This Row],[DEVELOPMENT]],Data[],7,FALSE)</f>
        <v>599</v>
      </c>
      <c r="J218">
        <f>VLOOKUP(all[[#This Row],[DEVELOPMENT]],Data[],25,FALSE)</f>
        <v>0</v>
      </c>
      <c r="K218">
        <f>VLOOKUP(all[[#This Row],[DEVELOPMENT]],Data[],5,FALSE)</f>
        <v>9</v>
      </c>
      <c r="L218">
        <f>VLOOKUP(all[[#This Row],[DEVELOPMENT]],Data[],27,FALSE)</f>
        <v>16</v>
      </c>
      <c r="M218">
        <f>VLOOKUP(all[[#This Row],[DEVELOPMENT]],Data[],31,FALSE)</f>
        <v>16</v>
      </c>
      <c r="N218">
        <f>VLOOKUP(all[[#This Row],[DEVELOPMENT]],Data[],26,FALSE)</f>
        <v>0</v>
      </c>
      <c r="O218">
        <f>VLOOKUP(all[[#This Row],[DEVELOPMENT]],Data[],30,FALSE)</f>
        <v>0</v>
      </c>
      <c r="P218">
        <f>VLOOKUP(all[[#This Row],[DEVELOPMENT]],Data[],28,FALSE)</f>
        <v>0</v>
      </c>
      <c r="Q218">
        <f>IF(all[[#This Row],['# Bulk Crushers]]=0,1,0)</f>
        <v>1</v>
      </c>
      <c r="R218" s="5">
        <f>IFERROR(INDEX(FWD[],MATCH($B218,FWD[DEVELOPMENT],0),MATCH("ESTIMATE",FWD[#Headers],0)),0)</f>
        <v>0</v>
      </c>
      <c r="S218" s="5">
        <f>IFERROR(INDEX(EHD[],MATCH($B218,EHD[DEVELOPMENT],0),MATCH("ESTIMATE",EHD[#Headers],0)),0)</f>
        <v>118970.296</v>
      </c>
      <c r="T218" s="5">
        <f ca="1">IFERROR(INDEX(IntComp[],MATCH($B218,IntComp[DEVELOPMENT],0),MATCH("ESTIMATE",IntComp[#Headers],0)),0)</f>
        <v>0</v>
      </c>
      <c r="U218" s="5">
        <f>IFERROR(INDEX(Yards[],MATCH($B218,Yards[DEVELOPMENT],0),MATCH("ESTIMATE",Yards[#Headers],0)),0)</f>
        <v>0</v>
      </c>
      <c r="V218" s="128">
        <f ca="1">SUM(R218:U218)</f>
        <v>118970.296</v>
      </c>
      <c r="W218" s="5"/>
    </row>
    <row r="219" spans="1:23" x14ac:dyDescent="0.25">
      <c r="A219" s="131">
        <f>VLOOKUP(B219,Data[],24,FALSE)</f>
        <v>143</v>
      </c>
      <c r="B219" t="s">
        <v>297</v>
      </c>
      <c r="C219" t="str">
        <f>VLOOKUP(B219,Data[],2,FALSE)</f>
        <v>QUEENS</v>
      </c>
      <c r="D219" t="str">
        <f>VLOOKUP(all[[#This Row],[DEVELOPMENT]],Data[],3,FALSE)</f>
        <v>LATIMER GARDENS</v>
      </c>
      <c r="E219">
        <f>VLOOKUP(B219,Data[],8,FALSE)</f>
        <v>0</v>
      </c>
      <c r="F219">
        <f>VLOOKUP(B219,Data[],9,FALSE)</f>
        <v>0</v>
      </c>
      <c r="G219" t="str">
        <f>IFERROR(VLOOKUP(B219,Data[],4,FALSE),"")</f>
        <v/>
      </c>
      <c r="H219" t="str">
        <f ca="1">IF(G219="","",IF((G219-YEAR(TODAY()))&lt;=5,"Yes",""))</f>
        <v/>
      </c>
      <c r="I219">
        <f>VLOOKUP(all[[#This Row],[DEVELOPMENT]],Data[],7,FALSE)</f>
        <v>13</v>
      </c>
      <c r="J219">
        <f>VLOOKUP(all[[#This Row],[DEVELOPMENT]],Data[],25,FALSE)</f>
        <v>0</v>
      </c>
      <c r="K219">
        <f>VLOOKUP(all[[#This Row],[DEVELOPMENT]],Data[],5,FALSE)</f>
        <v>1</v>
      </c>
      <c r="L219">
        <f>VLOOKUP(all[[#This Row],[DEVELOPMENT]],Data[],27,FALSE)</f>
        <v>0</v>
      </c>
      <c r="M219">
        <f>VLOOKUP(all[[#This Row],[DEVELOPMENT]],Data[],31,FALSE)</f>
        <v>0</v>
      </c>
      <c r="N219">
        <f>VLOOKUP(all[[#This Row],[DEVELOPMENT]],Data[],26,FALSE)</f>
        <v>0</v>
      </c>
      <c r="O219">
        <f>VLOOKUP(all[[#This Row],[DEVELOPMENT]],Data[],30,FALSE)</f>
        <v>0</v>
      </c>
      <c r="P219">
        <f>VLOOKUP(all[[#This Row],[DEVELOPMENT]],Data[],28,FALSE)</f>
        <v>0</v>
      </c>
      <c r="Q219">
        <f>IF(all[[#This Row],['# Bulk Crushers]]=0,1,0)</f>
        <v>1</v>
      </c>
      <c r="R219" s="5">
        <f>IFERROR(INDEX(FWD[],MATCH($B219,FWD[DEVELOPMENT],0),MATCH("ESTIMATE",FWD[#Headers],0)),0)</f>
        <v>0</v>
      </c>
      <c r="S219" s="5">
        <f>IFERROR(INDEX(EHD[],MATCH($B219,EHD[DEVELOPMENT],0),MATCH("ESTIMATE",EHD[#Headers],0)),0)</f>
        <v>0</v>
      </c>
      <c r="T219" s="5">
        <f ca="1">IFERROR(INDEX(IntComp[],MATCH($B219,IntComp[DEVELOPMENT],0),MATCH("ESTIMATE",IntComp[#Headers],0)),0)</f>
        <v>0</v>
      </c>
      <c r="U219" s="5">
        <f>IFERROR(INDEX(Yards[],MATCH($B219,Yards[DEVELOPMENT],0),MATCH("ESTIMATE",Yards[#Headers],0)),0)</f>
        <v>1159792.78</v>
      </c>
      <c r="V219" s="128">
        <f ca="1">SUM(R219:U219)</f>
        <v>1159792.78</v>
      </c>
      <c r="W219" s="5"/>
    </row>
    <row r="220" spans="1:23" x14ac:dyDescent="0.25">
      <c r="A220" s="131">
        <f>VLOOKUP(B220,Data[],24,FALSE)</f>
        <v>515</v>
      </c>
      <c r="B220" t="s">
        <v>298</v>
      </c>
      <c r="C220" t="str">
        <f>VLOOKUP(B220,Data[],2,FALSE)</f>
        <v>MANHATTAN</v>
      </c>
      <c r="D220" t="str">
        <f>VLOOKUP(all[[#This Row],[DEVELOPMENT]],Data[],3,FALSE)</f>
        <v>KRAUS MANAGEMENT (PRIVATE - M/B 1)</v>
      </c>
      <c r="E220">
        <f>VLOOKUP(B220,Data[],8,FALSE)</f>
        <v>0</v>
      </c>
      <c r="F220">
        <f>VLOOKUP(B220,Data[],9,FALSE)</f>
        <v>0</v>
      </c>
      <c r="G220" t="str">
        <f>IFERROR(VLOOKUP(B220,Data[],4,FALSE),"")</f>
        <v/>
      </c>
      <c r="H220" t="str">
        <f ca="1">IF(G220="","",IF((G220-YEAR(TODAY()))&lt;=5,"Yes",""))</f>
        <v/>
      </c>
      <c r="I220">
        <f>VLOOKUP(all[[#This Row],[DEVELOPMENT]],Data[],7,FALSE)</f>
        <v>112</v>
      </c>
      <c r="J220">
        <f>VLOOKUP(all[[#This Row],[DEVELOPMENT]],Data[],25,FALSE)</f>
        <v>0</v>
      </c>
      <c r="K220">
        <f>VLOOKUP(all[[#This Row],[DEVELOPMENT]],Data[],5,FALSE)</f>
        <v>4</v>
      </c>
      <c r="L220">
        <f>VLOOKUP(all[[#This Row],[DEVELOPMENT]],Data[],27,FALSE)</f>
        <v>3</v>
      </c>
      <c r="M220">
        <f>VLOOKUP(all[[#This Row],[DEVELOPMENT]],Data[],31,FALSE)</f>
        <v>3</v>
      </c>
      <c r="N220">
        <f>VLOOKUP(all[[#This Row],[DEVELOPMENT]],Data[],26,FALSE)</f>
        <v>0</v>
      </c>
      <c r="O220">
        <f>VLOOKUP(all[[#This Row],[DEVELOPMENT]],Data[],30,FALSE)</f>
        <v>0</v>
      </c>
      <c r="P220">
        <f>VLOOKUP(all[[#This Row],[DEVELOPMENT]],Data[],28,FALSE)</f>
        <v>0</v>
      </c>
      <c r="Q220">
        <f>IF(all[[#This Row],['# Bulk Crushers]]=0,1,0)</f>
        <v>1</v>
      </c>
      <c r="R220" s="5">
        <f>IFERROR(INDEX(FWD[],MATCH($B220,FWD[DEVELOPMENT],0),MATCH("ESTIMATE",FWD[#Headers],0)),0)</f>
        <v>0</v>
      </c>
      <c r="S220" s="5">
        <f>IFERROR(INDEX(EHD[],MATCH($B220,EHD[DEVELOPMENT],0),MATCH("ESTIMATE",EHD[#Headers],0)),0)</f>
        <v>22306.930500000002</v>
      </c>
      <c r="T220" s="5">
        <f ca="1">IFERROR(INDEX(IntComp[],MATCH($B220,IntComp[DEVELOPMENT],0),MATCH("ESTIMATE",IntComp[#Headers],0)),0)</f>
        <v>220960.18349999996</v>
      </c>
      <c r="U220" s="5">
        <f>IFERROR(INDEX(Yards[],MATCH($B220,Yards[DEVELOPMENT],0),MATCH("ESTIMATE",Yards[#Headers],0)),0)</f>
        <v>1159792.78</v>
      </c>
      <c r="V220" s="128">
        <f ca="1">SUM(R220:U220)</f>
        <v>1403059.8939999999</v>
      </c>
      <c r="W220" s="5"/>
    </row>
    <row r="221" spans="1:23" x14ac:dyDescent="0.25">
      <c r="A221" s="131">
        <f>VLOOKUP(B221,Data[],24,FALSE)</f>
        <v>516</v>
      </c>
      <c r="B221" t="s">
        <v>299</v>
      </c>
      <c r="C221" t="str">
        <f>VLOOKUP(B221,Data[],2,FALSE)</f>
        <v>MANHATTAN</v>
      </c>
      <c r="D221" t="str">
        <f>VLOOKUP(all[[#This Row],[DEVELOPMENT]],Data[],3,FALSE)</f>
        <v>KRAUS MANAGEMENT (PRIVATE - M/B 1)</v>
      </c>
      <c r="E221">
        <f>VLOOKUP(B221,Data[],8,FALSE)</f>
        <v>0</v>
      </c>
      <c r="F221">
        <f>VLOOKUP(B221,Data[],9,FALSE)</f>
        <v>0</v>
      </c>
      <c r="G221" t="str">
        <f>IFERROR(VLOOKUP(B221,Data[],4,FALSE),"")</f>
        <v/>
      </c>
      <c r="H221" t="str">
        <f ca="1">IF(G221="","",IF((G221-YEAR(TODAY()))&lt;=5,"Yes",""))</f>
        <v/>
      </c>
      <c r="I221">
        <f>VLOOKUP(all[[#This Row],[DEVELOPMENT]],Data[],7,FALSE)</f>
        <v>156</v>
      </c>
      <c r="J221">
        <f>VLOOKUP(all[[#This Row],[DEVELOPMENT]],Data[],25,FALSE)</f>
        <v>0</v>
      </c>
      <c r="K221">
        <f>VLOOKUP(all[[#This Row],[DEVELOPMENT]],Data[],5,FALSE)</f>
        <v>4</v>
      </c>
      <c r="L221">
        <f>VLOOKUP(all[[#This Row],[DEVELOPMENT]],Data[],27,FALSE)</f>
        <v>4</v>
      </c>
      <c r="M221">
        <f>VLOOKUP(all[[#This Row],[DEVELOPMENT]],Data[],31,FALSE)</f>
        <v>4</v>
      </c>
      <c r="N221">
        <f>VLOOKUP(all[[#This Row],[DEVELOPMENT]],Data[],26,FALSE)</f>
        <v>0</v>
      </c>
      <c r="O221">
        <f>VLOOKUP(all[[#This Row],[DEVELOPMENT]],Data[],30,FALSE)</f>
        <v>0</v>
      </c>
      <c r="P221">
        <f>VLOOKUP(all[[#This Row],[DEVELOPMENT]],Data[],28,FALSE)</f>
        <v>0</v>
      </c>
      <c r="Q221">
        <f>IF(all[[#This Row],['# Bulk Crushers]]=0,1,0)</f>
        <v>1</v>
      </c>
      <c r="R221" s="5">
        <f>IFERROR(INDEX(FWD[],MATCH($B221,FWD[DEVELOPMENT],0),MATCH("ESTIMATE",FWD[#Headers],0)),0)</f>
        <v>0</v>
      </c>
      <c r="S221" s="5">
        <f>IFERROR(INDEX(EHD[],MATCH($B221,EHD[DEVELOPMENT],0),MATCH("ESTIMATE",EHD[#Headers],0)),0)</f>
        <v>29742.574000000001</v>
      </c>
      <c r="T221" s="5">
        <f ca="1">IFERROR(INDEX(IntComp[],MATCH($B221,IntComp[DEVELOPMENT],0),MATCH("ESTIMATE",IntComp[#Headers],0)),0)</f>
        <v>294613.57799999998</v>
      </c>
      <c r="U221" s="5">
        <f>IFERROR(INDEX(Yards[],MATCH($B221,Yards[DEVELOPMENT],0),MATCH("ESTIMATE",Yards[#Headers],0)),0)</f>
        <v>1159792.78</v>
      </c>
      <c r="V221" s="128">
        <f ca="1">SUM(R221:U221)</f>
        <v>1484148.932</v>
      </c>
      <c r="W221" s="5"/>
    </row>
    <row r="222" spans="1:23" x14ac:dyDescent="0.25">
      <c r="A222" s="131">
        <f>VLOOKUP(B222,Data[],24,FALSE)</f>
        <v>517</v>
      </c>
      <c r="B222" t="s">
        <v>300</v>
      </c>
      <c r="C222" t="str">
        <f>VLOOKUP(B222,Data[],2,FALSE)</f>
        <v>MANHATTAN</v>
      </c>
      <c r="D222" t="str">
        <f>VLOOKUP(all[[#This Row],[DEVELOPMENT]],Data[],3,FALSE)</f>
        <v>WISE TOWERS</v>
      </c>
      <c r="E222" t="str">
        <f>VLOOKUP(B222,Data[],8,FALSE)</f>
        <v>Zone 4</v>
      </c>
      <c r="F222">
        <f>VLOOKUP(B222,Data[],9,FALSE)</f>
        <v>0</v>
      </c>
      <c r="G222" t="str">
        <f>IFERROR(VLOOKUP(B222,Data[],4,FALSE),"")</f>
        <v/>
      </c>
      <c r="H222" t="str">
        <f ca="1">IF(G222="","",IF((G222-YEAR(TODAY()))&lt;=5,"Yes",""))</f>
        <v/>
      </c>
      <c r="I222">
        <f>VLOOKUP(all[[#This Row],[DEVELOPMENT]],Data[],7,FALSE)</f>
        <v>40</v>
      </c>
      <c r="J222">
        <f>VLOOKUP(all[[#This Row],[DEVELOPMENT]],Data[],25,FALSE)</f>
        <v>0</v>
      </c>
      <c r="K222">
        <f>VLOOKUP(all[[#This Row],[DEVELOPMENT]],Data[],5,FALSE)</f>
        <v>1</v>
      </c>
      <c r="L222">
        <f>VLOOKUP(all[[#This Row],[DEVELOPMENT]],Data[],27,FALSE)</f>
        <v>1</v>
      </c>
      <c r="M222">
        <f>VLOOKUP(all[[#This Row],[DEVELOPMENT]],Data[],31,FALSE)</f>
        <v>1</v>
      </c>
      <c r="N222">
        <f>VLOOKUP(all[[#This Row],[DEVELOPMENT]],Data[],26,FALSE)</f>
        <v>0</v>
      </c>
      <c r="O222">
        <f>VLOOKUP(all[[#This Row],[DEVELOPMENT]],Data[],30,FALSE)</f>
        <v>0</v>
      </c>
      <c r="P222">
        <f>VLOOKUP(all[[#This Row],[DEVELOPMENT]],Data[],28,FALSE)</f>
        <v>0</v>
      </c>
      <c r="Q222">
        <f>IF(all[[#This Row],['# Bulk Crushers]]=0,1,0)</f>
        <v>1</v>
      </c>
      <c r="R222" s="5">
        <f>IFERROR(INDEX(FWD[],MATCH($B222,FWD[DEVELOPMENT],0),MATCH("ESTIMATE",FWD[#Headers],0)),0)</f>
        <v>0</v>
      </c>
      <c r="S222" s="5">
        <f>IFERROR(INDEX(EHD[],MATCH($B222,EHD[DEVELOPMENT],0),MATCH("ESTIMATE",EHD[#Headers],0)),0)</f>
        <v>7435.6435000000001</v>
      </c>
      <c r="T222" s="5">
        <f ca="1">IFERROR(INDEX(IntComp[],MATCH($B222,IntComp[DEVELOPMENT],0),MATCH("ESTIMATE",IntComp[#Headers],0)),0)</f>
        <v>73653.394499999995</v>
      </c>
      <c r="U222" s="5">
        <f>IFERROR(INDEX(Yards[],MATCH($B222,Yards[DEVELOPMENT],0),MATCH("ESTIMATE",Yards[#Headers],0)),0)</f>
        <v>0</v>
      </c>
      <c r="V222" s="128">
        <f ca="1">SUM(R222:U222)</f>
        <v>81089.038</v>
      </c>
      <c r="W222" s="5"/>
    </row>
    <row r="223" spans="1:23" x14ac:dyDescent="0.25">
      <c r="A223" s="131">
        <f>VLOOKUP(B223,Data[],24,FALSE)</f>
        <v>167</v>
      </c>
      <c r="B223" t="s">
        <v>301</v>
      </c>
      <c r="C223" t="str">
        <f>VLOOKUP(B223,Data[],2,FALSE)</f>
        <v>BROOKLYN</v>
      </c>
      <c r="D223" t="str">
        <f>VLOOKUP(all[[#This Row],[DEVELOPMENT]],Data[],3,FALSE)</f>
        <v>REID APARTMENTS</v>
      </c>
      <c r="E223">
        <f>VLOOKUP(B223,Data[],8,FALSE)</f>
        <v>0</v>
      </c>
      <c r="F223">
        <f>VLOOKUP(B223,Data[],9,FALSE)</f>
        <v>0</v>
      </c>
      <c r="G223">
        <f>IFERROR(VLOOKUP(B223,Data[],4,FALSE),"")</f>
        <v>2021</v>
      </c>
      <c r="H223" t="str">
        <f ca="1">IF(G223="","",IF((G223-YEAR(TODAY()))&lt;=5,"Yes",""))</f>
        <v>Yes</v>
      </c>
      <c r="I223">
        <f>VLOOKUP(all[[#This Row],[DEVELOPMENT]],Data[],7,FALSE)</f>
        <v>227</v>
      </c>
      <c r="J223">
        <f>VLOOKUP(all[[#This Row],[DEVELOPMENT]],Data[],25,FALSE)</f>
        <v>0</v>
      </c>
      <c r="K223">
        <f>VLOOKUP(all[[#This Row],[DEVELOPMENT]],Data[],5,FALSE)</f>
        <v>1</v>
      </c>
      <c r="L223">
        <f>VLOOKUP(all[[#This Row],[DEVELOPMENT]],Data[],27,FALSE)</f>
        <v>1</v>
      </c>
      <c r="M223">
        <f>VLOOKUP(all[[#This Row],[DEVELOPMENT]],Data[],31,FALSE)</f>
        <v>1</v>
      </c>
      <c r="N223">
        <f>VLOOKUP(all[[#This Row],[DEVELOPMENT]],Data[],26,FALSE)</f>
        <v>0</v>
      </c>
      <c r="O223">
        <f>VLOOKUP(all[[#This Row],[DEVELOPMENT]],Data[],30,FALSE)</f>
        <v>0</v>
      </c>
      <c r="P223">
        <f>VLOOKUP(all[[#This Row],[DEVELOPMENT]],Data[],28,FALSE)</f>
        <v>0</v>
      </c>
      <c r="Q223">
        <f>IF(all[[#This Row],['# Bulk Crushers]]=0,1,0)</f>
        <v>1</v>
      </c>
      <c r="R223" s="5">
        <f>IFERROR(INDEX(FWD[],MATCH($B223,FWD[DEVELOPMENT],0),MATCH("ESTIMATE",FWD[#Headers],0)),0)</f>
        <v>0</v>
      </c>
      <c r="S223" s="5">
        <f>IFERROR(INDEX(EHD[],MATCH($B223,EHD[DEVELOPMENT],0),MATCH("ESTIMATE",EHD[#Headers],0)),0)</f>
        <v>0</v>
      </c>
      <c r="T223" s="5">
        <f ca="1">IFERROR(INDEX(IntComp[],MATCH($B223,IntComp[DEVELOPMENT],0),MATCH("ESTIMATE",IntComp[#Headers],0)),0)</f>
        <v>0</v>
      </c>
      <c r="U223" s="5">
        <f>IFERROR(INDEX(Yards[],MATCH($B223,Yards[DEVELOPMENT],0),MATCH("ESTIMATE",Yards[#Headers],0)),0)</f>
        <v>0</v>
      </c>
      <c r="V223" s="128">
        <f ca="1">SUM(R223:U223)</f>
        <v>0</v>
      </c>
      <c r="W223" s="5"/>
    </row>
    <row r="224" spans="1:23" x14ac:dyDescent="0.25">
      <c r="A224" s="131">
        <f>VLOOKUP(B224,Data[],24,FALSE)</f>
        <v>117</v>
      </c>
      <c r="B224" t="s">
        <v>302</v>
      </c>
      <c r="C224" t="str">
        <f>VLOOKUP(B224,Data[],2,FALSE)</f>
        <v>STATEN ISLAND</v>
      </c>
      <c r="D224" t="str">
        <f>VLOOKUP(all[[#This Row],[DEVELOPMENT]],Data[],3,FALSE)</f>
        <v>RICHMOND TERRACE</v>
      </c>
      <c r="E224">
        <f>VLOOKUP(B224,Data[],8,FALSE)</f>
        <v>0</v>
      </c>
      <c r="F224">
        <f>VLOOKUP(B224,Data[],9,FALSE)</f>
        <v>0</v>
      </c>
      <c r="G224" t="str">
        <f>IFERROR(VLOOKUP(B224,Data[],4,FALSE),"")</f>
        <v/>
      </c>
      <c r="H224" t="str">
        <f ca="1">IF(G224="","",IF((G224-YEAR(TODAY()))&lt;=5,"Yes",""))</f>
        <v/>
      </c>
      <c r="I224">
        <f>VLOOKUP(all[[#This Row],[DEVELOPMENT]],Data[],7,FALSE)</f>
        <v>488</v>
      </c>
      <c r="J224">
        <f>VLOOKUP(all[[#This Row],[DEVELOPMENT]],Data[],25,FALSE)</f>
        <v>0</v>
      </c>
      <c r="K224">
        <f>VLOOKUP(all[[#This Row],[DEVELOPMENT]],Data[],5,FALSE)</f>
        <v>6</v>
      </c>
      <c r="L224">
        <f>VLOOKUP(all[[#This Row],[DEVELOPMENT]],Data[],27,FALSE)</f>
        <v>6</v>
      </c>
      <c r="M224">
        <f>VLOOKUP(all[[#This Row],[DEVELOPMENT]],Data[],31,FALSE)</f>
        <v>6</v>
      </c>
      <c r="N224">
        <f>VLOOKUP(all[[#This Row],[DEVELOPMENT]],Data[],26,FALSE)</f>
        <v>2</v>
      </c>
      <c r="O224">
        <f>VLOOKUP(all[[#This Row],[DEVELOPMENT]],Data[],30,FALSE)</f>
        <v>0</v>
      </c>
      <c r="P224">
        <f>VLOOKUP(all[[#This Row],[DEVELOPMENT]],Data[],28,FALSE)</f>
        <v>0</v>
      </c>
      <c r="Q224">
        <f>IF(all[[#This Row],['# Bulk Crushers]]=0,1,0)</f>
        <v>1</v>
      </c>
      <c r="R224" s="5">
        <f>IFERROR(INDEX(FWD[],MATCH($B224,FWD[DEVELOPMENT],0),MATCH("ESTIMATE",FWD[#Headers],0)),0)</f>
        <v>0</v>
      </c>
      <c r="S224" s="5">
        <f>IFERROR(INDEX(EHD[],MATCH($B224,EHD[DEVELOPMENT],0),MATCH("ESTIMATE",EHD[#Headers],0)),0)</f>
        <v>44613.861000000004</v>
      </c>
      <c r="T224" s="5">
        <f ca="1">IFERROR(INDEX(IntComp[],MATCH($B224,IntComp[DEVELOPMENT],0),MATCH("ESTIMATE",IntComp[#Headers],0)),0)</f>
        <v>441920.36699999991</v>
      </c>
      <c r="U224" s="5">
        <f>IFERROR(INDEX(Yards[],MATCH($B224,Yards[DEVELOPMENT],0),MATCH("ESTIMATE",Yards[#Headers],0)),0)</f>
        <v>1159792.78</v>
      </c>
      <c r="V224" s="128">
        <f ca="1">SUM(R224:U224)</f>
        <v>1646327.0079999999</v>
      </c>
      <c r="W224" s="5"/>
    </row>
    <row r="225" spans="1:23" x14ac:dyDescent="0.25">
      <c r="A225" s="131">
        <f>VLOOKUP(B225,Data[],24,FALSE)</f>
        <v>18</v>
      </c>
      <c r="B225" t="s">
        <v>55</v>
      </c>
      <c r="C225" t="str">
        <f>VLOOKUP(B225,Data[],2,FALSE)</f>
        <v>MANHATTAN</v>
      </c>
      <c r="D225" t="str">
        <f>VLOOKUP(all[[#This Row],[DEVELOPMENT]],Data[],3,FALSE)</f>
        <v>RIIS</v>
      </c>
      <c r="E225" t="str">
        <f>VLOOKUP(B225,Data[],8,FALSE)</f>
        <v>Zone 1</v>
      </c>
      <c r="F225" t="str">
        <f>VLOOKUP(B225,Data[],9,FALSE)</f>
        <v>$</v>
      </c>
      <c r="G225" t="str">
        <f>IFERROR(VLOOKUP(B225,Data[],4,FALSE),"")</f>
        <v/>
      </c>
      <c r="H225" t="str">
        <f ca="1">IF(G225="","",IF((G225-YEAR(TODAY()))&lt;=5,"Yes",""))</f>
        <v/>
      </c>
      <c r="I225">
        <f>VLOOKUP(all[[#This Row],[DEVELOPMENT]],Data[],7,FALSE)</f>
        <v>1191</v>
      </c>
      <c r="J225" t="str">
        <f>VLOOKUP(all[[#This Row],[DEVELOPMENT]],Data[],25,FALSE)</f>
        <v>Yes</v>
      </c>
      <c r="K225">
        <f>VLOOKUP(all[[#This Row],[DEVELOPMENT]],Data[],5,FALSE)</f>
        <v>13</v>
      </c>
      <c r="L225">
        <f>VLOOKUP(all[[#This Row],[DEVELOPMENT]],Data[],27,FALSE)</f>
        <v>15</v>
      </c>
      <c r="M225">
        <f>VLOOKUP(all[[#This Row],[DEVELOPMENT]],Data[],31,FALSE)</f>
        <v>15</v>
      </c>
      <c r="N225">
        <f>VLOOKUP(all[[#This Row],[DEVELOPMENT]],Data[],26,FALSE)</f>
        <v>2</v>
      </c>
      <c r="O225">
        <f>VLOOKUP(all[[#This Row],[DEVELOPMENT]],Data[],30,FALSE)</f>
        <v>2</v>
      </c>
      <c r="P225">
        <f>VLOOKUP(all[[#This Row],[DEVELOPMENT]],Data[],28,FALSE)</f>
        <v>0</v>
      </c>
      <c r="Q225">
        <f>IF(all[[#This Row],['# Bulk Crushers]]=0,1,0)</f>
        <v>1</v>
      </c>
      <c r="R225" s="5">
        <f>IFERROR(INDEX(FWD[],MATCH($B225,FWD[DEVELOPMENT],0),MATCH("ESTIMATE",FWD[#Headers],0)),0)</f>
        <v>2047014.5133466078</v>
      </c>
      <c r="S225" s="5">
        <f>IFERROR(INDEX(EHD[],MATCH($B225,EHD[DEVELOPMENT],0),MATCH("ESTIMATE",EHD[#Headers],0)),0)</f>
        <v>111534.6525</v>
      </c>
      <c r="T225" s="5">
        <f ca="1">IFERROR(INDEX(IntComp[],MATCH($B225,IntComp[DEVELOPMENT],0),MATCH("ESTIMATE",IntComp[#Headers],0)),0)</f>
        <v>1104800.9175</v>
      </c>
      <c r="U225" s="5">
        <f ca="1">IFERROR(INDEX(Yards[],MATCH($B225,Yards[DEVELOPMENT],0),MATCH("ESTIMATE",Yards[#Headers],0)),0)</f>
        <v>1591050.0199999998</v>
      </c>
      <c r="V225" s="128">
        <f ca="1">SUM(R225:U225)</f>
        <v>4854400.1033466076</v>
      </c>
      <c r="W225" s="5"/>
    </row>
    <row r="226" spans="1:23" x14ac:dyDescent="0.25">
      <c r="A226" s="131">
        <f>VLOOKUP(B226,Data[],24,FALSE)</f>
        <v>19</v>
      </c>
      <c r="B226" t="s">
        <v>104</v>
      </c>
      <c r="C226" t="str">
        <f>VLOOKUP(B226,Data[],2,FALSE)</f>
        <v>MANHATTAN</v>
      </c>
      <c r="D226" t="str">
        <f>VLOOKUP(all[[#This Row],[DEVELOPMENT]],Data[],3,FALSE)</f>
        <v>RIIS</v>
      </c>
      <c r="E226" t="str">
        <f>VLOOKUP(B226,Data[],8,FALSE)</f>
        <v>Zone 1</v>
      </c>
      <c r="F226" t="str">
        <f>VLOOKUP(B226,Data[],9,FALSE)</f>
        <v>$$</v>
      </c>
      <c r="G226" t="str">
        <f>IFERROR(VLOOKUP(B226,Data[],4,FALSE),"")</f>
        <v/>
      </c>
      <c r="H226" t="str">
        <f ca="1">IF(G226="","",IF((G226-YEAR(TODAY()))&lt;=5,"Yes",""))</f>
        <v/>
      </c>
      <c r="I226">
        <f>VLOOKUP(all[[#This Row],[DEVELOPMENT]],Data[],7,FALSE)</f>
        <v>577</v>
      </c>
      <c r="J226" t="str">
        <f>VLOOKUP(all[[#This Row],[DEVELOPMENT]],Data[],25,FALSE)</f>
        <v>Yes</v>
      </c>
      <c r="K226">
        <f>VLOOKUP(all[[#This Row],[DEVELOPMENT]],Data[],5,FALSE)</f>
        <v>6</v>
      </c>
      <c r="L226">
        <f>VLOOKUP(all[[#This Row],[DEVELOPMENT]],Data[],27,FALSE)</f>
        <v>7</v>
      </c>
      <c r="M226">
        <f>VLOOKUP(all[[#This Row],[DEVELOPMENT]],Data[],31,FALSE)</f>
        <v>7</v>
      </c>
      <c r="N226">
        <f>VLOOKUP(all[[#This Row],[DEVELOPMENT]],Data[],26,FALSE)</f>
        <v>1</v>
      </c>
      <c r="O226">
        <f>VLOOKUP(all[[#This Row],[DEVELOPMENT]],Data[],30,FALSE)</f>
        <v>1</v>
      </c>
      <c r="P226">
        <f>VLOOKUP(all[[#This Row],[DEVELOPMENT]],Data[],28,FALSE)</f>
        <v>0</v>
      </c>
      <c r="Q226">
        <f>IF(all[[#This Row],['# Bulk Crushers]]=0,1,0)</f>
        <v>1</v>
      </c>
      <c r="R226" s="5">
        <f>IFERROR(INDEX(FWD[],MATCH($B226,FWD[DEVELOPMENT],0),MATCH("ESTIMATE",FWD[#Headers],0)),0)</f>
        <v>991710.64164650941</v>
      </c>
      <c r="S226" s="5">
        <f>IFERROR(INDEX(EHD[],MATCH($B226,EHD[DEVELOPMENT],0),MATCH("ESTIMATE",EHD[#Headers],0)),0)</f>
        <v>52049.504500000003</v>
      </c>
      <c r="T226" s="5">
        <f ca="1">IFERROR(INDEX(IntComp[],MATCH($B226,IntComp[DEVELOPMENT],0),MATCH("ESTIMATE",IntComp[#Headers],0)),0)</f>
        <v>515573.76149999991</v>
      </c>
      <c r="U226" s="5">
        <f ca="1">IFERROR(INDEX(Yards[],MATCH($B226,Yards[DEVELOPMENT],0),MATCH("ESTIMATE",Yards[#Headers],0)),0)</f>
        <v>1159792.78</v>
      </c>
      <c r="V226" s="128">
        <f ca="1">SUM(R226:U226)</f>
        <v>2719126.6876465091</v>
      </c>
      <c r="W226" s="5"/>
    </row>
    <row r="227" spans="1:23" x14ac:dyDescent="0.25">
      <c r="A227" s="131">
        <f>VLOOKUP(B227,Data[],24,FALSE)</f>
        <v>218</v>
      </c>
      <c r="B227" t="s">
        <v>303</v>
      </c>
      <c r="C227" t="str">
        <f>VLOOKUP(B227,Data[],2,FALSE)</f>
        <v>MANHATTAN</v>
      </c>
      <c r="D227" t="str">
        <f>VLOOKUP(all[[#This Row],[DEVELOPMENT]],Data[],3,FALSE)</f>
        <v>ISAACS</v>
      </c>
      <c r="E227">
        <f>VLOOKUP(B227,Data[],8,FALSE)</f>
        <v>0</v>
      </c>
      <c r="F227">
        <f>VLOOKUP(B227,Data[],9,FALSE)</f>
        <v>0</v>
      </c>
      <c r="G227" t="str">
        <f>IFERROR(VLOOKUP(B227,Data[],4,FALSE),"")</f>
        <v/>
      </c>
      <c r="H227" t="str">
        <f ca="1">IF(G227="","",IF((G227-YEAR(TODAY()))&lt;=5,"Yes",""))</f>
        <v/>
      </c>
      <c r="I227">
        <f>VLOOKUP(all[[#This Row],[DEVELOPMENT]],Data[],7,FALSE)</f>
        <v>150</v>
      </c>
      <c r="J227">
        <f>VLOOKUP(all[[#This Row],[DEVELOPMENT]],Data[],25,FALSE)</f>
        <v>0</v>
      </c>
      <c r="K227">
        <f>VLOOKUP(all[[#This Row],[DEVELOPMENT]],Data[],5,FALSE)</f>
        <v>1</v>
      </c>
      <c r="L227">
        <f>VLOOKUP(all[[#This Row],[DEVELOPMENT]],Data[],27,FALSE)</f>
        <v>1</v>
      </c>
      <c r="M227">
        <f>VLOOKUP(all[[#This Row],[DEVELOPMENT]],Data[],31,FALSE)</f>
        <v>1</v>
      </c>
      <c r="N227">
        <f>VLOOKUP(all[[#This Row],[DEVELOPMENT]],Data[],26,FALSE)</f>
        <v>0</v>
      </c>
      <c r="O227">
        <f>VLOOKUP(all[[#This Row],[DEVELOPMENT]],Data[],30,FALSE)</f>
        <v>0</v>
      </c>
      <c r="P227">
        <f>VLOOKUP(all[[#This Row],[DEVELOPMENT]],Data[],28,FALSE)</f>
        <v>0</v>
      </c>
      <c r="Q227">
        <f>IF(all[[#This Row],['# Bulk Crushers]]=0,1,0)</f>
        <v>1</v>
      </c>
      <c r="R227" s="5">
        <f>IFERROR(INDEX(FWD[],MATCH($B227,FWD[DEVELOPMENT],0),MATCH("ESTIMATE",FWD[#Headers],0)),0)</f>
        <v>0</v>
      </c>
      <c r="S227" s="5">
        <f>IFERROR(INDEX(EHD[],MATCH($B227,EHD[DEVELOPMENT],0),MATCH("ESTIMATE",EHD[#Headers],0)),0)</f>
        <v>0</v>
      </c>
      <c r="T227" s="5">
        <f ca="1">IFERROR(INDEX(IntComp[],MATCH($B227,IntComp[DEVELOPMENT],0),MATCH("ESTIMATE",IntComp[#Headers],0)),0)</f>
        <v>73653.394499999995</v>
      </c>
      <c r="U227" s="5">
        <f>IFERROR(INDEX(Yards[],MATCH($B227,Yards[DEVELOPMENT],0),MATCH("ESTIMATE",Yards[#Headers],0)),0)</f>
        <v>1159792.78</v>
      </c>
      <c r="V227" s="128">
        <f ca="1">SUM(R227:U227)</f>
        <v>1233446.1745</v>
      </c>
      <c r="W227" s="5"/>
    </row>
    <row r="228" spans="1:23" x14ac:dyDescent="0.25">
      <c r="A228" s="131">
        <f>VLOOKUP(B228,Data[],24,FALSE)</f>
        <v>241</v>
      </c>
      <c r="B228" t="s">
        <v>107</v>
      </c>
      <c r="C228" t="str">
        <f>VLOOKUP(B228,Data[],2,FALSE)</f>
        <v>MANHATTAN</v>
      </c>
      <c r="D228" t="str">
        <f>VLOOKUP(all[[#This Row],[DEVELOPMENT]],Data[],3,FALSE)</f>
        <v>ROBINSON</v>
      </c>
      <c r="E228" t="str">
        <f>VLOOKUP(B228,Data[],8,FALSE)</f>
        <v>Zone 2</v>
      </c>
      <c r="F228" t="str">
        <f>VLOOKUP(B228,Data[],9,FALSE)</f>
        <v>$$</v>
      </c>
      <c r="G228" t="str">
        <f>IFERROR(VLOOKUP(B228,Data[],4,FALSE),"")</f>
        <v/>
      </c>
      <c r="H228" t="str">
        <f ca="1">IF(G228="","",IF((G228-YEAR(TODAY()))&lt;=5,"Yes",""))</f>
        <v/>
      </c>
      <c r="I228">
        <f>VLOOKUP(all[[#This Row],[DEVELOPMENT]],Data[],7,FALSE)</f>
        <v>188</v>
      </c>
      <c r="J228">
        <f>VLOOKUP(all[[#This Row],[DEVELOPMENT]],Data[],25,FALSE)</f>
        <v>0</v>
      </c>
      <c r="K228">
        <f>VLOOKUP(all[[#This Row],[DEVELOPMENT]],Data[],5,FALSE)</f>
        <v>1</v>
      </c>
      <c r="L228">
        <f>VLOOKUP(all[[#This Row],[DEVELOPMENT]],Data[],27,FALSE)</f>
        <v>2</v>
      </c>
      <c r="M228">
        <f>VLOOKUP(all[[#This Row],[DEVELOPMENT]],Data[],31,FALSE)</f>
        <v>2</v>
      </c>
      <c r="N228">
        <f>VLOOKUP(all[[#This Row],[DEVELOPMENT]],Data[],26,FALSE)</f>
        <v>0</v>
      </c>
      <c r="O228">
        <f>VLOOKUP(all[[#This Row],[DEVELOPMENT]],Data[],30,FALSE)</f>
        <v>0</v>
      </c>
      <c r="P228">
        <f>VLOOKUP(all[[#This Row],[DEVELOPMENT]],Data[],28,FALSE)</f>
        <v>0</v>
      </c>
      <c r="Q228">
        <f>IF(all[[#This Row],['# Bulk Crushers]]=0,1,0)</f>
        <v>1</v>
      </c>
      <c r="R228" s="5">
        <f>IFERROR(INDEX(FWD[],MATCH($B228,FWD[DEVELOPMENT],0),MATCH("ESTIMATE",FWD[#Headers],0)),0)</f>
        <v>0</v>
      </c>
      <c r="S228" s="5">
        <f>IFERROR(INDEX(EHD[],MATCH($B228,EHD[DEVELOPMENT],0),MATCH("ESTIMATE",EHD[#Headers],0)),0)</f>
        <v>14871.287</v>
      </c>
      <c r="T228" s="5">
        <f ca="1">IFERROR(INDEX(IntComp[],MATCH($B228,IntComp[DEVELOPMENT],0),MATCH("ESTIMATE",IntComp[#Headers],0)),0)</f>
        <v>147306.78899999999</v>
      </c>
      <c r="U228" s="5">
        <f>IFERROR(INDEX(Yards[],MATCH($B228,Yards[DEVELOPMENT],0),MATCH("ESTIMATE",Yards[#Headers],0)),0)</f>
        <v>1159792.78</v>
      </c>
      <c r="V228" s="128">
        <f ca="1">SUM(R228:U228)</f>
        <v>1321970.8560000001</v>
      </c>
      <c r="W228" s="5"/>
    </row>
    <row r="229" spans="1:23" x14ac:dyDescent="0.25">
      <c r="A229" s="131">
        <f>VLOOKUP(B229,Data[],24,FALSE)</f>
        <v>135</v>
      </c>
      <c r="B229" t="s">
        <v>42</v>
      </c>
      <c r="C229" t="str">
        <f>VLOOKUP(B229,Data[],2,FALSE)</f>
        <v>BROOKLYN</v>
      </c>
      <c r="D229" t="str">
        <f>VLOOKUP(all[[#This Row],[DEVELOPMENT]],Data[],3,FALSE)</f>
        <v>ROOSEVELT</v>
      </c>
      <c r="E229" t="str">
        <f>VLOOKUP(B229,Data[],8,FALSE)</f>
        <v>Zone 1</v>
      </c>
      <c r="F229" t="str">
        <f>VLOOKUP(B229,Data[],9,FALSE)</f>
        <v>$</v>
      </c>
      <c r="G229" t="str">
        <f>IFERROR(VLOOKUP(B229,Data[],4,FALSE),"")</f>
        <v/>
      </c>
      <c r="H229" t="str">
        <f ca="1">IF(G229="","",IF((G229-YEAR(TODAY()))&lt;=5,"Yes",""))</f>
        <v/>
      </c>
      <c r="I229">
        <f>VLOOKUP(all[[#This Row],[DEVELOPMENT]],Data[],7,FALSE)</f>
        <v>761</v>
      </c>
      <c r="J229" t="str">
        <f>VLOOKUP(all[[#This Row],[DEVELOPMENT]],Data[],25,FALSE)</f>
        <v>Yes</v>
      </c>
      <c r="K229">
        <f>VLOOKUP(all[[#This Row],[DEVELOPMENT]],Data[],5,FALSE)</f>
        <v>6</v>
      </c>
      <c r="L229">
        <f>VLOOKUP(all[[#This Row],[DEVELOPMENT]],Data[],27,FALSE)</f>
        <v>6</v>
      </c>
      <c r="M229">
        <f>VLOOKUP(all[[#This Row],[DEVELOPMENT]],Data[],31,FALSE)</f>
        <v>6</v>
      </c>
      <c r="N229">
        <f>VLOOKUP(all[[#This Row],[DEVELOPMENT]],Data[],26,FALSE)</f>
        <v>0</v>
      </c>
      <c r="O229">
        <f>VLOOKUP(all[[#This Row],[DEVELOPMENT]],Data[],30,FALSE)</f>
        <v>0</v>
      </c>
      <c r="P229">
        <f>VLOOKUP(all[[#This Row],[DEVELOPMENT]],Data[],28,FALSE)</f>
        <v>0</v>
      </c>
      <c r="Q229">
        <f>IF(all[[#This Row],['# Bulk Crushers]]=0,1,0)</f>
        <v>1</v>
      </c>
      <c r="R229" s="5">
        <f>IFERROR(INDEX(FWD[],MATCH($B229,FWD[DEVELOPMENT],0),MATCH("ESTIMATE",FWD[#Headers],0)),0)</f>
        <v>1307958.0559670599</v>
      </c>
      <c r="S229" s="5">
        <f>IFERROR(INDEX(EHD[],MATCH($B229,EHD[DEVELOPMENT],0),MATCH("ESTIMATE",EHD[#Headers],0)),0)</f>
        <v>0</v>
      </c>
      <c r="T229" s="5">
        <f ca="1">IFERROR(INDEX(IntComp[],MATCH($B229,IntComp[DEVELOPMENT],0),MATCH("ESTIMATE",IntComp[#Headers],0)),0)</f>
        <v>441920.36699999991</v>
      </c>
      <c r="U229" s="5">
        <f>IFERROR(INDEX(Yards[],MATCH($B229,Yards[DEVELOPMENT],0),MATCH("ESTIMATE",Yards[#Headers],0)),0)</f>
        <v>1159792.78</v>
      </c>
      <c r="V229" s="128">
        <f ca="1">SUM(R229:U229)</f>
        <v>2909671.2029670598</v>
      </c>
      <c r="W229" s="5"/>
    </row>
    <row r="230" spans="1:23" x14ac:dyDescent="0.25">
      <c r="A230" s="131">
        <f>VLOOKUP(B230,Data[],24,FALSE)</f>
        <v>177</v>
      </c>
      <c r="B230" t="s">
        <v>148</v>
      </c>
      <c r="C230" t="str">
        <f>VLOOKUP(B230,Data[],2,FALSE)</f>
        <v>BROOKLYN</v>
      </c>
      <c r="D230" t="str">
        <f>VLOOKUP(all[[#This Row],[DEVELOPMENT]],Data[],3,FALSE)</f>
        <v>ROOSEVELT</v>
      </c>
      <c r="E230" t="str">
        <f>VLOOKUP(B230,Data[],8,FALSE)</f>
        <v>Zone 1</v>
      </c>
      <c r="F230" t="str">
        <f>VLOOKUP(B230,Data[],9,FALSE)</f>
        <v>$</v>
      </c>
      <c r="G230" t="str">
        <f>IFERROR(VLOOKUP(B230,Data[],4,FALSE),"")</f>
        <v/>
      </c>
      <c r="H230" t="str">
        <f ca="1">IF(G230="","",IF((G230-YEAR(TODAY()))&lt;=5,"Yes",""))</f>
        <v/>
      </c>
      <c r="I230">
        <f>VLOOKUP(all[[#This Row],[DEVELOPMENT]],Data[],7,FALSE)</f>
        <v>342</v>
      </c>
      <c r="J230" t="str">
        <f>VLOOKUP(all[[#This Row],[DEVELOPMENT]],Data[],25,FALSE)</f>
        <v>Yes</v>
      </c>
      <c r="K230">
        <f>VLOOKUP(all[[#This Row],[DEVELOPMENT]],Data[],5,FALSE)</f>
        <v>3</v>
      </c>
      <c r="L230">
        <f>VLOOKUP(all[[#This Row],[DEVELOPMENT]],Data[],27,FALSE)</f>
        <v>3</v>
      </c>
      <c r="M230">
        <f>VLOOKUP(all[[#This Row],[DEVELOPMENT]],Data[],31,FALSE)</f>
        <v>3</v>
      </c>
      <c r="N230">
        <f>VLOOKUP(all[[#This Row],[DEVELOPMENT]],Data[],26,FALSE)</f>
        <v>0</v>
      </c>
      <c r="O230">
        <f>VLOOKUP(all[[#This Row],[DEVELOPMENT]],Data[],30,FALSE)</f>
        <v>0</v>
      </c>
      <c r="P230">
        <f>VLOOKUP(all[[#This Row],[DEVELOPMENT]],Data[],28,FALSE)</f>
        <v>0</v>
      </c>
      <c r="Q230">
        <f>IF(all[[#This Row],['# Bulk Crushers]]=0,1,0)</f>
        <v>1</v>
      </c>
      <c r="R230" s="5">
        <f>IFERROR(INDEX(FWD[],MATCH($B230,FWD[DEVELOPMENT],0),MATCH("ESTIMATE",FWD[#Headers],0)),0)</f>
        <v>587807.69400884956</v>
      </c>
      <c r="S230" s="5">
        <f>IFERROR(INDEX(EHD[],MATCH($B230,EHD[DEVELOPMENT],0),MATCH("ESTIMATE",EHD[#Headers],0)),0)</f>
        <v>22306.930500000002</v>
      </c>
      <c r="T230" s="5">
        <f ca="1">IFERROR(INDEX(IntComp[],MATCH($B230,IntComp[DEVELOPMENT],0),MATCH("ESTIMATE",IntComp[#Headers],0)),0)</f>
        <v>220960.18349999996</v>
      </c>
      <c r="U230" s="5">
        <f>IFERROR(INDEX(Yards[],MATCH($B230,Yards[DEVELOPMENT],0),MATCH("ESTIMATE",Yards[#Headers],0)),0)</f>
        <v>1159792.78</v>
      </c>
      <c r="V230" s="128">
        <f ca="1">SUM(R230:U230)</f>
        <v>1990867.5880088494</v>
      </c>
      <c r="W230" s="5"/>
    </row>
    <row r="231" spans="1:23" x14ac:dyDescent="0.25">
      <c r="A231" s="131">
        <f>VLOOKUP(B231,Data[],24,FALSE)</f>
        <v>99</v>
      </c>
      <c r="B231" t="s">
        <v>43</v>
      </c>
      <c r="C231" t="str">
        <f>VLOOKUP(B231,Data[],2,FALSE)</f>
        <v>MANHATTAN</v>
      </c>
      <c r="D231" t="str">
        <f>VLOOKUP(all[[#This Row],[DEVELOPMENT]],Data[],3,FALSE)</f>
        <v>RUTGERS</v>
      </c>
      <c r="E231" t="str">
        <f>VLOOKUP(B231,Data[],8,FALSE)</f>
        <v>Zone 1</v>
      </c>
      <c r="F231" t="str">
        <f>VLOOKUP(B231,Data[],9,FALSE)</f>
        <v>$</v>
      </c>
      <c r="G231" t="str">
        <f>IFERROR(VLOOKUP(B231,Data[],4,FALSE),"")</f>
        <v/>
      </c>
      <c r="H231" t="str">
        <f ca="1">IF(G231="","",IF((G231-YEAR(TODAY()))&lt;=5,"Yes",""))</f>
        <v/>
      </c>
      <c r="I231">
        <f>VLOOKUP(all[[#This Row],[DEVELOPMENT]],Data[],7,FALSE)</f>
        <v>721</v>
      </c>
      <c r="J231" t="str">
        <f>VLOOKUP(all[[#This Row],[DEVELOPMENT]],Data[],25,FALSE)</f>
        <v>Yes</v>
      </c>
      <c r="K231">
        <f>VLOOKUP(all[[#This Row],[DEVELOPMENT]],Data[],5,FALSE)</f>
        <v>5</v>
      </c>
      <c r="L231">
        <f>VLOOKUP(all[[#This Row],[DEVELOPMENT]],Data[],27,FALSE)</f>
        <v>5</v>
      </c>
      <c r="M231">
        <f>VLOOKUP(all[[#This Row],[DEVELOPMENT]],Data[],31,FALSE)</f>
        <v>5</v>
      </c>
      <c r="N231">
        <f>VLOOKUP(all[[#This Row],[DEVELOPMENT]],Data[],26,FALSE)</f>
        <v>1</v>
      </c>
      <c r="O231">
        <f>VLOOKUP(all[[#This Row],[DEVELOPMENT]],Data[],30,FALSE)</f>
        <v>1</v>
      </c>
      <c r="P231">
        <f>VLOOKUP(all[[#This Row],[DEVELOPMENT]],Data[],28,FALSE)</f>
        <v>0</v>
      </c>
      <c r="Q231">
        <f>IF(all[[#This Row],['# Bulk Crushers]]=0,1,0)</f>
        <v>1</v>
      </c>
      <c r="R231" s="5">
        <f>IFERROR(INDEX(FWD[],MATCH($B231,FWD[DEVELOPMENT],0),MATCH("ESTIMATE",FWD[#Headers],0)),0)</f>
        <v>1239208.6180712881</v>
      </c>
      <c r="S231" s="5">
        <f>IFERROR(INDEX(EHD[],MATCH($B231,EHD[DEVELOPMENT],0),MATCH("ESTIMATE",EHD[#Headers],0)),0)</f>
        <v>0</v>
      </c>
      <c r="T231" s="5">
        <f ca="1">IFERROR(INDEX(IntComp[],MATCH($B231,IntComp[DEVELOPMENT],0),MATCH("ESTIMATE",IntComp[#Headers],0)),0)</f>
        <v>368266.97249999997</v>
      </c>
      <c r="U231" s="5">
        <f ca="1">IFERROR(INDEX(Yards[],MATCH($B231,Yards[DEVELOPMENT],0),MATCH("ESTIMATE",Yards[#Headers],0)),0)</f>
        <v>1159792.78</v>
      </c>
      <c r="V231" s="128">
        <f ca="1">SUM(R231:U231)</f>
        <v>2767268.3705712883</v>
      </c>
      <c r="W231" s="5"/>
    </row>
    <row r="232" spans="1:23" x14ac:dyDescent="0.25">
      <c r="A232" s="131">
        <f>VLOOKUP(B232,Data[],24,FALSE)</f>
        <v>282</v>
      </c>
      <c r="B232" t="s">
        <v>304</v>
      </c>
      <c r="C232" t="str">
        <f>VLOOKUP(B232,Data[],2,FALSE)</f>
        <v>BROOKLYN</v>
      </c>
      <c r="D232" t="str">
        <f>VLOOKUP(all[[#This Row],[DEVELOPMENT]],Data[],3,FALSE)</f>
        <v>REID APARTMENTS</v>
      </c>
      <c r="E232">
        <f>VLOOKUP(B232,Data[],8,FALSE)</f>
        <v>0</v>
      </c>
      <c r="F232">
        <f>VLOOKUP(B232,Data[],9,FALSE)</f>
        <v>0</v>
      </c>
      <c r="G232">
        <f>IFERROR(VLOOKUP(B232,Data[],4,FALSE),"")</f>
        <v>2021</v>
      </c>
      <c r="H232" t="str">
        <f ca="1">IF(G232="","",IF((G232-YEAR(TODAY()))&lt;=5,"Yes",""))</f>
        <v>Yes</v>
      </c>
      <c r="I232">
        <f>VLOOKUP(all[[#This Row],[DEVELOPMENT]],Data[],7,FALSE)</f>
        <v>60</v>
      </c>
      <c r="J232">
        <f>VLOOKUP(all[[#This Row],[DEVELOPMENT]],Data[],25,FALSE)</f>
        <v>0</v>
      </c>
      <c r="K232">
        <f>VLOOKUP(all[[#This Row],[DEVELOPMENT]],Data[],5,FALSE)</f>
        <v>1</v>
      </c>
      <c r="L232">
        <f>VLOOKUP(all[[#This Row],[DEVELOPMENT]],Data[],27,FALSE)</f>
        <v>1</v>
      </c>
      <c r="M232">
        <f>VLOOKUP(all[[#This Row],[DEVELOPMENT]],Data[],31,FALSE)</f>
        <v>1</v>
      </c>
      <c r="N232">
        <f>VLOOKUP(all[[#This Row],[DEVELOPMENT]],Data[],26,FALSE)</f>
        <v>0</v>
      </c>
      <c r="O232">
        <f>VLOOKUP(all[[#This Row],[DEVELOPMENT]],Data[],30,FALSE)</f>
        <v>0</v>
      </c>
      <c r="P232">
        <f>VLOOKUP(all[[#This Row],[DEVELOPMENT]],Data[],28,FALSE)</f>
        <v>0</v>
      </c>
      <c r="Q232">
        <f>IF(all[[#This Row],['# Bulk Crushers]]=0,1,0)</f>
        <v>1</v>
      </c>
      <c r="R232" s="5">
        <f>IFERROR(INDEX(FWD[],MATCH($B232,FWD[DEVELOPMENT],0),MATCH("ESTIMATE",FWD[#Headers],0)),0)</f>
        <v>0</v>
      </c>
      <c r="S232" s="5">
        <f>IFERROR(INDEX(EHD[],MATCH($B232,EHD[DEVELOPMENT],0),MATCH("ESTIMATE",EHD[#Headers],0)),0)</f>
        <v>7435.6435000000001</v>
      </c>
      <c r="T232" s="5">
        <f ca="1">IFERROR(INDEX(IntComp[],MATCH($B232,IntComp[DEVELOPMENT],0),MATCH("ESTIMATE",IntComp[#Headers],0)),0)</f>
        <v>0</v>
      </c>
      <c r="U232" s="5">
        <f>IFERROR(INDEX(Yards[],MATCH($B232,Yards[DEVELOPMENT],0),MATCH("ESTIMATE",Yards[#Headers],0)),0)</f>
        <v>0</v>
      </c>
      <c r="V232" s="128">
        <f ca="1">SUM(R232:U232)</f>
        <v>7435.6435000000001</v>
      </c>
      <c r="W232" s="5"/>
    </row>
    <row r="233" spans="1:23" x14ac:dyDescent="0.25">
      <c r="A233" s="131">
        <f>VLOOKUP(B233,Data[],24,FALSE)</f>
        <v>280</v>
      </c>
      <c r="B233" t="s">
        <v>305</v>
      </c>
      <c r="C233" t="str">
        <f>VLOOKUP(B233,Data[],2,FALSE)</f>
        <v>BRONX</v>
      </c>
      <c r="D233" t="str">
        <f>VLOOKUP(all[[#This Row],[DEVELOPMENT]],Data[],3,FALSE)</f>
        <v>SACK WERN</v>
      </c>
      <c r="E233">
        <f>VLOOKUP(B233,Data[],8,FALSE)</f>
        <v>0</v>
      </c>
      <c r="F233">
        <f>VLOOKUP(B233,Data[],9,FALSE)</f>
        <v>0</v>
      </c>
      <c r="G233">
        <f>IFERROR(VLOOKUP(B233,Data[],4,FALSE),"")</f>
        <v>2024</v>
      </c>
      <c r="H233" t="str">
        <f ca="1">IF(G233="","",IF((G233-YEAR(TODAY()))&lt;=5,"Yes",""))</f>
        <v>Yes</v>
      </c>
      <c r="I233">
        <f>VLOOKUP(all[[#This Row],[DEVELOPMENT]],Data[],7,FALSE)</f>
        <v>411</v>
      </c>
      <c r="J233">
        <f>VLOOKUP(all[[#This Row],[DEVELOPMENT]],Data[],25,FALSE)</f>
        <v>0</v>
      </c>
      <c r="K233">
        <f>VLOOKUP(all[[#This Row],[DEVELOPMENT]],Data[],5,FALSE)</f>
        <v>7</v>
      </c>
      <c r="L233">
        <f>VLOOKUP(all[[#This Row],[DEVELOPMENT]],Data[],27,FALSE)</f>
        <v>7</v>
      </c>
      <c r="M233">
        <f>VLOOKUP(all[[#This Row],[DEVELOPMENT]],Data[],31,FALSE)</f>
        <v>7</v>
      </c>
      <c r="N233">
        <f>VLOOKUP(all[[#This Row],[DEVELOPMENT]],Data[],26,FALSE)</f>
        <v>0</v>
      </c>
      <c r="O233">
        <f>VLOOKUP(all[[#This Row],[DEVELOPMENT]],Data[],30,FALSE)</f>
        <v>0</v>
      </c>
      <c r="P233">
        <f>VLOOKUP(all[[#This Row],[DEVELOPMENT]],Data[],28,FALSE)</f>
        <v>0</v>
      </c>
      <c r="Q233">
        <f>IF(all[[#This Row],['# Bulk Crushers]]=0,1,0)</f>
        <v>1</v>
      </c>
      <c r="R233" s="5">
        <f>IFERROR(INDEX(FWD[],MATCH($B233,FWD[DEVELOPMENT],0),MATCH("ESTIMATE",FWD[#Headers],0)),0)</f>
        <v>0</v>
      </c>
      <c r="S233" s="5">
        <f>IFERROR(INDEX(EHD[],MATCH($B233,EHD[DEVELOPMENT],0),MATCH("ESTIMATE",EHD[#Headers],0)),0)</f>
        <v>52049.504500000003</v>
      </c>
      <c r="T233" s="5">
        <f ca="1">IFERROR(INDEX(IntComp[],MATCH($B233,IntComp[DEVELOPMENT],0),MATCH("ESTIMATE",IntComp[#Headers],0)),0)</f>
        <v>0</v>
      </c>
      <c r="U233" s="5">
        <f>IFERROR(INDEX(Yards[],MATCH($B233,Yards[DEVELOPMENT],0),MATCH("ESTIMATE",Yards[#Headers],0)),0)</f>
        <v>0</v>
      </c>
      <c r="V233" s="128">
        <f ca="1">SUM(R233:U233)</f>
        <v>52049.504500000003</v>
      </c>
      <c r="W233" s="5"/>
    </row>
    <row r="234" spans="1:23" x14ac:dyDescent="0.25">
      <c r="A234" s="131">
        <f>VLOOKUP(B234,Data[],24,FALSE)</f>
        <v>93</v>
      </c>
      <c r="B234" t="s">
        <v>123</v>
      </c>
      <c r="C234" t="str">
        <f>VLOOKUP(B234,Data[],2,FALSE)</f>
        <v>BRONX</v>
      </c>
      <c r="D234" t="str">
        <f>VLOOKUP(all[[#This Row],[DEVELOPMENT]],Data[],3,FALSE)</f>
        <v>SAINT MARY'S PARK</v>
      </c>
      <c r="E234" t="str">
        <f>VLOOKUP(B234,Data[],8,FALSE)</f>
        <v>Zone 3</v>
      </c>
      <c r="F234" t="str">
        <f>VLOOKUP(B234,Data[],9,FALSE)</f>
        <v>$</v>
      </c>
      <c r="G234" t="str">
        <f>IFERROR(VLOOKUP(B234,Data[],4,FALSE),"")</f>
        <v/>
      </c>
      <c r="H234" t="str">
        <f ca="1">IF(G234="","",IF((G234-YEAR(TODAY()))&lt;=5,"Yes",""))</f>
        <v/>
      </c>
      <c r="I234">
        <f>VLOOKUP(all[[#This Row],[DEVELOPMENT]],Data[],7,FALSE)</f>
        <v>1005</v>
      </c>
      <c r="J234">
        <f>VLOOKUP(all[[#This Row],[DEVELOPMENT]],Data[],25,FALSE)</f>
        <v>0</v>
      </c>
      <c r="K234">
        <f>VLOOKUP(all[[#This Row],[DEVELOPMENT]],Data[],5,FALSE)</f>
        <v>6</v>
      </c>
      <c r="L234">
        <f>VLOOKUP(all[[#This Row],[DEVELOPMENT]],Data[],27,FALSE)</f>
        <v>6</v>
      </c>
      <c r="M234">
        <f>VLOOKUP(all[[#This Row],[DEVELOPMENT]],Data[],31,FALSE)</f>
        <v>6</v>
      </c>
      <c r="N234">
        <f>VLOOKUP(all[[#This Row],[DEVELOPMENT]],Data[],26,FALSE)</f>
        <v>2</v>
      </c>
      <c r="O234">
        <f>VLOOKUP(all[[#This Row],[DEVELOPMENT]],Data[],30,FALSE)</f>
        <v>2</v>
      </c>
      <c r="P234">
        <f>VLOOKUP(all[[#This Row],[DEVELOPMENT]],Data[],28,FALSE)</f>
        <v>0</v>
      </c>
      <c r="Q234">
        <f>IF(all[[#This Row],['# Bulk Crushers]]=0,1,0)</f>
        <v>1</v>
      </c>
      <c r="R234" s="5">
        <f>IFERROR(INDEX(FWD[],MATCH($B234,FWD[DEVELOPMENT],0),MATCH("ESTIMATE",FWD[#Headers],0)),0)</f>
        <v>0</v>
      </c>
      <c r="S234" s="5">
        <f>IFERROR(INDEX(EHD[],MATCH($B234,EHD[DEVELOPMENT],0),MATCH("ESTIMATE",EHD[#Headers],0)),0)</f>
        <v>44613.861000000004</v>
      </c>
      <c r="T234" s="5">
        <f ca="1">IFERROR(INDEX(IntComp[],MATCH($B234,IntComp[DEVELOPMENT],0),MATCH("ESTIMATE",IntComp[#Headers],0)),0)</f>
        <v>441920.36699999991</v>
      </c>
      <c r="U234" s="5">
        <f ca="1">IFERROR(INDEX(Yards[],MATCH($B234,Yards[DEVELOPMENT],0),MATCH("ESTIMATE",Yards[#Headers],0)),0)</f>
        <v>1591050.0199999998</v>
      </c>
      <c r="V234" s="128">
        <f ca="1">SUM(R234:U234)</f>
        <v>2077584.2479999997</v>
      </c>
      <c r="W234" s="5"/>
    </row>
    <row r="235" spans="1:23" x14ac:dyDescent="0.25">
      <c r="A235" s="131">
        <f>VLOOKUP(B235,Data[],24,FALSE)</f>
        <v>38</v>
      </c>
      <c r="B235" t="s">
        <v>136</v>
      </c>
      <c r="C235" t="str">
        <f>VLOOKUP(B235,Data[],2,FALSE)</f>
        <v>MANHATTAN</v>
      </c>
      <c r="D235" t="str">
        <f>VLOOKUP(all[[#This Row],[DEVELOPMENT]],Data[],3,FALSE)</f>
        <v>SAINT NICHOLAS</v>
      </c>
      <c r="E235" t="str">
        <f>VLOOKUP(B235,Data[],8,FALSE)</f>
        <v>Zone 2</v>
      </c>
      <c r="F235" t="str">
        <f>VLOOKUP(B235,Data[],9,FALSE)</f>
        <v>$</v>
      </c>
      <c r="G235" t="str">
        <f>IFERROR(VLOOKUP(B235,Data[],4,FALSE),"")</f>
        <v/>
      </c>
      <c r="H235" t="str">
        <f ca="1">IF(G235="","",IF((G235-YEAR(TODAY()))&lt;=5,"Yes",""))</f>
        <v/>
      </c>
      <c r="I235">
        <f>VLOOKUP(all[[#This Row],[DEVELOPMENT]],Data[],7,FALSE)</f>
        <v>1525</v>
      </c>
      <c r="J235">
        <f>VLOOKUP(all[[#This Row],[DEVELOPMENT]],Data[],25,FALSE)</f>
        <v>0</v>
      </c>
      <c r="K235">
        <f>VLOOKUP(all[[#This Row],[DEVELOPMENT]],Data[],5,FALSE)</f>
        <v>13</v>
      </c>
      <c r="L235">
        <f>VLOOKUP(all[[#This Row],[DEVELOPMENT]],Data[],27,FALSE)</f>
        <v>14</v>
      </c>
      <c r="M235">
        <f>VLOOKUP(all[[#This Row],[DEVELOPMENT]],Data[],31,FALSE)</f>
        <v>14</v>
      </c>
      <c r="N235">
        <f>VLOOKUP(all[[#This Row],[DEVELOPMENT]],Data[],26,FALSE)</f>
        <v>3</v>
      </c>
      <c r="O235">
        <f>VLOOKUP(all[[#This Row],[DEVELOPMENT]],Data[],30,FALSE)</f>
        <v>3</v>
      </c>
      <c r="P235">
        <f>VLOOKUP(all[[#This Row],[DEVELOPMENT]],Data[],28,FALSE)</f>
        <v>0</v>
      </c>
      <c r="Q235">
        <f>IF(all[[#This Row],['# Bulk Crushers]]=0,1,0)</f>
        <v>1</v>
      </c>
      <c r="R235" s="5">
        <f>IFERROR(INDEX(FWD[],MATCH($B235,FWD[DEVELOPMENT],0),MATCH("ESTIMATE",FWD[#Headers],0)),0)</f>
        <v>0</v>
      </c>
      <c r="S235" s="5">
        <f>IFERROR(INDEX(EHD[],MATCH($B235,EHD[DEVELOPMENT],0),MATCH("ESTIMATE",EHD[#Headers],0)),0)</f>
        <v>104099.00900000001</v>
      </c>
      <c r="T235" s="5">
        <f ca="1">IFERROR(INDEX(IntComp[],MATCH($B235,IntComp[DEVELOPMENT],0),MATCH("ESTIMATE",IntComp[#Headers],0)),0)</f>
        <v>1031147.5229999998</v>
      </c>
      <c r="U235" s="5">
        <f ca="1">IFERROR(INDEX(Yards[],MATCH($B235,Yards[DEVELOPMENT],0),MATCH("ESTIMATE",Yards[#Headers],0)),0)</f>
        <v>2022307.2600000005</v>
      </c>
      <c r="V235" s="128">
        <f ca="1">SUM(R235:U235)</f>
        <v>3157553.7920000004</v>
      </c>
      <c r="W235" s="5"/>
    </row>
    <row r="236" spans="1:23" x14ac:dyDescent="0.25">
      <c r="A236" s="131">
        <f>VLOOKUP(B236,Data[],24,FALSE)</f>
        <v>377</v>
      </c>
      <c r="B236" t="s">
        <v>95</v>
      </c>
      <c r="C236" t="str">
        <f>VLOOKUP(B236,Data[],2,FALSE)</f>
        <v>MANHATTAN</v>
      </c>
      <c r="D236" t="str">
        <f>VLOOKUP(all[[#This Row],[DEVELOPMENT]],Data[],3,FALSE)</f>
        <v>SAMUEL</v>
      </c>
      <c r="E236" t="str">
        <f>VLOOKUP(B236,Data[],8,FALSE)</f>
        <v>Zone 2</v>
      </c>
      <c r="F236" t="str">
        <f>VLOOKUP(B236,Data[],9,FALSE)</f>
        <v>$$</v>
      </c>
      <c r="G236">
        <f>IFERROR(VLOOKUP(B236,Data[],4,FALSE),"")</f>
        <v>2026</v>
      </c>
      <c r="H236" t="str">
        <f ca="1">IF(G236="","",IF((G236-YEAR(TODAY()))&lt;=5,"Yes",""))</f>
        <v/>
      </c>
      <c r="I236">
        <f>VLOOKUP(all[[#This Row],[DEVELOPMENT]],Data[],7,FALSE)</f>
        <v>664</v>
      </c>
      <c r="J236">
        <f>VLOOKUP(all[[#This Row],[DEVELOPMENT]],Data[],25,FALSE)</f>
        <v>0</v>
      </c>
      <c r="K236">
        <f>VLOOKUP(all[[#This Row],[DEVELOPMENT]],Data[],5,FALSE)</f>
        <v>40</v>
      </c>
      <c r="L236">
        <f>VLOOKUP(all[[#This Row],[DEVELOPMENT]],Data[],27,FALSE)</f>
        <v>40</v>
      </c>
      <c r="M236">
        <f>VLOOKUP(all[[#This Row],[DEVELOPMENT]],Data[],31,FALSE)</f>
        <v>40</v>
      </c>
      <c r="N236">
        <f>VLOOKUP(all[[#This Row],[DEVELOPMENT]],Data[],26,FALSE)</f>
        <v>0</v>
      </c>
      <c r="O236">
        <f>VLOOKUP(all[[#This Row],[DEVELOPMENT]],Data[],30,FALSE)</f>
        <v>0</v>
      </c>
      <c r="P236">
        <f>VLOOKUP(all[[#This Row],[DEVELOPMENT]],Data[],28,FALSE)</f>
        <v>0</v>
      </c>
      <c r="Q236">
        <f>IF(all[[#This Row],['# Bulk Crushers]]=0,1,0)</f>
        <v>1</v>
      </c>
      <c r="R236" s="5">
        <f>IFERROR(INDEX(FWD[],MATCH($B236,FWD[DEVELOPMENT],0),MATCH("ESTIMATE",FWD[#Headers],0)),0)</f>
        <v>0</v>
      </c>
      <c r="S236" s="5">
        <f>IFERROR(INDEX(EHD[],MATCH($B236,EHD[DEVELOPMENT],0),MATCH("ESTIMATE",EHD[#Headers],0)),0)</f>
        <v>297425.74</v>
      </c>
      <c r="T236" s="5">
        <f ca="1">IFERROR(INDEX(IntComp[],MATCH($B236,IntComp[DEVELOPMENT],0),MATCH("ESTIMATE",IntComp[#Headers],0)),0)</f>
        <v>2946135.78</v>
      </c>
      <c r="U236" s="5">
        <f>IFERROR(INDEX(Yards[],MATCH($B236,Yards[DEVELOPMENT],0),MATCH("ESTIMATE",Yards[#Headers],0)),0)</f>
        <v>1159792.78</v>
      </c>
      <c r="V236" s="128">
        <f ca="1">SUM(R236:U236)</f>
        <v>4403354.3</v>
      </c>
      <c r="W236" s="5"/>
    </row>
    <row r="237" spans="1:23" x14ac:dyDescent="0.25">
      <c r="A237" s="131">
        <f>VLOOKUP(B237,Data[],24,FALSE)</f>
        <v>389</v>
      </c>
      <c r="B237" t="s">
        <v>306</v>
      </c>
      <c r="C237" t="str">
        <f>VLOOKUP(B237,Data[],2,FALSE)</f>
        <v>MANHATTAN</v>
      </c>
      <c r="D237" t="str">
        <f>VLOOKUP(all[[#This Row],[DEVELOPMENT]],Data[],3,FALSE)</f>
        <v>KRAUS MANAGEMENT (PRIVATE - M/B 1)</v>
      </c>
      <c r="E237">
        <f>VLOOKUP(B237,Data[],8,FALSE)</f>
        <v>0</v>
      </c>
      <c r="F237">
        <f>VLOOKUP(B237,Data[],9,FALSE)</f>
        <v>0</v>
      </c>
      <c r="G237">
        <f>IFERROR(VLOOKUP(B237,Data[],4,FALSE),"")</f>
        <v>2019</v>
      </c>
      <c r="H237" t="str">
        <f ca="1">IF(G237="","",IF((G237-YEAR(TODAY()))&lt;=5,"Yes",""))</f>
        <v>Yes</v>
      </c>
      <c r="I237">
        <f>VLOOKUP(all[[#This Row],[DEVELOPMENT]],Data[],7,FALSE)</f>
        <v>24</v>
      </c>
      <c r="J237">
        <f>VLOOKUP(all[[#This Row],[DEVELOPMENT]],Data[],25,FALSE)</f>
        <v>0</v>
      </c>
      <c r="K237">
        <f>VLOOKUP(all[[#This Row],[DEVELOPMENT]],Data[],5,FALSE)</f>
        <v>5</v>
      </c>
      <c r="L237">
        <f>VLOOKUP(all[[#This Row],[DEVELOPMENT]],Data[],27,FALSE)</f>
        <v>1</v>
      </c>
      <c r="M237">
        <f>VLOOKUP(all[[#This Row],[DEVELOPMENT]],Data[],31,FALSE)</f>
        <v>1</v>
      </c>
      <c r="N237">
        <f>VLOOKUP(all[[#This Row],[DEVELOPMENT]],Data[],26,FALSE)</f>
        <v>0</v>
      </c>
      <c r="O237">
        <f>VLOOKUP(all[[#This Row],[DEVELOPMENT]],Data[],30,FALSE)</f>
        <v>0</v>
      </c>
      <c r="P237">
        <f>VLOOKUP(all[[#This Row],[DEVELOPMENT]],Data[],28,FALSE)</f>
        <v>0</v>
      </c>
      <c r="Q237">
        <f>IF(all[[#This Row],['# Bulk Crushers]]=0,1,0)</f>
        <v>1</v>
      </c>
      <c r="R237" s="5">
        <f>IFERROR(INDEX(FWD[],MATCH($B237,FWD[DEVELOPMENT],0),MATCH("ESTIMATE",FWD[#Headers],0)),0)</f>
        <v>0</v>
      </c>
      <c r="S237" s="5">
        <f>IFERROR(INDEX(EHD[],MATCH($B237,EHD[DEVELOPMENT],0),MATCH("ESTIMATE",EHD[#Headers],0)),0)</f>
        <v>0</v>
      </c>
      <c r="T237" s="5">
        <f ca="1">IFERROR(INDEX(IntComp[],MATCH($B237,IntComp[DEVELOPMENT],0),MATCH("ESTIMATE",IntComp[#Headers],0)),0)</f>
        <v>0</v>
      </c>
      <c r="U237" s="5">
        <f>IFERROR(INDEX(Yards[],MATCH($B237,Yards[DEVELOPMENT],0),MATCH("ESTIMATE",Yards[#Headers],0)),0)</f>
        <v>0</v>
      </c>
      <c r="V237" s="128">
        <f ca="1">SUM(R237:U237)</f>
        <v>0</v>
      </c>
      <c r="W237" s="5"/>
    </row>
    <row r="238" spans="1:23" x14ac:dyDescent="0.25">
      <c r="A238" s="131">
        <f>VLOOKUP(B238,Data[],24,FALSE)</f>
        <v>398</v>
      </c>
      <c r="B238" t="s">
        <v>307</v>
      </c>
      <c r="C238" t="str">
        <f>VLOOKUP(B238,Data[],2,FALSE)</f>
        <v>MANHATTAN</v>
      </c>
      <c r="D238" t="str">
        <f>VLOOKUP(all[[#This Row],[DEVELOPMENT]],Data[],3,FALSE)</f>
        <v>KRAUS MANAGEMENT (PRIVATE - M/B 1)</v>
      </c>
      <c r="E238">
        <f>VLOOKUP(B238,Data[],8,FALSE)</f>
        <v>0</v>
      </c>
      <c r="F238">
        <f>VLOOKUP(B238,Data[],9,FALSE)</f>
        <v>0</v>
      </c>
      <c r="G238">
        <f>IFERROR(VLOOKUP(B238,Data[],4,FALSE),"")</f>
        <v>2019</v>
      </c>
      <c r="H238" t="str">
        <f ca="1">IF(G238="","",IF((G238-YEAR(TODAY()))&lt;=5,"Yes",""))</f>
        <v>Yes</v>
      </c>
      <c r="I238">
        <f>VLOOKUP(all[[#This Row],[DEVELOPMENT]],Data[],7,FALSE)</f>
        <v>4</v>
      </c>
      <c r="J238">
        <f>VLOOKUP(all[[#This Row],[DEVELOPMENT]],Data[],25,FALSE)</f>
        <v>0</v>
      </c>
      <c r="K238">
        <f>VLOOKUP(all[[#This Row],[DEVELOPMENT]],Data[],5,FALSE)</f>
        <v>1</v>
      </c>
      <c r="L238">
        <f>VLOOKUP(all[[#This Row],[DEVELOPMENT]],Data[],27,FALSE)</f>
        <v>0</v>
      </c>
      <c r="M238">
        <f>VLOOKUP(all[[#This Row],[DEVELOPMENT]],Data[],31,FALSE)</f>
        <v>0</v>
      </c>
      <c r="N238">
        <f>VLOOKUP(all[[#This Row],[DEVELOPMENT]],Data[],26,FALSE)</f>
        <v>0</v>
      </c>
      <c r="O238">
        <f>VLOOKUP(all[[#This Row],[DEVELOPMENT]],Data[],30,FALSE)</f>
        <v>0</v>
      </c>
      <c r="P238">
        <f>VLOOKUP(all[[#This Row],[DEVELOPMENT]],Data[],28,FALSE)</f>
        <v>0</v>
      </c>
      <c r="Q238">
        <f>IF(all[[#This Row],['# Bulk Crushers]]=0,1,0)</f>
        <v>1</v>
      </c>
      <c r="R238" s="5">
        <f>IFERROR(INDEX(FWD[],MATCH($B238,FWD[DEVELOPMENT],0),MATCH("ESTIMATE",FWD[#Headers],0)),0)</f>
        <v>0</v>
      </c>
      <c r="S238" s="5">
        <f>IFERROR(INDEX(EHD[],MATCH($B238,EHD[DEVELOPMENT],0),MATCH("ESTIMATE",EHD[#Headers],0)),0)</f>
        <v>0</v>
      </c>
      <c r="T238" s="5">
        <f ca="1">IFERROR(INDEX(IntComp[],MATCH($B238,IntComp[DEVELOPMENT],0),MATCH("ESTIMATE",IntComp[#Headers],0)),0)</f>
        <v>0</v>
      </c>
      <c r="U238" s="5">
        <f>IFERROR(INDEX(Yards[],MATCH($B238,Yards[DEVELOPMENT],0),MATCH("ESTIMATE",Yards[#Headers],0)),0)</f>
        <v>0</v>
      </c>
      <c r="V238" s="128">
        <f ca="1">SUM(R238:U238)</f>
        <v>0</v>
      </c>
      <c r="W238" s="5"/>
    </row>
    <row r="239" spans="1:23" x14ac:dyDescent="0.25">
      <c r="A239" s="131">
        <f>VLOOKUP(B239,Data[],24,FALSE)</f>
        <v>399</v>
      </c>
      <c r="B239" t="s">
        <v>308</v>
      </c>
      <c r="C239" t="str">
        <f>VLOOKUP(B239,Data[],2,FALSE)</f>
        <v>MANHATTAN</v>
      </c>
      <c r="D239" t="str">
        <f>VLOOKUP(all[[#This Row],[DEVELOPMENT]],Data[],3,FALSE)</f>
        <v>KRAUS MANAGEMENT (PRIVATE - M/B 1)</v>
      </c>
      <c r="E239">
        <f>VLOOKUP(B239,Data[],8,FALSE)</f>
        <v>0</v>
      </c>
      <c r="F239">
        <f>VLOOKUP(B239,Data[],9,FALSE)</f>
        <v>0</v>
      </c>
      <c r="G239">
        <f>IFERROR(VLOOKUP(B239,Data[],4,FALSE),"")</f>
        <v>2019</v>
      </c>
      <c r="H239" t="str">
        <f ca="1">IF(G239="","",IF((G239-YEAR(TODAY()))&lt;=5,"Yes",""))</f>
        <v>Yes</v>
      </c>
      <c r="I239">
        <f>VLOOKUP(all[[#This Row],[DEVELOPMENT]],Data[],7,FALSE)</f>
        <v>1</v>
      </c>
      <c r="J239">
        <f>VLOOKUP(all[[#This Row],[DEVELOPMENT]],Data[],25,FALSE)</f>
        <v>0</v>
      </c>
      <c r="K239">
        <f>VLOOKUP(all[[#This Row],[DEVELOPMENT]],Data[],5,FALSE)</f>
        <v>1</v>
      </c>
      <c r="L239">
        <f>VLOOKUP(all[[#This Row],[DEVELOPMENT]],Data[],27,FALSE)</f>
        <v>1</v>
      </c>
      <c r="M239">
        <f>VLOOKUP(all[[#This Row],[DEVELOPMENT]],Data[],31,FALSE)</f>
        <v>1</v>
      </c>
      <c r="N239">
        <f>VLOOKUP(all[[#This Row],[DEVELOPMENT]],Data[],26,FALSE)</f>
        <v>0</v>
      </c>
      <c r="O239">
        <f>VLOOKUP(all[[#This Row],[DEVELOPMENT]],Data[],30,FALSE)</f>
        <v>0</v>
      </c>
      <c r="P239">
        <f>VLOOKUP(all[[#This Row],[DEVELOPMENT]],Data[],28,FALSE)</f>
        <v>0</v>
      </c>
      <c r="Q239">
        <f>IF(all[[#This Row],['# Bulk Crushers]]=0,1,0)</f>
        <v>1</v>
      </c>
      <c r="R239" s="5">
        <f>IFERROR(INDEX(FWD[],MATCH($B239,FWD[DEVELOPMENT],0),MATCH("ESTIMATE",FWD[#Headers],0)),0)</f>
        <v>0</v>
      </c>
      <c r="S239" s="5">
        <f>IFERROR(INDEX(EHD[],MATCH($B239,EHD[DEVELOPMENT],0),MATCH("ESTIMATE",EHD[#Headers],0)),0)</f>
        <v>0</v>
      </c>
      <c r="T239" s="5">
        <f ca="1">IFERROR(INDEX(IntComp[],MATCH($B239,IntComp[DEVELOPMENT],0),MATCH("ESTIMATE",IntComp[#Headers],0)),0)</f>
        <v>0</v>
      </c>
      <c r="U239" s="5">
        <f>IFERROR(INDEX(Yards[],MATCH($B239,Yards[DEVELOPMENT],0),MATCH("ESTIMATE",Yards[#Headers],0)),0)</f>
        <v>0</v>
      </c>
      <c r="V239" s="128">
        <f ca="1">SUM(R239:U239)</f>
        <v>0</v>
      </c>
      <c r="W239" s="5"/>
    </row>
    <row r="240" spans="1:23" x14ac:dyDescent="0.25">
      <c r="A240" s="131">
        <f>VLOOKUP(B240,Data[],24,FALSE)</f>
        <v>158</v>
      </c>
      <c r="B240" t="s">
        <v>309</v>
      </c>
      <c r="C240" t="str">
        <f>VLOOKUP(B240,Data[],2,FALSE)</f>
        <v>BROOKLYN</v>
      </c>
      <c r="D240" t="str">
        <f>VLOOKUP(all[[#This Row],[DEVELOPMENT]],Data[],3,FALSE)</f>
        <v>OCEAN HILL APARTMENTS</v>
      </c>
      <c r="E240">
        <f>VLOOKUP(B240,Data[],8,FALSE)</f>
        <v>0</v>
      </c>
      <c r="F240">
        <f>VLOOKUP(B240,Data[],9,FALSE)</f>
        <v>0</v>
      </c>
      <c r="G240" t="str">
        <f>IFERROR(VLOOKUP(B240,Data[],4,FALSE),"")</f>
        <v/>
      </c>
      <c r="H240" t="str">
        <f ca="1">IF(G240="","",IF((G240-YEAR(TODAY()))&lt;=5,"Yes",""))</f>
        <v/>
      </c>
      <c r="I240">
        <f>VLOOKUP(all[[#This Row],[DEVELOPMENT]],Data[],7,FALSE)</f>
        <v>125</v>
      </c>
      <c r="J240" t="str">
        <f>VLOOKUP(all[[#This Row],[DEVELOPMENT]],Data[],25,FALSE)</f>
        <v>Yes</v>
      </c>
      <c r="K240">
        <f>VLOOKUP(all[[#This Row],[DEVELOPMENT]],Data[],5,FALSE)</f>
        <v>1</v>
      </c>
      <c r="L240">
        <f>VLOOKUP(all[[#This Row],[DEVELOPMENT]],Data[],27,FALSE)</f>
        <v>1</v>
      </c>
      <c r="M240">
        <f>VLOOKUP(all[[#This Row],[DEVELOPMENT]],Data[],31,FALSE)</f>
        <v>1</v>
      </c>
      <c r="N240">
        <f>VLOOKUP(all[[#This Row],[DEVELOPMENT]],Data[],26,FALSE)</f>
        <v>0</v>
      </c>
      <c r="O240">
        <f>VLOOKUP(all[[#This Row],[DEVELOPMENT]],Data[],30,FALSE)</f>
        <v>0</v>
      </c>
      <c r="P240">
        <f>VLOOKUP(all[[#This Row],[DEVELOPMENT]],Data[],28,FALSE)</f>
        <v>0</v>
      </c>
      <c r="Q240">
        <f>IF(all[[#This Row],['# Bulk Crushers]]=0,1,0)</f>
        <v>1</v>
      </c>
      <c r="R240" s="5">
        <f>IFERROR(INDEX(FWD[],MATCH($B240,FWD[DEVELOPMENT],0),MATCH("ESTIMATE",FWD[#Headers],0)),0)</f>
        <v>214841.99342428712</v>
      </c>
      <c r="S240" s="5">
        <f>IFERROR(INDEX(EHD[],MATCH($B240,EHD[DEVELOPMENT],0),MATCH("ESTIMATE",EHD[#Headers],0)),0)</f>
        <v>7435.6435000000001</v>
      </c>
      <c r="T240" s="5">
        <f ca="1">IFERROR(INDEX(IntComp[],MATCH($B240,IntComp[DEVELOPMENT],0),MATCH("ESTIMATE",IntComp[#Headers],0)),0)</f>
        <v>73653.394499999995</v>
      </c>
      <c r="U240" s="5">
        <f>IFERROR(INDEX(Yards[],MATCH($B240,Yards[DEVELOPMENT],0),MATCH("ESTIMATE",Yards[#Headers],0)),0)</f>
        <v>1159792.78</v>
      </c>
      <c r="V240" s="128">
        <f ca="1">SUM(R240:U240)</f>
        <v>1455723.811424287</v>
      </c>
      <c r="W240" s="5"/>
    </row>
    <row r="241" spans="1:23" x14ac:dyDescent="0.25">
      <c r="A241" s="131">
        <f>VLOOKUP(B241,Data[],24,FALSE)</f>
        <v>45</v>
      </c>
      <c r="B241" t="s">
        <v>310</v>
      </c>
      <c r="C241" t="str">
        <f>VLOOKUP(B241,Data[],2,FALSE)</f>
        <v>BRONX</v>
      </c>
      <c r="D241" t="str">
        <f>VLOOKUP(all[[#This Row],[DEVELOPMENT]],Data[],3,FALSE)</f>
        <v>SEDGWICK</v>
      </c>
      <c r="E241">
        <f>VLOOKUP(B241,Data[],8,FALSE)</f>
        <v>0</v>
      </c>
      <c r="F241">
        <f>VLOOKUP(B241,Data[],9,FALSE)</f>
        <v>0</v>
      </c>
      <c r="G241" t="str">
        <f>IFERROR(VLOOKUP(B241,Data[],4,FALSE),"")</f>
        <v/>
      </c>
      <c r="H241" t="str">
        <f ca="1">IF(G241="","",IF((G241-YEAR(TODAY()))&lt;=5,"Yes",""))</f>
        <v/>
      </c>
      <c r="I241">
        <f>VLOOKUP(all[[#This Row],[DEVELOPMENT]],Data[],7,FALSE)</f>
        <v>783</v>
      </c>
      <c r="J241">
        <f>VLOOKUP(all[[#This Row],[DEVELOPMENT]],Data[],25,FALSE)</f>
        <v>0</v>
      </c>
      <c r="K241">
        <f>VLOOKUP(all[[#This Row],[DEVELOPMENT]],Data[],5,FALSE)</f>
        <v>7</v>
      </c>
      <c r="L241">
        <f>VLOOKUP(all[[#This Row],[DEVELOPMENT]],Data[],27,FALSE)</f>
        <v>7</v>
      </c>
      <c r="M241">
        <f>VLOOKUP(all[[#This Row],[DEVELOPMENT]],Data[],31,FALSE)</f>
        <v>7</v>
      </c>
      <c r="N241">
        <f>VLOOKUP(all[[#This Row],[DEVELOPMENT]],Data[],26,FALSE)</f>
        <v>2</v>
      </c>
      <c r="O241">
        <f>VLOOKUP(all[[#This Row],[DEVELOPMENT]],Data[],30,FALSE)</f>
        <v>2</v>
      </c>
      <c r="P241">
        <f>VLOOKUP(all[[#This Row],[DEVELOPMENT]],Data[],28,FALSE)</f>
        <v>0</v>
      </c>
      <c r="Q241">
        <f>IF(all[[#This Row],['# Bulk Crushers]]=0,1,0)</f>
        <v>1</v>
      </c>
      <c r="R241" s="5">
        <f>IFERROR(INDEX(FWD[],MATCH($B241,FWD[DEVELOPMENT],0),MATCH("ESTIMATE",FWD[#Headers],0)),0)</f>
        <v>0</v>
      </c>
      <c r="S241" s="5">
        <f>IFERROR(INDEX(EHD[],MATCH($B241,EHD[DEVELOPMENT],0),MATCH("ESTIMATE",EHD[#Headers],0)),0)</f>
        <v>52049.504500000003</v>
      </c>
      <c r="T241" s="5">
        <f ca="1">IFERROR(INDEX(IntComp[],MATCH($B241,IntComp[DEVELOPMENT],0),MATCH("ESTIMATE",IntComp[#Headers],0)),0)</f>
        <v>515573.76149999991</v>
      </c>
      <c r="U241" s="5">
        <f ca="1">IFERROR(INDEX(Yards[],MATCH($B241,Yards[DEVELOPMENT],0),MATCH("ESTIMATE",Yards[#Headers],0)),0)</f>
        <v>1591050.0199999998</v>
      </c>
      <c r="V241" s="128">
        <f ca="1">SUM(R241:U241)</f>
        <v>2158673.2859999998</v>
      </c>
      <c r="W241" s="5"/>
    </row>
    <row r="242" spans="1:23" x14ac:dyDescent="0.25">
      <c r="A242" s="131">
        <f>VLOOKUP(B242,Data[],24,FALSE)</f>
        <v>192</v>
      </c>
      <c r="B242" t="s">
        <v>65</v>
      </c>
      <c r="C242" t="str">
        <f>VLOOKUP(B242,Data[],2,FALSE)</f>
        <v>MANHATTAN</v>
      </c>
      <c r="D242" t="str">
        <f>VLOOKUP(all[[#This Row],[DEVELOPMENT]],Data[],3,FALSE)</f>
        <v>GOMPERS</v>
      </c>
      <c r="E242" t="str">
        <f>VLOOKUP(B242,Data[],8,FALSE)</f>
        <v>Zone 1</v>
      </c>
      <c r="F242" t="str">
        <f>VLOOKUP(B242,Data[],9,FALSE)</f>
        <v>$</v>
      </c>
      <c r="G242" t="str">
        <f>IFERROR(VLOOKUP(B242,Data[],4,FALSE),"")</f>
        <v/>
      </c>
      <c r="H242" t="str">
        <f ca="1">IF(G242="","",IF((G242-YEAR(TODAY()))&lt;=5,"Yes",""))</f>
        <v/>
      </c>
      <c r="I242">
        <f>VLOOKUP(all[[#This Row],[DEVELOPMENT]],Data[],7,FALSE)</f>
        <v>360</v>
      </c>
      <c r="J242" t="str">
        <f>VLOOKUP(all[[#This Row],[DEVELOPMENT]],Data[],25,FALSE)</f>
        <v>Yes</v>
      </c>
      <c r="K242">
        <f>VLOOKUP(all[[#This Row],[DEVELOPMENT]],Data[],5,FALSE)</f>
        <v>2</v>
      </c>
      <c r="L242">
        <f>VLOOKUP(all[[#This Row],[DEVELOPMENT]],Data[],27,FALSE)</f>
        <v>2</v>
      </c>
      <c r="M242">
        <f>VLOOKUP(all[[#This Row],[DEVELOPMENT]],Data[],31,FALSE)</f>
        <v>2</v>
      </c>
      <c r="N242">
        <f>VLOOKUP(all[[#This Row],[DEVELOPMENT]],Data[],26,FALSE)</f>
        <v>0</v>
      </c>
      <c r="O242">
        <f>VLOOKUP(all[[#This Row],[DEVELOPMENT]],Data[],30,FALSE)</f>
        <v>0</v>
      </c>
      <c r="P242">
        <f>VLOOKUP(all[[#This Row],[DEVELOPMENT]],Data[],28,FALSE)</f>
        <v>0</v>
      </c>
      <c r="Q242">
        <f>IF(all[[#This Row],['# Bulk Crushers]]=0,1,0)</f>
        <v>1</v>
      </c>
      <c r="R242" s="5">
        <f>IFERROR(INDEX(FWD[],MATCH($B242,FWD[DEVELOPMENT],0),MATCH("ESTIMATE",FWD[#Headers],0)),0)</f>
        <v>618744.94106194691</v>
      </c>
      <c r="S242" s="5">
        <f>IFERROR(INDEX(EHD[],MATCH($B242,EHD[DEVELOPMENT],0),MATCH("ESTIMATE",EHD[#Headers],0)),0)</f>
        <v>14871.287</v>
      </c>
      <c r="T242" s="5">
        <f ca="1">IFERROR(INDEX(IntComp[],MATCH($B242,IntComp[DEVELOPMENT],0),MATCH("ESTIMATE",IntComp[#Headers],0)),0)</f>
        <v>147306.78899999999</v>
      </c>
      <c r="U242" s="5">
        <f>IFERROR(INDEX(Yards[],MATCH($B242,Yards[DEVELOPMENT],0),MATCH("ESTIMATE",Yards[#Headers],0)),0)</f>
        <v>1159792.78</v>
      </c>
      <c r="V242" s="128">
        <f ca="1">SUM(R242:U242)</f>
        <v>1940715.7970619469</v>
      </c>
      <c r="W242" s="5"/>
    </row>
    <row r="243" spans="1:23" x14ac:dyDescent="0.25">
      <c r="A243" s="131">
        <f>VLOOKUP(B243,Data[],24,FALSE)</f>
        <v>36</v>
      </c>
      <c r="B243" t="s">
        <v>311</v>
      </c>
      <c r="C243" t="str">
        <f>VLOOKUP(B243,Data[],2,FALSE)</f>
        <v>BROOKLYN</v>
      </c>
      <c r="D243" t="str">
        <f>VLOOKUP(all[[#This Row],[DEVELOPMENT]],Data[],3,FALSE)</f>
        <v>SHEEPSHEAD BAY</v>
      </c>
      <c r="E243">
        <f>VLOOKUP(B243,Data[],8,FALSE)</f>
        <v>0</v>
      </c>
      <c r="F243">
        <f>VLOOKUP(B243,Data[],9,FALSE)</f>
        <v>0</v>
      </c>
      <c r="G243">
        <f>IFERROR(VLOOKUP(B243,Data[],4,FALSE),"")</f>
        <v>2028</v>
      </c>
      <c r="H243" t="str">
        <f ca="1">IF(G243="","",IF((G243-YEAR(TODAY()))&lt;=5,"Yes",""))</f>
        <v/>
      </c>
      <c r="I243">
        <f>VLOOKUP(all[[#This Row],[DEVELOPMENT]],Data[],7,FALSE)</f>
        <v>1054</v>
      </c>
      <c r="J243">
        <f>VLOOKUP(all[[#This Row],[DEVELOPMENT]],Data[],25,FALSE)</f>
        <v>0</v>
      </c>
      <c r="K243">
        <f>VLOOKUP(all[[#This Row],[DEVELOPMENT]],Data[],5,FALSE)</f>
        <v>18</v>
      </c>
      <c r="L243">
        <f>VLOOKUP(all[[#This Row],[DEVELOPMENT]],Data[],27,FALSE)</f>
        <v>35</v>
      </c>
      <c r="M243">
        <f>VLOOKUP(all[[#This Row],[DEVELOPMENT]],Data[],31,FALSE)</f>
        <v>35</v>
      </c>
      <c r="N243">
        <f>VLOOKUP(all[[#This Row],[DEVELOPMENT]],Data[],26,FALSE)</f>
        <v>6</v>
      </c>
      <c r="O243">
        <f>VLOOKUP(all[[#This Row],[DEVELOPMENT]],Data[],30,FALSE)</f>
        <v>6</v>
      </c>
      <c r="P243">
        <f>VLOOKUP(all[[#This Row],[DEVELOPMENT]],Data[],28,FALSE)</f>
        <v>0</v>
      </c>
      <c r="Q243">
        <f>IF(all[[#This Row],['# Bulk Crushers]]=0,1,0)</f>
        <v>1</v>
      </c>
      <c r="R243" s="5">
        <f>IFERROR(INDEX(FWD[],MATCH($B243,FWD[DEVELOPMENT],0),MATCH("ESTIMATE",FWD[#Headers],0)),0)</f>
        <v>0</v>
      </c>
      <c r="S243" s="5">
        <f>IFERROR(INDEX(EHD[],MATCH($B243,EHD[DEVELOPMENT],0),MATCH("ESTIMATE",EHD[#Headers],0)),0)</f>
        <v>260247.52249999999</v>
      </c>
      <c r="T243" s="5">
        <f ca="1">IFERROR(INDEX(IntComp[],MATCH($B243,IntComp[DEVELOPMENT],0),MATCH("ESTIMATE",IntComp[#Headers],0)),0)</f>
        <v>2577868.8074999996</v>
      </c>
      <c r="U243" s="5">
        <f ca="1">IFERROR(INDEX(Yards[],MATCH($B243,Yards[DEVELOPMENT],0),MATCH("ESTIMATE",Yards[#Headers],0)),0)</f>
        <v>3316078.9799999995</v>
      </c>
      <c r="V243" s="128">
        <f ca="1">SUM(R243:U243)</f>
        <v>6154195.3099999987</v>
      </c>
      <c r="W243" s="5"/>
    </row>
    <row r="244" spans="1:23" x14ac:dyDescent="0.25">
      <c r="A244" s="131">
        <f>VLOOKUP(B244,Data[],24,FALSE)</f>
        <v>279</v>
      </c>
      <c r="B244" t="s">
        <v>312</v>
      </c>
      <c r="C244" t="str">
        <f>VLOOKUP(B244,Data[],2,FALSE)</f>
        <v>QUEENS</v>
      </c>
      <c r="D244" t="str">
        <f>VLOOKUP(all[[#This Row],[DEVELOPMENT]],Data[],3,FALSE)</f>
        <v>BAISLEY PARK</v>
      </c>
      <c r="E244">
        <f>VLOOKUP(B244,Data[],8,FALSE)</f>
        <v>0</v>
      </c>
      <c r="F244">
        <f>VLOOKUP(B244,Data[],9,FALSE)</f>
        <v>0</v>
      </c>
      <c r="G244" t="str">
        <f>IFERROR(VLOOKUP(B244,Data[],4,FALSE),"")</f>
        <v/>
      </c>
      <c r="H244" t="str">
        <f ca="1">IF(G244="","",IF((G244-YEAR(TODAY()))&lt;=5,"Yes",""))</f>
        <v/>
      </c>
      <c r="I244">
        <f>VLOOKUP(all[[#This Row],[DEVELOPMENT]],Data[],7,FALSE)</f>
        <v>153</v>
      </c>
      <c r="J244">
        <f>VLOOKUP(all[[#This Row],[DEVELOPMENT]],Data[],25,FALSE)</f>
        <v>0</v>
      </c>
      <c r="K244">
        <f>VLOOKUP(all[[#This Row],[DEVELOPMENT]],Data[],5,FALSE)</f>
        <v>1</v>
      </c>
      <c r="L244">
        <f>VLOOKUP(all[[#This Row],[DEVELOPMENT]],Data[],27,FALSE)</f>
        <v>1</v>
      </c>
      <c r="M244">
        <f>VLOOKUP(all[[#This Row],[DEVELOPMENT]],Data[],31,FALSE)</f>
        <v>1</v>
      </c>
      <c r="N244">
        <f>VLOOKUP(all[[#This Row],[DEVELOPMENT]],Data[],26,FALSE)</f>
        <v>0</v>
      </c>
      <c r="O244">
        <f>VLOOKUP(all[[#This Row],[DEVELOPMENT]],Data[],30,FALSE)</f>
        <v>0</v>
      </c>
      <c r="P244">
        <f>VLOOKUP(all[[#This Row],[DEVELOPMENT]],Data[],28,FALSE)</f>
        <v>0</v>
      </c>
      <c r="Q244">
        <f>IF(all[[#This Row],['# Bulk Crushers]]=0,1,0)</f>
        <v>1</v>
      </c>
      <c r="R244" s="5">
        <f>IFERROR(INDEX(FWD[],MATCH($B244,FWD[DEVELOPMENT],0),MATCH("ESTIMATE",FWD[#Headers],0)),0)</f>
        <v>0</v>
      </c>
      <c r="S244" s="5">
        <f>IFERROR(INDEX(EHD[],MATCH($B244,EHD[DEVELOPMENT],0),MATCH("ESTIMATE",EHD[#Headers],0)),0)</f>
        <v>0</v>
      </c>
      <c r="T244" s="5">
        <f ca="1">IFERROR(INDEX(IntComp[],MATCH($B244,IntComp[DEVELOPMENT],0),MATCH("ESTIMATE",IntComp[#Headers],0)),0)</f>
        <v>73653.394499999995</v>
      </c>
      <c r="U244" s="5">
        <f>IFERROR(INDEX(Yards[],MATCH($B244,Yards[DEVELOPMENT],0),MATCH("ESTIMATE",Yards[#Headers],0)),0)</f>
        <v>1159792.78</v>
      </c>
      <c r="V244" s="128">
        <f ca="1">SUM(R244:U244)</f>
        <v>1233446.1745</v>
      </c>
      <c r="W244" s="5"/>
    </row>
    <row r="245" spans="1:23" x14ac:dyDescent="0.25">
      <c r="A245" s="131">
        <f>VLOOKUP(B245,Data[],24,FALSE)</f>
        <v>27</v>
      </c>
      <c r="B245" t="s">
        <v>44</v>
      </c>
      <c r="C245" t="str">
        <f>VLOOKUP(B245,Data[],2,FALSE)</f>
        <v>MANHATTAN</v>
      </c>
      <c r="D245" t="str">
        <f>VLOOKUP(all[[#This Row],[DEVELOPMENT]],Data[],3,FALSE)</f>
        <v>SMITH</v>
      </c>
      <c r="E245" t="str">
        <f>VLOOKUP(B245,Data[],8,FALSE)</f>
        <v>Zone 1</v>
      </c>
      <c r="F245" t="str">
        <f>VLOOKUP(B245,Data[],9,FALSE)</f>
        <v>$</v>
      </c>
      <c r="G245" t="str">
        <f>IFERROR(VLOOKUP(B245,Data[],4,FALSE),"")</f>
        <v/>
      </c>
      <c r="H245" t="str">
        <f ca="1">IF(G245="","",IF((G245-YEAR(TODAY()))&lt;=5,"Yes",""))</f>
        <v/>
      </c>
      <c r="I245">
        <f>VLOOKUP(all[[#This Row],[DEVELOPMENT]],Data[],7,FALSE)</f>
        <v>1934</v>
      </c>
      <c r="J245" t="str">
        <f>VLOOKUP(all[[#This Row],[DEVELOPMENT]],Data[],25,FALSE)</f>
        <v>Yes</v>
      </c>
      <c r="K245">
        <f>VLOOKUP(all[[#This Row],[DEVELOPMENT]],Data[],5,FALSE)</f>
        <v>12</v>
      </c>
      <c r="L245">
        <f>VLOOKUP(all[[#This Row],[DEVELOPMENT]],Data[],27,FALSE)</f>
        <v>13</v>
      </c>
      <c r="M245">
        <f>VLOOKUP(all[[#This Row],[DEVELOPMENT]],Data[],31,FALSE)</f>
        <v>12</v>
      </c>
      <c r="N245">
        <f>VLOOKUP(all[[#This Row],[DEVELOPMENT]],Data[],26,FALSE)</f>
        <v>4</v>
      </c>
      <c r="O245">
        <f>VLOOKUP(all[[#This Row],[DEVELOPMENT]],Data[],30,FALSE)</f>
        <v>4</v>
      </c>
      <c r="P245">
        <f>VLOOKUP(all[[#This Row],[DEVELOPMENT]],Data[],28,FALSE)</f>
        <v>0</v>
      </c>
      <c r="Q245">
        <f>IF(all[[#This Row],['# Bulk Crushers]]=0,1,0)</f>
        <v>1</v>
      </c>
      <c r="R245" s="5">
        <f>IFERROR(INDEX(FWD[],MATCH($B245,FWD[DEVELOPMENT],0),MATCH("ESTIMATE",FWD[#Headers],0)),0)</f>
        <v>3324035.3222605702</v>
      </c>
      <c r="S245" s="5">
        <f>IFERROR(INDEX(EHD[],MATCH($B245,EHD[DEVELOPMENT],0),MATCH("ESTIMATE",EHD[#Headers],0)),0)</f>
        <v>0</v>
      </c>
      <c r="T245" s="5">
        <f ca="1">IFERROR(INDEX(IntComp[],MATCH($B245,IntComp[DEVELOPMENT],0),MATCH("ESTIMATE",IntComp[#Headers],0)),0)</f>
        <v>883840.73399999982</v>
      </c>
      <c r="U245" s="5">
        <f ca="1">IFERROR(INDEX(Yards[],MATCH($B245,Yards[DEVELOPMENT],0),MATCH("ESTIMATE",Yards[#Headers],0)),0)</f>
        <v>2453564.4999999995</v>
      </c>
      <c r="V245" s="128">
        <f ca="1">SUM(R245:U245)</f>
        <v>6661440.556260569</v>
      </c>
      <c r="W245" s="5"/>
    </row>
    <row r="246" spans="1:23" x14ac:dyDescent="0.25">
      <c r="A246" s="131">
        <f>VLOOKUP(B246,Data[],24,FALSE)</f>
        <v>67</v>
      </c>
      <c r="B246" t="s">
        <v>313</v>
      </c>
      <c r="C246" t="str">
        <f>VLOOKUP(B246,Data[],2,FALSE)</f>
        <v>BRONX</v>
      </c>
      <c r="D246" t="str">
        <f>VLOOKUP(all[[#This Row],[DEVELOPMENT]],Data[],3,FALSE)</f>
        <v>SOTOMAYOR HOUSES</v>
      </c>
      <c r="E246">
        <f>VLOOKUP(B246,Data[],8,FALSE)</f>
        <v>0</v>
      </c>
      <c r="F246">
        <f>VLOOKUP(B246,Data[],9,FALSE)</f>
        <v>0</v>
      </c>
      <c r="G246" t="str">
        <f>IFERROR(VLOOKUP(B246,Data[],4,FALSE),"")</f>
        <v/>
      </c>
      <c r="H246" t="str">
        <f ca="1">IF(G246="","",IF((G246-YEAR(TODAY()))&lt;=5,"Yes",""))</f>
        <v/>
      </c>
      <c r="I246">
        <f>VLOOKUP(all[[#This Row],[DEVELOPMENT]],Data[],7,FALSE)</f>
        <v>1495</v>
      </c>
      <c r="J246">
        <f>VLOOKUP(all[[#This Row],[DEVELOPMENT]],Data[],25,FALSE)</f>
        <v>0</v>
      </c>
      <c r="K246">
        <f>VLOOKUP(all[[#This Row],[DEVELOPMENT]],Data[],5,FALSE)</f>
        <v>28</v>
      </c>
      <c r="L246">
        <f>VLOOKUP(all[[#This Row],[DEVELOPMENT]],Data[],27,FALSE)</f>
        <v>28</v>
      </c>
      <c r="M246">
        <f>VLOOKUP(all[[#This Row],[DEVELOPMENT]],Data[],31,FALSE)</f>
        <v>0</v>
      </c>
      <c r="N246">
        <f>VLOOKUP(all[[#This Row],[DEVELOPMENT]],Data[],26,FALSE)</f>
        <v>3</v>
      </c>
      <c r="O246">
        <f>VLOOKUP(all[[#This Row],[DEVELOPMENT]],Data[],30,FALSE)</f>
        <v>3</v>
      </c>
      <c r="P246">
        <f>VLOOKUP(all[[#This Row],[DEVELOPMENT]],Data[],28,FALSE)</f>
        <v>0</v>
      </c>
      <c r="Q246">
        <f>IF(all[[#This Row],['# Bulk Crushers]]=0,1,0)</f>
        <v>1</v>
      </c>
      <c r="R246" s="5">
        <f>IFERROR(INDEX(FWD[],MATCH($B246,FWD[DEVELOPMENT],0),MATCH("ESTIMATE",FWD[#Headers],0)),0)</f>
        <v>0</v>
      </c>
      <c r="S246" s="5">
        <f>IFERROR(INDEX(EHD[],MATCH($B246,EHD[DEVELOPMENT],0),MATCH("ESTIMATE",EHD[#Headers],0)),0)</f>
        <v>208198.01800000001</v>
      </c>
      <c r="T246" s="5">
        <f ca="1">IFERROR(INDEX(IntComp[],MATCH($B246,IntComp[DEVELOPMENT],0),MATCH("ESTIMATE",IntComp[#Headers],0)),0)</f>
        <v>0</v>
      </c>
      <c r="U246" s="5">
        <f ca="1">IFERROR(INDEX(Yards[],MATCH($B246,Yards[DEVELOPMENT],0),MATCH("ESTIMATE",Yards[#Headers],0)),0)</f>
        <v>2022307.2600000005</v>
      </c>
      <c r="V246" s="128">
        <f ca="1">SUM(R246:U246)</f>
        <v>2230505.2780000004</v>
      </c>
      <c r="W246" s="5"/>
    </row>
    <row r="247" spans="1:23" x14ac:dyDescent="0.25">
      <c r="A247" s="131">
        <f>VLOOKUP(B247,Data[],24,FALSE)</f>
        <v>71</v>
      </c>
      <c r="B247" t="s">
        <v>314</v>
      </c>
      <c r="C247" t="str">
        <f>VLOOKUP(B247,Data[],2,FALSE)</f>
        <v>BRONX</v>
      </c>
      <c r="D247" t="str">
        <f>VLOOKUP(all[[#This Row],[DEVELOPMENT]],Data[],3,FALSE)</f>
        <v>SOUNDVIEW</v>
      </c>
      <c r="E247">
        <f>VLOOKUP(B247,Data[],8,FALSE)</f>
        <v>0</v>
      </c>
      <c r="F247">
        <f>VLOOKUP(B247,Data[],9,FALSE)</f>
        <v>0</v>
      </c>
      <c r="G247">
        <f>IFERROR(VLOOKUP(B247,Data[],4,FALSE),"")</f>
        <v>2023</v>
      </c>
      <c r="H247" t="str">
        <f ca="1">IF(G247="","",IF((G247-YEAR(TODAY()))&lt;=5,"Yes",""))</f>
        <v>Yes</v>
      </c>
      <c r="I247">
        <f>VLOOKUP(all[[#This Row],[DEVELOPMENT]],Data[],7,FALSE)</f>
        <v>1258</v>
      </c>
      <c r="J247">
        <f>VLOOKUP(all[[#This Row],[DEVELOPMENT]],Data[],25,FALSE)</f>
        <v>0</v>
      </c>
      <c r="K247">
        <f>VLOOKUP(all[[#This Row],[DEVELOPMENT]],Data[],5,FALSE)</f>
        <v>13</v>
      </c>
      <c r="L247">
        <f>VLOOKUP(all[[#This Row],[DEVELOPMENT]],Data[],27,FALSE)</f>
        <v>22</v>
      </c>
      <c r="M247">
        <f>VLOOKUP(all[[#This Row],[DEVELOPMENT]],Data[],31,FALSE)</f>
        <v>22</v>
      </c>
      <c r="N247">
        <f>VLOOKUP(all[[#This Row],[DEVELOPMENT]],Data[],26,FALSE)</f>
        <v>4</v>
      </c>
      <c r="O247">
        <f>VLOOKUP(all[[#This Row],[DEVELOPMENT]],Data[],30,FALSE)</f>
        <v>4</v>
      </c>
      <c r="P247">
        <f>VLOOKUP(all[[#This Row],[DEVELOPMENT]],Data[],28,FALSE)</f>
        <v>0</v>
      </c>
      <c r="Q247">
        <f>IF(all[[#This Row],['# Bulk Crushers]]=0,1,0)</f>
        <v>1</v>
      </c>
      <c r="R247" s="5">
        <f>IFERROR(INDEX(FWD[],MATCH($B247,FWD[DEVELOPMENT],0),MATCH("ESTIMATE",FWD[#Headers],0)),0)</f>
        <v>0</v>
      </c>
      <c r="S247" s="5">
        <f>IFERROR(INDEX(EHD[],MATCH($B247,EHD[DEVELOPMENT],0),MATCH("ESTIMATE",EHD[#Headers],0)),0)</f>
        <v>163584.15700000001</v>
      </c>
      <c r="T247" s="5">
        <f ca="1">IFERROR(INDEX(IntComp[],MATCH($B247,IntComp[DEVELOPMENT],0),MATCH("ESTIMATE",IntComp[#Headers],0)),0)</f>
        <v>0</v>
      </c>
      <c r="U247" s="5">
        <f>IFERROR(INDEX(Yards[],MATCH($B247,Yards[DEVELOPMENT],0),MATCH("ESTIMATE",Yards[#Headers],0)),0)</f>
        <v>0</v>
      </c>
      <c r="V247" s="128">
        <f ca="1">SUM(R247:U247)</f>
        <v>163584.15700000001</v>
      </c>
      <c r="W247" s="5"/>
    </row>
    <row r="248" spans="1:23" x14ac:dyDescent="0.25">
      <c r="A248" s="131">
        <f>VLOOKUP(B248,Data[],24,FALSE)</f>
        <v>35</v>
      </c>
      <c r="B248" t="s">
        <v>315</v>
      </c>
      <c r="C248" t="str">
        <f>VLOOKUP(B248,Data[],2,FALSE)</f>
        <v>STATEN ISLAND</v>
      </c>
      <c r="D248" t="str">
        <f>VLOOKUP(all[[#This Row],[DEVELOPMENT]],Data[],3,FALSE)</f>
        <v>SOUTH BEACH</v>
      </c>
      <c r="E248">
        <f>VLOOKUP(B248,Data[],8,FALSE)</f>
        <v>0</v>
      </c>
      <c r="F248">
        <f>VLOOKUP(B248,Data[],9,FALSE)</f>
        <v>0</v>
      </c>
      <c r="G248" t="str">
        <f>IFERROR(VLOOKUP(B248,Data[],4,FALSE),"")</f>
        <v/>
      </c>
      <c r="H248" t="str">
        <f ca="1">IF(G248="","",IF((G248-YEAR(TODAY()))&lt;=5,"Yes",""))</f>
        <v/>
      </c>
      <c r="I248">
        <f>VLOOKUP(all[[#This Row],[DEVELOPMENT]],Data[],7,FALSE)</f>
        <v>421</v>
      </c>
      <c r="J248">
        <f>VLOOKUP(all[[#This Row],[DEVELOPMENT]],Data[],25,FALSE)</f>
        <v>0</v>
      </c>
      <c r="K248">
        <f>VLOOKUP(all[[#This Row],[DEVELOPMENT]],Data[],5,FALSE)</f>
        <v>8</v>
      </c>
      <c r="L248">
        <f>VLOOKUP(all[[#This Row],[DEVELOPMENT]],Data[],27,FALSE)</f>
        <v>15</v>
      </c>
      <c r="M248">
        <f>VLOOKUP(all[[#This Row],[DEVELOPMENT]],Data[],31,FALSE)</f>
        <v>15</v>
      </c>
      <c r="N248">
        <f>VLOOKUP(all[[#This Row],[DEVELOPMENT]],Data[],26,FALSE)</f>
        <v>1</v>
      </c>
      <c r="O248">
        <f>VLOOKUP(all[[#This Row],[DEVELOPMENT]],Data[],30,FALSE)</f>
        <v>1</v>
      </c>
      <c r="P248">
        <f>VLOOKUP(all[[#This Row],[DEVELOPMENT]],Data[],28,FALSE)</f>
        <v>0</v>
      </c>
      <c r="Q248">
        <f>IF(all[[#This Row],['# Bulk Crushers]]=0,1,0)</f>
        <v>1</v>
      </c>
      <c r="R248" s="5">
        <f>IFERROR(INDEX(FWD[],MATCH($B248,FWD[DEVELOPMENT],0),MATCH("ESTIMATE",FWD[#Headers],0)),0)</f>
        <v>0</v>
      </c>
      <c r="S248" s="5">
        <f>IFERROR(INDEX(EHD[],MATCH($B248,EHD[DEVELOPMENT],0),MATCH("ESTIMATE",EHD[#Headers],0)),0)</f>
        <v>111534.6525</v>
      </c>
      <c r="T248" s="5">
        <f ca="1">IFERROR(INDEX(IntComp[],MATCH($B248,IntComp[DEVELOPMENT],0),MATCH("ESTIMATE",IntComp[#Headers],0)),0)</f>
        <v>1104800.9175</v>
      </c>
      <c r="U248" s="5">
        <f ca="1">IFERROR(INDEX(Yards[],MATCH($B248,Yards[DEVELOPMENT],0),MATCH("ESTIMATE",Yards[#Headers],0)),0)</f>
        <v>1159792.78</v>
      </c>
      <c r="V248" s="128">
        <f ca="1">SUM(R248:U248)</f>
        <v>2376128.35</v>
      </c>
      <c r="W248" s="5"/>
    </row>
    <row r="249" spans="1:23" x14ac:dyDescent="0.25">
      <c r="A249" s="131">
        <f>VLOOKUP(B249,Data[],24,FALSE)</f>
        <v>305</v>
      </c>
      <c r="B249" t="s">
        <v>96</v>
      </c>
      <c r="C249" t="str">
        <f>VLOOKUP(B249,Data[],2,FALSE)</f>
        <v>BRONX</v>
      </c>
      <c r="D249" t="str">
        <f>VLOOKUP(all[[#This Row],[DEVELOPMENT]],Data[],3,FALSE)</f>
        <v>UNION AVENUE CONSOLIDATED</v>
      </c>
      <c r="E249" t="str">
        <f>VLOOKUP(B249,Data[],8,FALSE)</f>
        <v>Zone 3</v>
      </c>
      <c r="F249" t="str">
        <f>VLOOKUP(B249,Data[],9,FALSE)</f>
        <v>$$</v>
      </c>
      <c r="G249">
        <f>IFERROR(VLOOKUP(B249,Data[],4,FALSE),"")</f>
        <v>2026</v>
      </c>
      <c r="H249" t="str">
        <f ca="1">IF(G249="","",IF((G249-YEAR(TODAY()))&lt;=5,"Yes",""))</f>
        <v/>
      </c>
      <c r="I249">
        <f>VLOOKUP(all[[#This Row],[DEVELOPMENT]],Data[],7,FALSE)</f>
        <v>112</v>
      </c>
      <c r="J249">
        <f>VLOOKUP(all[[#This Row],[DEVELOPMENT]],Data[],25,FALSE)</f>
        <v>0</v>
      </c>
      <c r="K249">
        <f>VLOOKUP(all[[#This Row],[DEVELOPMENT]],Data[],5,FALSE)</f>
        <v>4</v>
      </c>
      <c r="L249">
        <f>VLOOKUP(all[[#This Row],[DEVELOPMENT]],Data[],27,FALSE)</f>
        <v>0</v>
      </c>
      <c r="M249">
        <f>VLOOKUP(all[[#This Row],[DEVELOPMENT]],Data[],31,FALSE)</f>
        <v>0</v>
      </c>
      <c r="N249">
        <f>VLOOKUP(all[[#This Row],[DEVELOPMENT]],Data[],26,FALSE)</f>
        <v>0</v>
      </c>
      <c r="O249">
        <f>VLOOKUP(all[[#This Row],[DEVELOPMENT]],Data[],30,FALSE)</f>
        <v>0</v>
      </c>
      <c r="P249">
        <f>VLOOKUP(all[[#This Row],[DEVELOPMENT]],Data[],28,FALSE)</f>
        <v>0</v>
      </c>
      <c r="Q249">
        <f>IF(all[[#This Row],['# Bulk Crushers]]=0,1,0)</f>
        <v>1</v>
      </c>
      <c r="R249" s="5">
        <f>IFERROR(INDEX(FWD[],MATCH($B249,FWD[DEVELOPMENT],0),MATCH("ESTIMATE",FWD[#Headers],0)),0)</f>
        <v>0</v>
      </c>
      <c r="S249" s="5">
        <f>IFERROR(INDEX(EHD[],MATCH($B249,EHD[DEVELOPMENT],0),MATCH("ESTIMATE",EHD[#Headers],0)),0)</f>
        <v>0</v>
      </c>
      <c r="T249" s="5">
        <f ca="1">IFERROR(INDEX(IntComp[],MATCH($B249,IntComp[DEVELOPMENT],0),MATCH("ESTIMATE",IntComp[#Headers],0)),0)</f>
        <v>0</v>
      </c>
      <c r="U249" s="5">
        <f>IFERROR(INDEX(Yards[],MATCH($B249,Yards[DEVELOPMENT],0),MATCH("ESTIMATE",Yards[#Headers],0)),0)</f>
        <v>1159792.78</v>
      </c>
      <c r="V249" s="128">
        <f ca="1">SUM(R249:U249)</f>
        <v>1159792.78</v>
      </c>
      <c r="W249" s="5"/>
    </row>
    <row r="250" spans="1:23" x14ac:dyDescent="0.25">
      <c r="A250" s="131">
        <f>VLOOKUP(B250,Data[],24,FALSE)</f>
        <v>8</v>
      </c>
      <c r="B250" t="s">
        <v>316</v>
      </c>
      <c r="C250" t="str">
        <f>VLOOKUP(B250,Data[],2,FALSE)</f>
        <v>QUEENS</v>
      </c>
      <c r="D250" t="str">
        <f>VLOOKUP(all[[#This Row],[DEVELOPMENT]],Data[],3,FALSE)</f>
        <v>SOUTH JAMAICA I</v>
      </c>
      <c r="E250">
        <f>VLOOKUP(B250,Data[],8,FALSE)</f>
        <v>0</v>
      </c>
      <c r="F250">
        <f>VLOOKUP(B250,Data[],9,FALSE)</f>
        <v>0</v>
      </c>
      <c r="G250">
        <f>IFERROR(VLOOKUP(B250,Data[],4,FALSE),"")</f>
        <v>2021</v>
      </c>
      <c r="H250" t="str">
        <f ca="1">IF(G250="","",IF((G250-YEAR(TODAY()))&lt;=5,"Yes",""))</f>
        <v>Yes</v>
      </c>
      <c r="I250">
        <f>VLOOKUP(all[[#This Row],[DEVELOPMENT]],Data[],7,FALSE)</f>
        <v>448</v>
      </c>
      <c r="J250">
        <f>VLOOKUP(all[[#This Row],[DEVELOPMENT]],Data[],25,FALSE)</f>
        <v>0</v>
      </c>
      <c r="K250">
        <f>VLOOKUP(all[[#This Row],[DEVELOPMENT]],Data[],5,FALSE)</f>
        <v>11</v>
      </c>
      <c r="L250">
        <f>VLOOKUP(all[[#This Row],[DEVELOPMENT]],Data[],27,FALSE)</f>
        <v>33</v>
      </c>
      <c r="M250">
        <f>VLOOKUP(all[[#This Row],[DEVELOPMENT]],Data[],31,FALSE)</f>
        <v>33</v>
      </c>
      <c r="N250">
        <f>VLOOKUP(all[[#This Row],[DEVELOPMENT]],Data[],26,FALSE)</f>
        <v>0</v>
      </c>
      <c r="O250">
        <f>VLOOKUP(all[[#This Row],[DEVELOPMENT]],Data[],30,FALSE)</f>
        <v>0</v>
      </c>
      <c r="P250">
        <f>VLOOKUP(all[[#This Row],[DEVELOPMENT]],Data[],28,FALSE)</f>
        <v>0</v>
      </c>
      <c r="Q250">
        <f>IF(all[[#This Row],['# Bulk Crushers]]=0,1,0)</f>
        <v>1</v>
      </c>
      <c r="R250" s="5">
        <f>IFERROR(INDEX(FWD[],MATCH($B250,FWD[DEVELOPMENT],0),MATCH("ESTIMATE",FWD[#Headers],0)),0)</f>
        <v>0</v>
      </c>
      <c r="S250" s="5">
        <f>IFERROR(INDEX(EHD[],MATCH($B250,EHD[DEVELOPMENT],0),MATCH("ESTIMATE",EHD[#Headers],0)),0)</f>
        <v>245376.23550000001</v>
      </c>
      <c r="T250" s="5">
        <f ca="1">IFERROR(INDEX(IntComp[],MATCH($B250,IntComp[DEVELOPMENT],0),MATCH("ESTIMATE",IntComp[#Headers],0)),0)</f>
        <v>0</v>
      </c>
      <c r="U250" s="5">
        <f>IFERROR(INDEX(Yards[],MATCH($B250,Yards[DEVELOPMENT],0),MATCH("ESTIMATE",Yards[#Headers],0)),0)</f>
        <v>0</v>
      </c>
      <c r="V250" s="128">
        <f ca="1">SUM(R250:U250)</f>
        <v>245376.23550000001</v>
      </c>
      <c r="W250" s="5"/>
    </row>
    <row r="251" spans="1:23" x14ac:dyDescent="0.25">
      <c r="A251" s="131">
        <f>VLOOKUP(B251,Data[],24,FALSE)</f>
        <v>66</v>
      </c>
      <c r="B251" t="s">
        <v>317</v>
      </c>
      <c r="C251" t="str">
        <f>VLOOKUP(B251,Data[],2,FALSE)</f>
        <v>QUEENS</v>
      </c>
      <c r="D251" t="str">
        <f>VLOOKUP(all[[#This Row],[DEVELOPMENT]],Data[],3,FALSE)</f>
        <v>SOUTH JAMAICA I</v>
      </c>
      <c r="E251">
        <f>VLOOKUP(B251,Data[],8,FALSE)</f>
        <v>0</v>
      </c>
      <c r="F251">
        <f>VLOOKUP(B251,Data[],9,FALSE)</f>
        <v>0</v>
      </c>
      <c r="G251">
        <f>IFERROR(VLOOKUP(B251,Data[],4,FALSE),"")</f>
        <v>2021</v>
      </c>
      <c r="H251" t="str">
        <f ca="1">IF(G251="","",IF((G251-YEAR(TODAY()))&lt;=5,"Yes",""))</f>
        <v>Yes</v>
      </c>
      <c r="I251">
        <f>VLOOKUP(all[[#This Row],[DEVELOPMENT]],Data[],7,FALSE)</f>
        <v>598</v>
      </c>
      <c r="J251">
        <f>VLOOKUP(all[[#This Row],[DEVELOPMENT]],Data[],25,FALSE)</f>
        <v>0</v>
      </c>
      <c r="K251">
        <f>VLOOKUP(all[[#This Row],[DEVELOPMENT]],Data[],5,FALSE)</f>
        <v>16</v>
      </c>
      <c r="L251">
        <f>VLOOKUP(all[[#This Row],[DEVELOPMENT]],Data[],27,FALSE)</f>
        <v>27</v>
      </c>
      <c r="M251">
        <f>VLOOKUP(all[[#This Row],[DEVELOPMENT]],Data[],31,FALSE)</f>
        <v>27</v>
      </c>
      <c r="N251">
        <f>VLOOKUP(all[[#This Row],[DEVELOPMENT]],Data[],26,FALSE)</f>
        <v>4</v>
      </c>
      <c r="O251">
        <f>VLOOKUP(all[[#This Row],[DEVELOPMENT]],Data[],30,FALSE)</f>
        <v>4</v>
      </c>
      <c r="P251">
        <f>VLOOKUP(all[[#This Row],[DEVELOPMENT]],Data[],28,FALSE)</f>
        <v>0</v>
      </c>
      <c r="Q251">
        <f>IF(all[[#This Row],['# Bulk Crushers]]=0,1,0)</f>
        <v>1</v>
      </c>
      <c r="R251" s="5">
        <f>IFERROR(INDEX(FWD[],MATCH($B251,FWD[DEVELOPMENT],0),MATCH("ESTIMATE",FWD[#Headers],0)),0)</f>
        <v>0</v>
      </c>
      <c r="S251" s="5">
        <f>IFERROR(INDEX(EHD[],MATCH($B251,EHD[DEVELOPMENT],0),MATCH("ESTIMATE",EHD[#Headers],0)),0)</f>
        <v>200762.37450000001</v>
      </c>
      <c r="T251" s="5">
        <f ca="1">IFERROR(INDEX(IntComp[],MATCH($B251,IntComp[DEVELOPMENT],0),MATCH("ESTIMATE",IntComp[#Headers],0)),0)</f>
        <v>0</v>
      </c>
      <c r="U251" s="5">
        <f>IFERROR(INDEX(Yards[],MATCH($B251,Yards[DEVELOPMENT],0),MATCH("ESTIMATE",Yards[#Headers],0)),0)</f>
        <v>0</v>
      </c>
      <c r="V251" s="128">
        <f ca="1">SUM(R251:U251)</f>
        <v>200762.37450000001</v>
      </c>
      <c r="W251" s="5"/>
    </row>
    <row r="252" spans="1:23" x14ac:dyDescent="0.25">
      <c r="A252" s="131">
        <f>VLOOKUP(B252,Data[],24,FALSE)</f>
        <v>559</v>
      </c>
      <c r="B252" t="s">
        <v>318</v>
      </c>
      <c r="C252" t="str">
        <f>VLOOKUP(B252,Data[],2,FALSE)</f>
        <v>MANHATTAN</v>
      </c>
      <c r="D252" t="str">
        <f>VLOOKUP(all[[#This Row],[DEVELOPMENT]],Data[],3,FALSE)</f>
        <v>KRAUS MANAGEMENT (PRIVATE - M/B 1)</v>
      </c>
      <c r="E252">
        <f>VLOOKUP(B252,Data[],8,FALSE)</f>
        <v>0</v>
      </c>
      <c r="F252">
        <f>VLOOKUP(B252,Data[],9,FALSE)</f>
        <v>0</v>
      </c>
      <c r="G252" t="str">
        <f>IFERROR(VLOOKUP(B252,Data[],4,FALSE),"")</f>
        <v/>
      </c>
      <c r="H252" t="str">
        <f ca="1">IF(G252="","",IF((G252-YEAR(TODAY()))&lt;=5,"Yes",""))</f>
        <v/>
      </c>
      <c r="I252">
        <f>VLOOKUP(all[[#This Row],[DEVELOPMENT]],Data[],7,FALSE)</f>
        <v>13</v>
      </c>
      <c r="J252" t="str">
        <f>VLOOKUP(all[[#This Row],[DEVELOPMENT]],Data[],25,FALSE)</f>
        <v>Yes</v>
      </c>
      <c r="K252">
        <f>VLOOKUP(all[[#This Row],[DEVELOPMENT]],Data[],5,FALSE)</f>
        <v>1</v>
      </c>
      <c r="L252">
        <f>VLOOKUP(all[[#This Row],[DEVELOPMENT]],Data[],27,FALSE)</f>
        <v>1</v>
      </c>
      <c r="M252">
        <f>VLOOKUP(all[[#This Row],[DEVELOPMENT]],Data[],31,FALSE)</f>
        <v>1</v>
      </c>
      <c r="N252">
        <f>VLOOKUP(all[[#This Row],[DEVELOPMENT]],Data[],26,FALSE)</f>
        <v>0</v>
      </c>
      <c r="O252">
        <f>VLOOKUP(all[[#This Row],[DEVELOPMENT]],Data[],30,FALSE)</f>
        <v>0</v>
      </c>
      <c r="P252">
        <f>VLOOKUP(all[[#This Row],[DEVELOPMENT]],Data[],28,FALSE)</f>
        <v>0</v>
      </c>
      <c r="Q252">
        <f>IF(all[[#This Row],['# Bulk Crushers]]=0,1,0)</f>
        <v>1</v>
      </c>
      <c r="R252" s="5">
        <f>IFERROR(INDEX(FWD[],MATCH($B252,FWD[DEVELOPMENT],0),MATCH("ESTIMATE",FWD[#Headers],0)),0)</f>
        <v>22343.56731612586</v>
      </c>
      <c r="S252" s="5">
        <f>IFERROR(INDEX(EHD[],MATCH($B252,EHD[DEVELOPMENT],0),MATCH("ESTIMATE",EHD[#Headers],0)),0)</f>
        <v>7435.6435000000001</v>
      </c>
      <c r="T252" s="5">
        <f ca="1">IFERROR(INDEX(IntComp[],MATCH($B252,IntComp[DEVELOPMENT],0),MATCH("ESTIMATE",IntComp[#Headers],0)),0)</f>
        <v>73653.394499999995</v>
      </c>
      <c r="U252" s="5">
        <f>IFERROR(INDEX(Yards[],MATCH($B252,Yards[DEVELOPMENT],0),MATCH("ESTIMATE",Yards[#Headers],0)),0)</f>
        <v>1159792.78</v>
      </c>
      <c r="V252" s="128">
        <f ca="1">SUM(R252:U252)</f>
        <v>1263225.3853161258</v>
      </c>
      <c r="W252" s="5"/>
    </row>
    <row r="253" spans="1:23" x14ac:dyDescent="0.25">
      <c r="A253" s="131">
        <f>VLOOKUP(B253,Data[],24,FALSE)</f>
        <v>114</v>
      </c>
      <c r="B253" t="s">
        <v>319</v>
      </c>
      <c r="C253" t="str">
        <f>VLOOKUP(B253,Data[],2,FALSE)</f>
        <v>STATEN ISLAND</v>
      </c>
      <c r="D253" t="str">
        <f>VLOOKUP(all[[#This Row],[DEVELOPMENT]],Data[],3,FALSE)</f>
        <v>STAPLETON</v>
      </c>
      <c r="E253">
        <f>VLOOKUP(B253,Data[],8,FALSE)</f>
        <v>0</v>
      </c>
      <c r="F253">
        <f>VLOOKUP(B253,Data[],9,FALSE)</f>
        <v>0</v>
      </c>
      <c r="G253" t="str">
        <f>IFERROR(VLOOKUP(B253,Data[],4,FALSE),"")</f>
        <v/>
      </c>
      <c r="H253" t="str">
        <f ca="1">IF(G253="","",IF((G253-YEAR(TODAY()))&lt;=5,"Yes",""))</f>
        <v/>
      </c>
      <c r="I253">
        <f>VLOOKUP(all[[#This Row],[DEVELOPMENT]],Data[],7,FALSE)</f>
        <v>693</v>
      </c>
      <c r="J253">
        <f>VLOOKUP(all[[#This Row],[DEVELOPMENT]],Data[],25,FALSE)</f>
        <v>0</v>
      </c>
      <c r="K253">
        <f>VLOOKUP(all[[#This Row],[DEVELOPMENT]],Data[],5,FALSE)</f>
        <v>6</v>
      </c>
      <c r="L253">
        <f>VLOOKUP(all[[#This Row],[DEVELOPMENT]],Data[],27,FALSE)</f>
        <v>12</v>
      </c>
      <c r="M253">
        <f>VLOOKUP(all[[#This Row],[DEVELOPMENT]],Data[],31,FALSE)</f>
        <v>12</v>
      </c>
      <c r="N253">
        <f>VLOOKUP(all[[#This Row],[DEVELOPMENT]],Data[],26,FALSE)</f>
        <v>2</v>
      </c>
      <c r="O253">
        <f>VLOOKUP(all[[#This Row],[DEVELOPMENT]],Data[],30,FALSE)</f>
        <v>2</v>
      </c>
      <c r="P253">
        <f>VLOOKUP(all[[#This Row],[DEVELOPMENT]],Data[],28,FALSE)</f>
        <v>0</v>
      </c>
      <c r="Q253">
        <f>IF(all[[#This Row],['# Bulk Crushers]]=0,1,0)</f>
        <v>1</v>
      </c>
      <c r="R253" s="5">
        <f>IFERROR(INDEX(FWD[],MATCH($B253,FWD[DEVELOPMENT],0),MATCH("ESTIMATE",FWD[#Headers],0)),0)</f>
        <v>0</v>
      </c>
      <c r="S253" s="5">
        <f>IFERROR(INDEX(EHD[],MATCH($B253,EHD[DEVELOPMENT],0),MATCH("ESTIMATE",EHD[#Headers],0)),0)</f>
        <v>89227.722000000009</v>
      </c>
      <c r="T253" s="5">
        <f ca="1">IFERROR(INDEX(IntComp[],MATCH($B253,IntComp[DEVELOPMENT],0),MATCH("ESTIMATE",IntComp[#Headers],0)),0)</f>
        <v>883840.73399999982</v>
      </c>
      <c r="U253" s="5">
        <f ca="1">IFERROR(INDEX(Yards[],MATCH($B253,Yards[DEVELOPMENT],0),MATCH("ESTIMATE",Yards[#Headers],0)),0)</f>
        <v>1591050.0199999998</v>
      </c>
      <c r="V253" s="128">
        <f ca="1">SUM(R253:U253)</f>
        <v>2564118.4759999998</v>
      </c>
      <c r="W253" s="5"/>
    </row>
    <row r="254" spans="1:23" x14ac:dyDescent="0.25">
      <c r="A254" s="131">
        <f>VLOOKUP(B254,Data[],24,FALSE)</f>
        <v>353</v>
      </c>
      <c r="B254" t="s">
        <v>97</v>
      </c>
      <c r="C254" t="str">
        <f>VLOOKUP(B254,Data[],2,FALSE)</f>
        <v>BRONX</v>
      </c>
      <c r="D254" t="str">
        <f>VLOOKUP(all[[#This Row],[DEVELOPMENT]],Data[],3,FALSE)</f>
        <v>UNION AVENUE CONSOLIDATED</v>
      </c>
      <c r="E254" t="str">
        <f>VLOOKUP(B254,Data[],8,FALSE)</f>
        <v>Zone 3</v>
      </c>
      <c r="F254" t="str">
        <f>VLOOKUP(B254,Data[],9,FALSE)</f>
        <v>$$$</v>
      </c>
      <c r="G254">
        <f>IFERROR(VLOOKUP(B254,Data[],4,FALSE),"")</f>
        <v>2026</v>
      </c>
      <c r="H254" t="str">
        <f ca="1">IF(G254="","",IF((G254-YEAR(TODAY()))&lt;=5,"Yes",""))</f>
        <v/>
      </c>
      <c r="I254">
        <f>VLOOKUP(all[[#This Row],[DEVELOPMENT]],Data[],7,FALSE)</f>
        <v>119</v>
      </c>
      <c r="J254">
        <f>VLOOKUP(all[[#This Row],[DEVELOPMENT]],Data[],25,FALSE)</f>
        <v>0</v>
      </c>
      <c r="K254">
        <f>VLOOKUP(all[[#This Row],[DEVELOPMENT]],Data[],5,FALSE)</f>
        <v>2</v>
      </c>
      <c r="L254">
        <f>VLOOKUP(all[[#This Row],[DEVELOPMENT]],Data[],27,FALSE)</f>
        <v>0</v>
      </c>
      <c r="M254">
        <f>VLOOKUP(all[[#This Row],[DEVELOPMENT]],Data[],31,FALSE)</f>
        <v>0</v>
      </c>
      <c r="N254">
        <f>VLOOKUP(all[[#This Row],[DEVELOPMENT]],Data[],26,FALSE)</f>
        <v>0</v>
      </c>
      <c r="O254">
        <f>VLOOKUP(all[[#This Row],[DEVELOPMENT]],Data[],30,FALSE)</f>
        <v>0</v>
      </c>
      <c r="P254">
        <f>VLOOKUP(all[[#This Row],[DEVELOPMENT]],Data[],28,FALSE)</f>
        <v>0</v>
      </c>
      <c r="Q254">
        <f>IF(all[[#This Row],['# Bulk Crushers]]=0,1,0)</f>
        <v>1</v>
      </c>
      <c r="R254" s="5">
        <f>IFERROR(INDEX(FWD[],MATCH($B254,FWD[DEVELOPMENT],0),MATCH("ESTIMATE",FWD[#Headers],0)),0)</f>
        <v>0</v>
      </c>
      <c r="S254" s="5">
        <f>IFERROR(INDEX(EHD[],MATCH($B254,EHD[DEVELOPMENT],0),MATCH("ESTIMATE",EHD[#Headers],0)),0)</f>
        <v>0</v>
      </c>
      <c r="T254" s="5">
        <f ca="1">IFERROR(INDEX(IntComp[],MATCH($B254,IntComp[DEVELOPMENT],0),MATCH("ESTIMATE",IntComp[#Headers],0)),0)</f>
        <v>0</v>
      </c>
      <c r="U254" s="5">
        <f>IFERROR(INDEX(Yards[],MATCH($B254,Yards[DEVELOPMENT],0),MATCH("ESTIMATE",Yards[#Headers],0)),0)</f>
        <v>1159792.78</v>
      </c>
      <c r="V254" s="128">
        <f ca="1">SUM(R254:U254)</f>
        <v>1159792.78</v>
      </c>
      <c r="W254" s="5"/>
    </row>
    <row r="255" spans="1:23" x14ac:dyDescent="0.25">
      <c r="A255" s="131">
        <f>VLOOKUP(B255,Data[],24,FALSE)</f>
        <v>366</v>
      </c>
      <c r="B255" t="s">
        <v>320</v>
      </c>
      <c r="C255" t="str">
        <f>VLOOKUP(B255,Data[],2,FALSE)</f>
        <v>BROOKLYN</v>
      </c>
      <c r="D255" t="str">
        <f>VLOOKUP(all[[#This Row],[DEVELOPMENT]],Data[],3,FALSE)</f>
        <v>PARK ROCK CONSOLIDATED</v>
      </c>
      <c r="E255">
        <f>VLOOKUP(B255,Data[],8,FALSE)</f>
        <v>0</v>
      </c>
      <c r="F255">
        <f>VLOOKUP(B255,Data[],9,FALSE)</f>
        <v>0</v>
      </c>
      <c r="G255">
        <f>IFERROR(VLOOKUP(B255,Data[],4,FALSE),"")</f>
        <v>2025</v>
      </c>
      <c r="H255" t="str">
        <f ca="1">IF(G255="","",IF((G255-YEAR(TODAY()))&lt;=5,"Yes",""))</f>
        <v/>
      </c>
      <c r="I255">
        <f>VLOOKUP(all[[#This Row],[DEVELOPMENT]],Data[],7,FALSE)</f>
        <v>83</v>
      </c>
      <c r="J255" t="str">
        <f>VLOOKUP(all[[#This Row],[DEVELOPMENT]],Data[],25,FALSE)</f>
        <v>Yes</v>
      </c>
      <c r="K255">
        <f>VLOOKUP(all[[#This Row],[DEVELOPMENT]],Data[],5,FALSE)</f>
        <v>5</v>
      </c>
      <c r="L255">
        <f>VLOOKUP(all[[#This Row],[DEVELOPMENT]],Data[],27,FALSE)</f>
        <v>5</v>
      </c>
      <c r="M255">
        <f>VLOOKUP(all[[#This Row],[DEVELOPMENT]],Data[],31,FALSE)</f>
        <v>5</v>
      </c>
      <c r="N255">
        <f>VLOOKUP(all[[#This Row],[DEVELOPMENT]],Data[],26,FALSE)</f>
        <v>0</v>
      </c>
      <c r="O255">
        <f>VLOOKUP(all[[#This Row],[DEVELOPMENT]],Data[],30,FALSE)</f>
        <v>0</v>
      </c>
      <c r="P255">
        <f>VLOOKUP(all[[#This Row],[DEVELOPMENT]],Data[],28,FALSE)</f>
        <v>0</v>
      </c>
      <c r="Q255">
        <f>IF(all[[#This Row],['# Bulk Crushers]]=0,1,0)</f>
        <v>1</v>
      </c>
      <c r="R255" s="5">
        <f>IFERROR(INDEX(FWD[],MATCH($B255,FWD[DEVELOPMENT],0),MATCH("ESTIMATE",FWD[#Headers],0)),0)</f>
        <v>142655.08363372664</v>
      </c>
      <c r="S255" s="5">
        <f>IFERROR(INDEX(EHD[],MATCH($B255,EHD[DEVELOPMENT],0),MATCH("ESTIMATE",EHD[#Headers],0)),0)</f>
        <v>37178.217499999999</v>
      </c>
      <c r="T255" s="5">
        <f ca="1">IFERROR(INDEX(IntComp[],MATCH($B255,IntComp[DEVELOPMENT],0),MATCH("ESTIMATE",IntComp[#Headers],0)),0)</f>
        <v>0</v>
      </c>
      <c r="U255" s="5">
        <f>IFERROR(INDEX(Yards[],MATCH($B255,Yards[DEVELOPMENT],0),MATCH("ESTIMATE",Yards[#Headers],0)),0)</f>
        <v>0</v>
      </c>
      <c r="V255" s="128">
        <f ca="1">SUM(R255:U255)</f>
        <v>179833.30113372664</v>
      </c>
      <c r="W255" s="5"/>
    </row>
    <row r="256" spans="1:23" x14ac:dyDescent="0.25">
      <c r="A256" s="131">
        <f>VLOOKUP(B256,Data[],24,FALSE)</f>
        <v>368</v>
      </c>
      <c r="B256" t="s">
        <v>321</v>
      </c>
      <c r="C256" t="str">
        <f>VLOOKUP(B256,Data[],2,FALSE)</f>
        <v>BROOKLYN</v>
      </c>
      <c r="D256" t="str">
        <f>VLOOKUP(all[[#This Row],[DEVELOPMENT]],Data[],3,FALSE)</f>
        <v>PARK ROCK CONSOLIDATED</v>
      </c>
      <c r="E256">
        <f>VLOOKUP(B256,Data[],8,FALSE)</f>
        <v>0</v>
      </c>
      <c r="F256">
        <f>VLOOKUP(B256,Data[],9,FALSE)</f>
        <v>0</v>
      </c>
      <c r="G256">
        <f>IFERROR(VLOOKUP(B256,Data[],4,FALSE),"")</f>
        <v>2025</v>
      </c>
      <c r="H256" t="str">
        <f ca="1">IF(G256="","",IF((G256-YEAR(TODAY()))&lt;=5,"Yes",""))</f>
        <v/>
      </c>
      <c r="I256">
        <f>VLOOKUP(all[[#This Row],[DEVELOPMENT]],Data[],7,FALSE)</f>
        <v>125</v>
      </c>
      <c r="J256" t="str">
        <f>VLOOKUP(all[[#This Row],[DEVELOPMENT]],Data[],25,FALSE)</f>
        <v>Yes</v>
      </c>
      <c r="K256">
        <f>VLOOKUP(all[[#This Row],[DEVELOPMENT]],Data[],5,FALSE)</f>
        <v>7</v>
      </c>
      <c r="L256">
        <f>VLOOKUP(all[[#This Row],[DEVELOPMENT]],Data[],27,FALSE)</f>
        <v>7</v>
      </c>
      <c r="M256">
        <f>VLOOKUP(all[[#This Row],[DEVELOPMENT]],Data[],31,FALSE)</f>
        <v>7</v>
      </c>
      <c r="N256">
        <f>VLOOKUP(all[[#This Row],[DEVELOPMENT]],Data[],26,FALSE)</f>
        <v>0</v>
      </c>
      <c r="O256">
        <f>VLOOKUP(all[[#This Row],[DEVELOPMENT]],Data[],30,FALSE)</f>
        <v>0</v>
      </c>
      <c r="P256">
        <f>VLOOKUP(all[[#This Row],[DEVELOPMENT]],Data[],28,FALSE)</f>
        <v>0</v>
      </c>
      <c r="Q256">
        <f>IF(all[[#This Row],['# Bulk Crushers]]=0,1,0)</f>
        <v>1</v>
      </c>
      <c r="R256" s="5">
        <f>IFERROR(INDEX(FWD[],MATCH($B256,FWD[DEVELOPMENT],0),MATCH("ESTIMATE",FWD[#Headers],0)),0)</f>
        <v>214841.99342428712</v>
      </c>
      <c r="S256" s="5">
        <f>IFERROR(INDEX(EHD[],MATCH($B256,EHD[DEVELOPMENT],0),MATCH("ESTIMATE",EHD[#Headers],0)),0)</f>
        <v>52049.504500000003</v>
      </c>
      <c r="T256" s="5">
        <f ca="1">IFERROR(INDEX(IntComp[],MATCH($B256,IntComp[DEVELOPMENT],0),MATCH("ESTIMATE",IntComp[#Headers],0)),0)</f>
        <v>0</v>
      </c>
      <c r="U256" s="5">
        <f>IFERROR(INDEX(Yards[],MATCH($B256,Yards[DEVELOPMENT],0),MATCH("ESTIMATE",Yards[#Headers],0)),0)</f>
        <v>0</v>
      </c>
      <c r="V256" s="128">
        <f ca="1">SUM(R256:U256)</f>
        <v>266891.4979242871</v>
      </c>
      <c r="W256" s="5"/>
    </row>
    <row r="257" spans="1:23" x14ac:dyDescent="0.25">
      <c r="A257" s="131">
        <f>VLOOKUP(B257,Data[],24,FALSE)</f>
        <v>153</v>
      </c>
      <c r="B257" t="s">
        <v>322</v>
      </c>
      <c r="C257" t="str">
        <f>VLOOKUP(B257,Data[],2,FALSE)</f>
        <v>MANHATTAN</v>
      </c>
      <c r="D257" t="str">
        <f>VLOOKUP(all[[#This Row],[DEVELOPMENT]],Data[],3,FALSE)</f>
        <v>STRAUS</v>
      </c>
      <c r="E257">
        <f>VLOOKUP(B257,Data[],8,FALSE)</f>
        <v>0</v>
      </c>
      <c r="F257">
        <f>VLOOKUP(B257,Data[],9,FALSE)</f>
        <v>0</v>
      </c>
      <c r="G257" t="str">
        <f>IFERROR(VLOOKUP(B257,Data[],4,FALSE),"")</f>
        <v/>
      </c>
      <c r="H257" t="str">
        <f ca="1">IF(G257="","",IF((G257-YEAR(TODAY()))&lt;=5,"Yes",""))</f>
        <v/>
      </c>
      <c r="I257">
        <f>VLOOKUP(all[[#This Row],[DEVELOPMENT]],Data[],7,FALSE)</f>
        <v>267</v>
      </c>
      <c r="J257" t="str">
        <f>VLOOKUP(all[[#This Row],[DEVELOPMENT]],Data[],25,FALSE)</f>
        <v>Yes</v>
      </c>
      <c r="K257">
        <f>VLOOKUP(all[[#This Row],[DEVELOPMENT]],Data[],5,FALSE)</f>
        <v>2</v>
      </c>
      <c r="L257">
        <f>VLOOKUP(all[[#This Row],[DEVELOPMENT]],Data[],27,FALSE)</f>
        <v>2</v>
      </c>
      <c r="M257">
        <f>VLOOKUP(all[[#This Row],[DEVELOPMENT]],Data[],31,FALSE)</f>
        <v>2</v>
      </c>
      <c r="N257">
        <f>VLOOKUP(all[[#This Row],[DEVELOPMENT]],Data[],26,FALSE)</f>
        <v>0</v>
      </c>
      <c r="O257">
        <f>VLOOKUP(all[[#This Row],[DEVELOPMENT]],Data[],30,FALSE)</f>
        <v>0</v>
      </c>
      <c r="P257">
        <f>VLOOKUP(all[[#This Row],[DEVELOPMENT]],Data[],28,FALSE)</f>
        <v>0</v>
      </c>
      <c r="Q257">
        <f>IF(all[[#This Row],['# Bulk Crushers]]=0,1,0)</f>
        <v>1</v>
      </c>
      <c r="R257" s="5">
        <f>IFERROR(INDEX(FWD[],MATCH($B257,FWD[DEVELOPMENT],0),MATCH("ESTIMATE",FWD[#Headers],0)),0)</f>
        <v>458902.49795427732</v>
      </c>
      <c r="S257" s="5">
        <f>IFERROR(INDEX(EHD[],MATCH($B257,EHD[DEVELOPMENT],0),MATCH("ESTIMATE",EHD[#Headers],0)),0)</f>
        <v>14871.287</v>
      </c>
      <c r="T257" s="5">
        <f ca="1">IFERROR(INDEX(IntComp[],MATCH($B257,IntComp[DEVELOPMENT],0),MATCH("ESTIMATE",IntComp[#Headers],0)),0)</f>
        <v>147306.78899999999</v>
      </c>
      <c r="U257" s="5">
        <f>IFERROR(INDEX(Yards[],MATCH($B257,Yards[DEVELOPMENT],0),MATCH("ESTIMATE",Yards[#Headers],0)),0)</f>
        <v>1159792.78</v>
      </c>
      <c r="V257" s="128">
        <f ca="1">SUM(R257:U257)</f>
        <v>1780873.3539542775</v>
      </c>
      <c r="W257" s="5"/>
    </row>
    <row r="258" spans="1:23" x14ac:dyDescent="0.25">
      <c r="A258" s="131">
        <f>VLOOKUP(B258,Data[],24,FALSE)</f>
        <v>221</v>
      </c>
      <c r="B258" t="s">
        <v>323</v>
      </c>
      <c r="C258" t="str">
        <f>VLOOKUP(B258,Data[],2,FALSE)</f>
        <v>BROOKLYN</v>
      </c>
      <c r="D258" t="str">
        <f>VLOOKUP(all[[#This Row],[DEVELOPMENT]],Data[],3,FALSE)</f>
        <v>STUYVESANT GARDENS I</v>
      </c>
      <c r="E258">
        <f>VLOOKUP(B258,Data[],8,FALSE)</f>
        <v>0</v>
      </c>
      <c r="F258">
        <f>VLOOKUP(B258,Data[],9,FALSE)</f>
        <v>0</v>
      </c>
      <c r="G258" t="str">
        <f>IFERROR(VLOOKUP(B258,Data[],4,FALSE),"")</f>
        <v/>
      </c>
      <c r="H258" t="str">
        <f ca="1">IF(G258="","",IF((G258-YEAR(TODAY()))&lt;=5,"Yes",""))</f>
        <v/>
      </c>
      <c r="I258">
        <f>VLOOKUP(all[[#This Row],[DEVELOPMENT]],Data[],7,FALSE)</f>
        <v>329</v>
      </c>
      <c r="J258" t="str">
        <f>VLOOKUP(all[[#This Row],[DEVELOPMENT]],Data[],25,FALSE)</f>
        <v>Yes</v>
      </c>
      <c r="K258">
        <f>VLOOKUP(all[[#This Row],[DEVELOPMENT]],Data[],5,FALSE)</f>
        <v>5</v>
      </c>
      <c r="L258">
        <f>VLOOKUP(all[[#This Row],[DEVELOPMENT]],Data[],27,FALSE)</f>
        <v>11</v>
      </c>
      <c r="M258">
        <f>VLOOKUP(all[[#This Row],[DEVELOPMENT]],Data[],31,FALSE)</f>
        <v>11</v>
      </c>
      <c r="N258">
        <f>VLOOKUP(all[[#This Row],[DEVELOPMENT]],Data[],26,FALSE)</f>
        <v>0</v>
      </c>
      <c r="O258">
        <f>VLOOKUP(all[[#This Row],[DEVELOPMENT]],Data[],30,FALSE)</f>
        <v>0</v>
      </c>
      <c r="P258">
        <f>VLOOKUP(all[[#This Row],[DEVELOPMENT]],Data[],28,FALSE)</f>
        <v>0</v>
      </c>
      <c r="Q258">
        <f>IF(all[[#This Row],['# Bulk Crushers]]=0,1,0)</f>
        <v>1</v>
      </c>
      <c r="R258" s="5">
        <f>IFERROR(INDEX(FWD[],MATCH($B258,FWD[DEVELOPMENT],0),MATCH("ESTIMATE",FWD[#Headers],0)),0)</f>
        <v>565464.12669272372</v>
      </c>
      <c r="S258" s="5">
        <f>IFERROR(INDEX(EHD[],MATCH($B258,EHD[DEVELOPMENT],0),MATCH("ESTIMATE",EHD[#Headers],0)),0)</f>
        <v>81792.078500000003</v>
      </c>
      <c r="T258" s="5">
        <f ca="1">IFERROR(INDEX(IntComp[],MATCH($B258,IntComp[DEVELOPMENT],0),MATCH("ESTIMATE",IntComp[#Headers],0)),0)</f>
        <v>810187.33949999989</v>
      </c>
      <c r="U258" s="5">
        <f>IFERROR(INDEX(Yards[],MATCH($B258,Yards[DEVELOPMENT],0),MATCH("ESTIMATE",Yards[#Headers],0)),0)</f>
        <v>1159792.78</v>
      </c>
      <c r="V258" s="128">
        <f ca="1">SUM(R258:U258)</f>
        <v>2617236.3246927233</v>
      </c>
      <c r="W258" s="5"/>
    </row>
    <row r="259" spans="1:23" x14ac:dyDescent="0.25">
      <c r="A259" s="131">
        <f>VLOOKUP(B259,Data[],24,FALSE)</f>
        <v>333</v>
      </c>
      <c r="B259" t="s">
        <v>324</v>
      </c>
      <c r="C259" t="str">
        <f>VLOOKUP(B259,Data[],2,FALSE)</f>
        <v>BROOKLYN</v>
      </c>
      <c r="D259" t="str">
        <f>VLOOKUP(all[[#This Row],[DEVELOPMENT]],Data[],3,FALSE)</f>
        <v>STUYVESANT GARDENS I</v>
      </c>
      <c r="E259">
        <f>VLOOKUP(B259,Data[],8,FALSE)</f>
        <v>0</v>
      </c>
      <c r="F259">
        <f>VLOOKUP(B259,Data[],9,FALSE)</f>
        <v>0</v>
      </c>
      <c r="G259" t="str">
        <f>IFERROR(VLOOKUP(B259,Data[],4,FALSE),"")</f>
        <v/>
      </c>
      <c r="H259" t="str">
        <f ca="1">IF(G259="","",IF((G259-YEAR(TODAY()))&lt;=5,"Yes",""))</f>
        <v/>
      </c>
      <c r="I259">
        <f>VLOOKUP(all[[#This Row],[DEVELOPMENT]],Data[],7,FALSE)</f>
        <v>150</v>
      </c>
      <c r="J259" t="str">
        <f>VLOOKUP(all[[#This Row],[DEVELOPMENT]],Data[],25,FALSE)</f>
        <v>Yes</v>
      </c>
      <c r="K259">
        <f>VLOOKUP(all[[#This Row],[DEVELOPMENT]],Data[],5,FALSE)</f>
        <v>1</v>
      </c>
      <c r="L259">
        <f>VLOOKUP(all[[#This Row],[DEVELOPMENT]],Data[],27,FALSE)</f>
        <v>1</v>
      </c>
      <c r="M259">
        <f>VLOOKUP(all[[#This Row],[DEVELOPMENT]],Data[],31,FALSE)</f>
        <v>1</v>
      </c>
      <c r="N259">
        <f>VLOOKUP(all[[#This Row],[DEVELOPMENT]],Data[],26,FALSE)</f>
        <v>0</v>
      </c>
      <c r="O259">
        <f>VLOOKUP(all[[#This Row],[DEVELOPMENT]],Data[],30,FALSE)</f>
        <v>0</v>
      </c>
      <c r="P259">
        <f>VLOOKUP(all[[#This Row],[DEVELOPMENT]],Data[],28,FALSE)</f>
        <v>0</v>
      </c>
      <c r="Q259">
        <f>IF(all[[#This Row],['# Bulk Crushers]]=0,1,0)</f>
        <v>1</v>
      </c>
      <c r="R259" s="5">
        <f>IFERROR(INDEX(FWD[],MATCH($B259,FWD[DEVELOPMENT],0),MATCH("ESTIMATE",FWD[#Headers],0)),0)</f>
        <v>257810.39210914454</v>
      </c>
      <c r="S259" s="5">
        <f>IFERROR(INDEX(EHD[],MATCH($B259,EHD[DEVELOPMENT],0),MATCH("ESTIMATE",EHD[#Headers],0)),0)</f>
        <v>0</v>
      </c>
      <c r="T259" s="5">
        <f ca="1">IFERROR(INDEX(IntComp[],MATCH($B259,IntComp[DEVELOPMENT],0),MATCH("ESTIMATE",IntComp[#Headers],0)),0)</f>
        <v>73653.394499999995</v>
      </c>
      <c r="U259" s="5">
        <f>IFERROR(INDEX(Yards[],MATCH($B259,Yards[DEVELOPMENT],0),MATCH("ESTIMATE",Yards[#Headers],0)),0)</f>
        <v>1159792.78</v>
      </c>
      <c r="V259" s="128">
        <f ca="1">SUM(R259:U259)</f>
        <v>1491256.5666091447</v>
      </c>
      <c r="W259" s="5"/>
    </row>
    <row r="260" spans="1:23" x14ac:dyDescent="0.25">
      <c r="A260" s="131">
        <f>VLOOKUP(B260,Data[],24,FALSE)</f>
        <v>73</v>
      </c>
      <c r="B260" t="s">
        <v>45</v>
      </c>
      <c r="C260" t="str">
        <f>VLOOKUP(B260,Data[],2,FALSE)</f>
        <v>BROOKLYN</v>
      </c>
      <c r="D260" t="str">
        <f>VLOOKUP(all[[#This Row],[DEVELOPMENT]],Data[],3,FALSE)</f>
        <v>SUMNER</v>
      </c>
      <c r="E260" t="str">
        <f>VLOOKUP(B260,Data[],8,FALSE)</f>
        <v>Zone 1</v>
      </c>
      <c r="F260" t="str">
        <f>VLOOKUP(B260,Data[],9,FALSE)</f>
        <v>$</v>
      </c>
      <c r="G260" t="str">
        <f>IFERROR(VLOOKUP(B260,Data[],4,FALSE),"")</f>
        <v/>
      </c>
      <c r="H260" t="str">
        <f ca="1">IF(G260="","",IF((G260-YEAR(TODAY()))&lt;=5,"Yes",""))</f>
        <v/>
      </c>
      <c r="I260">
        <f>VLOOKUP(all[[#This Row],[DEVELOPMENT]],Data[],7,FALSE)</f>
        <v>1098</v>
      </c>
      <c r="J260" t="str">
        <f>VLOOKUP(all[[#This Row],[DEVELOPMENT]],Data[],25,FALSE)</f>
        <v>Yes</v>
      </c>
      <c r="K260">
        <f>VLOOKUP(all[[#This Row],[DEVELOPMENT]],Data[],5,FALSE)</f>
        <v>13</v>
      </c>
      <c r="L260">
        <f>VLOOKUP(all[[#This Row],[DEVELOPMENT]],Data[],27,FALSE)</f>
        <v>24</v>
      </c>
      <c r="M260">
        <f>VLOOKUP(all[[#This Row],[DEVELOPMENT]],Data[],31,FALSE)</f>
        <v>24</v>
      </c>
      <c r="N260">
        <f>VLOOKUP(all[[#This Row],[DEVELOPMENT]],Data[],26,FALSE)</f>
        <v>2</v>
      </c>
      <c r="O260">
        <f>VLOOKUP(all[[#This Row],[DEVELOPMENT]],Data[],30,FALSE)</f>
        <v>2</v>
      </c>
      <c r="P260">
        <f>VLOOKUP(all[[#This Row],[DEVELOPMENT]],Data[],28,FALSE)</f>
        <v>0</v>
      </c>
      <c r="Q260">
        <f>IF(all[[#This Row],['# Bulk Crushers]]=0,1,0)</f>
        <v>1</v>
      </c>
      <c r="R260" s="5">
        <f>IFERROR(INDEX(FWD[],MATCH($B260,FWD[DEVELOPMENT],0),MATCH("ESTIMATE",FWD[#Headers],0)),0)</f>
        <v>1887172.0702389381</v>
      </c>
      <c r="S260" s="5">
        <f>IFERROR(INDEX(EHD[],MATCH($B260,EHD[DEVELOPMENT],0),MATCH("ESTIMATE",EHD[#Headers],0)),0)</f>
        <v>0</v>
      </c>
      <c r="T260" s="5">
        <f ca="1">IFERROR(INDEX(IntComp[],MATCH($B260,IntComp[DEVELOPMENT],0),MATCH("ESTIMATE",IntComp[#Headers],0)),0)</f>
        <v>1767681.4679999996</v>
      </c>
      <c r="U260" s="5">
        <f ca="1">IFERROR(INDEX(Yards[],MATCH($B260,Yards[DEVELOPMENT],0),MATCH("ESTIMATE",Yards[#Headers],0)),0)</f>
        <v>1591050.0199999998</v>
      </c>
      <c r="V260" s="128">
        <f ca="1">SUM(R260:U260)</f>
        <v>5245903.5582389375</v>
      </c>
      <c r="W260" s="5"/>
    </row>
    <row r="261" spans="1:23" x14ac:dyDescent="0.25">
      <c r="A261" s="131">
        <f>VLOOKUP(B261,Data[],24,FALSE)</f>
        <v>170</v>
      </c>
      <c r="B261" t="s">
        <v>325</v>
      </c>
      <c r="C261" t="str">
        <f>VLOOKUP(B261,Data[],2,FALSE)</f>
        <v>BROOKLYN</v>
      </c>
      <c r="D261" t="str">
        <f>VLOOKUP(all[[#This Row],[DEVELOPMENT]],Data[],3,FALSE)</f>
        <v>SURFSIDE GARDENS</v>
      </c>
      <c r="E261">
        <f>VLOOKUP(B261,Data[],8,FALSE)</f>
        <v>0</v>
      </c>
      <c r="F261">
        <f>VLOOKUP(B261,Data[],9,FALSE)</f>
        <v>0</v>
      </c>
      <c r="G261" t="str">
        <f>IFERROR(VLOOKUP(B261,Data[],4,FALSE),"")</f>
        <v/>
      </c>
      <c r="H261" t="str">
        <f ca="1">IF(G261="","",IF((G261-YEAR(TODAY()))&lt;=5,"Yes",""))</f>
        <v/>
      </c>
      <c r="I261">
        <f>VLOOKUP(all[[#This Row],[DEVELOPMENT]],Data[],7,FALSE)</f>
        <v>594</v>
      </c>
      <c r="J261">
        <f>VLOOKUP(all[[#This Row],[DEVELOPMENT]],Data[],25,FALSE)</f>
        <v>0</v>
      </c>
      <c r="K261">
        <f>VLOOKUP(all[[#This Row],[DEVELOPMENT]],Data[],5,FALSE)</f>
        <v>5</v>
      </c>
      <c r="L261">
        <f>VLOOKUP(all[[#This Row],[DEVELOPMENT]],Data[],27,FALSE)</f>
        <v>5</v>
      </c>
      <c r="M261">
        <f>VLOOKUP(all[[#This Row],[DEVELOPMENT]],Data[],31,FALSE)</f>
        <v>5</v>
      </c>
      <c r="N261">
        <f>VLOOKUP(all[[#This Row],[DEVELOPMENT]],Data[],26,FALSE)</f>
        <v>1</v>
      </c>
      <c r="O261">
        <f>VLOOKUP(all[[#This Row],[DEVELOPMENT]],Data[],30,FALSE)</f>
        <v>1</v>
      </c>
      <c r="P261">
        <f>VLOOKUP(all[[#This Row],[DEVELOPMENT]],Data[],28,FALSE)</f>
        <v>0</v>
      </c>
      <c r="Q261">
        <f>IF(all[[#This Row],['# Bulk Crushers]]=0,1,0)</f>
        <v>1</v>
      </c>
      <c r="R261" s="5">
        <f>IFERROR(INDEX(FWD[],MATCH($B261,FWD[DEVELOPMENT],0),MATCH("ESTIMATE",FWD[#Headers],0)),0)</f>
        <v>0</v>
      </c>
      <c r="S261" s="5">
        <f>IFERROR(INDEX(EHD[],MATCH($B261,EHD[DEVELOPMENT],0),MATCH("ESTIMATE",EHD[#Headers],0)),0)</f>
        <v>37178.217499999999</v>
      </c>
      <c r="T261" s="5">
        <f ca="1">IFERROR(INDEX(IntComp[],MATCH($B261,IntComp[DEVELOPMENT],0),MATCH("ESTIMATE",IntComp[#Headers],0)),0)</f>
        <v>368266.97249999997</v>
      </c>
      <c r="U261" s="5">
        <f ca="1">IFERROR(INDEX(Yards[],MATCH($B261,Yards[DEVELOPMENT],0),MATCH("ESTIMATE",Yards[#Headers],0)),0)</f>
        <v>1159792.78</v>
      </c>
      <c r="V261" s="128">
        <f ca="1">SUM(R261:U261)</f>
        <v>1565237.97</v>
      </c>
      <c r="W261" s="5"/>
    </row>
    <row r="262" spans="1:23" x14ac:dyDescent="0.25">
      <c r="A262" s="131">
        <f>VLOOKUP(B262,Data[],24,FALSE)</f>
        <v>369</v>
      </c>
      <c r="B262" t="s">
        <v>326</v>
      </c>
      <c r="C262" t="str">
        <f>VLOOKUP(B262,Data[],2,FALSE)</f>
        <v>BROOKLYN</v>
      </c>
      <c r="D262" t="str">
        <f>VLOOKUP(all[[#This Row],[DEVELOPMENT]],Data[],3,FALSE)</f>
        <v>REID APARTMENTS</v>
      </c>
      <c r="E262">
        <f>VLOOKUP(B262,Data[],8,FALSE)</f>
        <v>0</v>
      </c>
      <c r="F262">
        <f>VLOOKUP(B262,Data[],9,FALSE)</f>
        <v>0</v>
      </c>
      <c r="G262">
        <f>IFERROR(VLOOKUP(B262,Data[],4,FALSE),"")</f>
        <v>2021</v>
      </c>
      <c r="H262" t="str">
        <f ca="1">IF(G262="","",IF((G262-YEAR(TODAY()))&lt;=5,"Yes",""))</f>
        <v>Yes</v>
      </c>
      <c r="I262">
        <f>VLOOKUP(all[[#This Row],[DEVELOPMENT]],Data[],7,FALSE)</f>
        <v>100</v>
      </c>
      <c r="J262">
        <f>VLOOKUP(all[[#This Row],[DEVELOPMENT]],Data[],25,FALSE)</f>
        <v>0</v>
      </c>
      <c r="K262">
        <f>VLOOKUP(all[[#This Row],[DEVELOPMENT]],Data[],5,FALSE)</f>
        <v>3</v>
      </c>
      <c r="L262">
        <f>VLOOKUP(all[[#This Row],[DEVELOPMENT]],Data[],27,FALSE)</f>
        <v>5</v>
      </c>
      <c r="M262">
        <f>VLOOKUP(all[[#This Row],[DEVELOPMENT]],Data[],31,FALSE)</f>
        <v>5</v>
      </c>
      <c r="N262">
        <f>VLOOKUP(all[[#This Row],[DEVELOPMENT]],Data[],26,FALSE)</f>
        <v>0</v>
      </c>
      <c r="O262">
        <f>VLOOKUP(all[[#This Row],[DEVELOPMENT]],Data[],30,FALSE)</f>
        <v>0</v>
      </c>
      <c r="P262">
        <f>VLOOKUP(all[[#This Row],[DEVELOPMENT]],Data[],28,FALSE)</f>
        <v>0</v>
      </c>
      <c r="Q262">
        <f>IF(all[[#This Row],['# Bulk Crushers]]=0,1,0)</f>
        <v>1</v>
      </c>
      <c r="R262" s="5">
        <f>IFERROR(INDEX(FWD[],MATCH($B262,FWD[DEVELOPMENT],0),MATCH("ESTIMATE",FWD[#Headers],0)),0)</f>
        <v>0</v>
      </c>
      <c r="S262" s="5">
        <f>IFERROR(INDEX(EHD[],MATCH($B262,EHD[DEVELOPMENT],0),MATCH("ESTIMATE",EHD[#Headers],0)),0)</f>
        <v>37178.217499999999</v>
      </c>
      <c r="T262" s="5">
        <f ca="1">IFERROR(INDEX(IntComp[],MATCH($B262,IntComp[DEVELOPMENT],0),MATCH("ESTIMATE",IntComp[#Headers],0)),0)</f>
        <v>0</v>
      </c>
      <c r="U262" s="5">
        <f>IFERROR(INDEX(Yards[],MATCH($B262,Yards[DEVELOPMENT],0),MATCH("ESTIMATE",Yards[#Headers],0)),0)</f>
        <v>0</v>
      </c>
      <c r="V262" s="128">
        <f ca="1">SUM(R262:U262)</f>
        <v>37178.217499999999</v>
      </c>
      <c r="W262" s="5"/>
    </row>
    <row r="263" spans="1:23" x14ac:dyDescent="0.25">
      <c r="A263" s="131">
        <f>VLOOKUP(B263,Data[],24,FALSE)</f>
        <v>97</v>
      </c>
      <c r="B263" t="s">
        <v>128</v>
      </c>
      <c r="C263" t="str">
        <f>VLOOKUP(B263,Data[],2,FALSE)</f>
        <v>MANHATTAN</v>
      </c>
      <c r="D263" t="str">
        <f>VLOOKUP(all[[#This Row],[DEVELOPMENT]],Data[],3,FALSE)</f>
        <v>TAFT</v>
      </c>
      <c r="E263" t="str">
        <f>VLOOKUP(B263,Data[],8,FALSE)</f>
        <v>Zone 2</v>
      </c>
      <c r="F263" t="str">
        <f>VLOOKUP(B263,Data[],9,FALSE)</f>
        <v>$$$</v>
      </c>
      <c r="G263" t="str">
        <f>IFERROR(VLOOKUP(B263,Data[],4,FALSE),"")</f>
        <v/>
      </c>
      <c r="H263" t="str">
        <f ca="1">IF(G263="","",IF((G263-YEAR(TODAY()))&lt;=5,"Yes",""))</f>
        <v/>
      </c>
      <c r="I263">
        <f>VLOOKUP(all[[#This Row],[DEVELOPMENT]],Data[],7,FALSE)</f>
        <v>1463</v>
      </c>
      <c r="J263">
        <f>VLOOKUP(all[[#This Row],[DEVELOPMENT]],Data[],25,FALSE)</f>
        <v>0</v>
      </c>
      <c r="K263">
        <f>VLOOKUP(all[[#This Row],[DEVELOPMENT]],Data[],5,FALSE)</f>
        <v>9</v>
      </c>
      <c r="L263">
        <f>VLOOKUP(all[[#This Row],[DEVELOPMENT]],Data[],27,FALSE)</f>
        <v>11</v>
      </c>
      <c r="M263">
        <f>VLOOKUP(all[[#This Row],[DEVELOPMENT]],Data[],31,FALSE)</f>
        <v>11</v>
      </c>
      <c r="N263">
        <f>VLOOKUP(all[[#This Row],[DEVELOPMENT]],Data[],26,FALSE)</f>
        <v>4</v>
      </c>
      <c r="O263">
        <f>VLOOKUP(all[[#This Row],[DEVELOPMENT]],Data[],30,FALSE)</f>
        <v>4</v>
      </c>
      <c r="P263">
        <f>VLOOKUP(all[[#This Row],[DEVELOPMENT]],Data[],28,FALSE)</f>
        <v>0</v>
      </c>
      <c r="Q263">
        <f>IF(all[[#This Row],['# Bulk Crushers]]=0,1,0)</f>
        <v>1</v>
      </c>
      <c r="R263" s="5">
        <f>IFERROR(INDEX(FWD[],MATCH($B263,FWD[DEVELOPMENT],0),MATCH("ESTIMATE",FWD[#Headers],0)),0)</f>
        <v>0</v>
      </c>
      <c r="S263" s="5">
        <f>IFERROR(INDEX(EHD[],MATCH($B263,EHD[DEVELOPMENT],0),MATCH("ESTIMATE",EHD[#Headers],0)),0)</f>
        <v>81792.078500000003</v>
      </c>
      <c r="T263" s="5">
        <f ca="1">IFERROR(INDEX(IntComp[],MATCH($B263,IntComp[DEVELOPMENT],0),MATCH("ESTIMATE",IntComp[#Headers],0)),0)</f>
        <v>810187.33949999989</v>
      </c>
      <c r="U263" s="5">
        <f ca="1">IFERROR(INDEX(Yards[],MATCH($B263,Yards[DEVELOPMENT],0),MATCH("ESTIMATE",Yards[#Headers],0)),0)</f>
        <v>2453564.4999999995</v>
      </c>
      <c r="V263" s="128">
        <f ca="1">SUM(R263:U263)</f>
        <v>3345543.9179999996</v>
      </c>
      <c r="W263" s="5"/>
    </row>
    <row r="264" spans="1:23" x14ac:dyDescent="0.25">
      <c r="A264" s="131">
        <f>VLOOKUP(B264,Data[],24,FALSE)</f>
        <v>354</v>
      </c>
      <c r="B264" t="s">
        <v>327</v>
      </c>
      <c r="C264" t="str">
        <f>VLOOKUP(B264,Data[],2,FALSE)</f>
        <v>BROOKLYN</v>
      </c>
      <c r="D264" t="str">
        <f>VLOOKUP(all[[#This Row],[DEVELOPMENT]],Data[],3,FALSE)</f>
        <v>REID APARTMENTS</v>
      </c>
      <c r="E264">
        <f>VLOOKUP(B264,Data[],8,FALSE)</f>
        <v>0</v>
      </c>
      <c r="F264">
        <f>VLOOKUP(B264,Data[],9,FALSE)</f>
        <v>0</v>
      </c>
      <c r="G264">
        <f>IFERROR(VLOOKUP(B264,Data[],4,FALSE),"")</f>
        <v>2021</v>
      </c>
      <c r="H264" t="str">
        <f ca="1">IF(G264="","",IF((G264-YEAR(TODAY()))&lt;=5,"Yes",""))</f>
        <v>Yes</v>
      </c>
      <c r="I264">
        <f>VLOOKUP(all[[#This Row],[DEVELOPMENT]],Data[],7,FALSE)</f>
        <v>155</v>
      </c>
      <c r="J264">
        <f>VLOOKUP(all[[#This Row],[DEVELOPMENT]],Data[],25,FALSE)</f>
        <v>0</v>
      </c>
      <c r="K264">
        <f>VLOOKUP(all[[#This Row],[DEVELOPMENT]],Data[],5,FALSE)</f>
        <v>8</v>
      </c>
      <c r="L264">
        <f>VLOOKUP(all[[#This Row],[DEVELOPMENT]],Data[],27,FALSE)</f>
        <v>9</v>
      </c>
      <c r="M264">
        <f>VLOOKUP(all[[#This Row],[DEVELOPMENT]],Data[],31,FALSE)</f>
        <v>9</v>
      </c>
      <c r="N264">
        <f>VLOOKUP(all[[#This Row],[DEVELOPMENT]],Data[],26,FALSE)</f>
        <v>0</v>
      </c>
      <c r="O264">
        <f>VLOOKUP(all[[#This Row],[DEVELOPMENT]],Data[],30,FALSE)</f>
        <v>0</v>
      </c>
      <c r="P264">
        <f>VLOOKUP(all[[#This Row],[DEVELOPMENT]],Data[],28,FALSE)</f>
        <v>0</v>
      </c>
      <c r="Q264">
        <f>IF(all[[#This Row],['# Bulk Crushers]]=0,1,0)</f>
        <v>1</v>
      </c>
      <c r="R264" s="5">
        <f>IFERROR(INDEX(FWD[],MATCH($B264,FWD[DEVELOPMENT],0),MATCH("ESTIMATE",FWD[#Headers],0)),0)</f>
        <v>0</v>
      </c>
      <c r="S264" s="5">
        <f>IFERROR(INDEX(EHD[],MATCH($B264,EHD[DEVELOPMENT],0),MATCH("ESTIMATE",EHD[#Headers],0)),0)</f>
        <v>66920.791500000007</v>
      </c>
      <c r="T264" s="5">
        <f ca="1">IFERROR(INDEX(IntComp[],MATCH($B264,IntComp[DEVELOPMENT],0),MATCH("ESTIMATE",IntComp[#Headers],0)),0)</f>
        <v>0</v>
      </c>
      <c r="U264" s="5">
        <f>IFERROR(INDEX(Yards[],MATCH($B264,Yards[DEVELOPMENT],0),MATCH("ESTIMATE",Yards[#Headers],0)),0)</f>
        <v>0</v>
      </c>
      <c r="V264" s="128">
        <f ca="1">SUM(R264:U264)</f>
        <v>66920.791500000007</v>
      </c>
      <c r="W264" s="5"/>
    </row>
    <row r="265" spans="1:23" x14ac:dyDescent="0.25">
      <c r="A265" s="131">
        <f>VLOOKUP(B265,Data[],24,FALSE)</f>
        <v>234</v>
      </c>
      <c r="B265" t="s">
        <v>328</v>
      </c>
      <c r="C265" t="str">
        <f>VLOOKUP(B265,Data[],2,FALSE)</f>
        <v>BROOKLYN</v>
      </c>
      <c r="D265" t="str">
        <f>VLOOKUP(all[[#This Row],[DEVELOPMENT]],Data[],3,FALSE)</f>
        <v>TAYLOR STREET-WYTHE AVENUE</v>
      </c>
      <c r="E265">
        <f>VLOOKUP(B265,Data[],8,FALSE)</f>
        <v>0</v>
      </c>
      <c r="F265">
        <f>VLOOKUP(B265,Data[],9,FALSE)</f>
        <v>0</v>
      </c>
      <c r="G265" t="str">
        <f>IFERROR(VLOOKUP(B265,Data[],4,FALSE),"")</f>
        <v/>
      </c>
      <c r="H265" t="str">
        <f ca="1">IF(G265="","",IF((G265-YEAR(TODAY()))&lt;=5,"Yes",""))</f>
        <v/>
      </c>
      <c r="I265">
        <f>VLOOKUP(all[[#This Row],[DEVELOPMENT]],Data[],7,FALSE)</f>
        <v>525</v>
      </c>
      <c r="J265" t="str">
        <f>VLOOKUP(all[[#This Row],[DEVELOPMENT]],Data[],25,FALSE)</f>
        <v>Yes</v>
      </c>
      <c r="K265">
        <f>VLOOKUP(all[[#This Row],[DEVELOPMENT]],Data[],5,FALSE)</f>
        <v>5</v>
      </c>
      <c r="L265">
        <f>VLOOKUP(all[[#This Row],[DEVELOPMENT]],Data[],27,FALSE)</f>
        <v>6</v>
      </c>
      <c r="M265">
        <f>VLOOKUP(all[[#This Row],[DEVELOPMENT]],Data[],31,FALSE)</f>
        <v>1</v>
      </c>
      <c r="N265">
        <f>VLOOKUP(all[[#This Row],[DEVELOPMENT]],Data[],26,FALSE)</f>
        <v>0</v>
      </c>
      <c r="O265">
        <f>VLOOKUP(all[[#This Row],[DEVELOPMENT]],Data[],30,FALSE)</f>
        <v>0</v>
      </c>
      <c r="P265">
        <f>VLOOKUP(all[[#This Row],[DEVELOPMENT]],Data[],28,FALSE)</f>
        <v>0</v>
      </c>
      <c r="Q265">
        <f>IF(all[[#This Row],['# Bulk Crushers]]=0,1,0)</f>
        <v>1</v>
      </c>
      <c r="R265" s="5">
        <f>IFERROR(INDEX(FWD[],MATCH($B265,FWD[DEVELOPMENT],0),MATCH("ESTIMATE",FWD[#Headers],0)),0)</f>
        <v>902336.37238200591</v>
      </c>
      <c r="S265" s="5">
        <f>IFERROR(INDEX(EHD[],MATCH($B265,EHD[DEVELOPMENT],0),MATCH("ESTIMATE",EHD[#Headers],0)),0)</f>
        <v>44613.861000000004</v>
      </c>
      <c r="T265" s="5">
        <f ca="1">IFERROR(INDEX(IntComp[],MATCH($B265,IntComp[DEVELOPMENT],0),MATCH("ESTIMATE",IntComp[#Headers],0)),0)</f>
        <v>73653.394499999995</v>
      </c>
      <c r="U265" s="5">
        <f>IFERROR(INDEX(Yards[],MATCH($B265,Yards[DEVELOPMENT],0),MATCH("ESTIMATE",Yards[#Headers],0)),0)</f>
        <v>1159792.78</v>
      </c>
      <c r="V265" s="128">
        <f ca="1">SUM(R265:U265)</f>
        <v>2180396.4078820059</v>
      </c>
      <c r="W265" s="5"/>
    </row>
    <row r="266" spans="1:23" x14ac:dyDescent="0.25">
      <c r="A266" s="131">
        <f>VLOOKUP(B266,Data[],24,FALSE)</f>
        <v>223</v>
      </c>
      <c r="B266" t="s">
        <v>149</v>
      </c>
      <c r="C266" t="str">
        <f>VLOOKUP(B266,Data[],2,FALSE)</f>
        <v>BRONX</v>
      </c>
      <c r="D266" t="str">
        <f>VLOOKUP(all[[#This Row],[DEVELOPMENT]],Data[],3,FALSE)</f>
        <v>CLAREMONT CONSOLIDATED</v>
      </c>
      <c r="E266" t="str">
        <f>VLOOKUP(B266,Data[],8,FALSE)</f>
        <v>Zone 1</v>
      </c>
      <c r="F266" t="str">
        <f>VLOOKUP(B266,Data[],9,FALSE)</f>
        <v>$</v>
      </c>
      <c r="G266">
        <f>IFERROR(VLOOKUP(B266,Data[],4,FALSE),"")</f>
        <v>2025</v>
      </c>
      <c r="H266" t="str">
        <f ca="1">IF(G266="","",IF((G266-YEAR(TODAY()))&lt;=5,"Yes",""))</f>
        <v/>
      </c>
      <c r="I266">
        <f>VLOOKUP(all[[#This Row],[DEVELOPMENT]],Data[],7,FALSE)</f>
        <v>90</v>
      </c>
      <c r="J266">
        <f>VLOOKUP(all[[#This Row],[DEVELOPMENT]],Data[],25,FALSE)</f>
        <v>0</v>
      </c>
      <c r="K266">
        <f>VLOOKUP(all[[#This Row],[DEVELOPMENT]],Data[],5,FALSE)</f>
        <v>1</v>
      </c>
      <c r="L266">
        <f>VLOOKUP(all[[#This Row],[DEVELOPMENT]],Data[],27,FALSE)</f>
        <v>2</v>
      </c>
      <c r="M266">
        <f>VLOOKUP(all[[#This Row],[DEVELOPMENT]],Data[],31,FALSE)</f>
        <v>2</v>
      </c>
      <c r="N266">
        <f>VLOOKUP(all[[#This Row],[DEVELOPMENT]],Data[],26,FALSE)</f>
        <v>0</v>
      </c>
      <c r="O266">
        <f>VLOOKUP(all[[#This Row],[DEVELOPMENT]],Data[],30,FALSE)</f>
        <v>0</v>
      </c>
      <c r="P266">
        <f>VLOOKUP(all[[#This Row],[DEVELOPMENT]],Data[],28,FALSE)</f>
        <v>0</v>
      </c>
      <c r="Q266">
        <f>IF(all[[#This Row],['# Bulk Crushers]]=0,1,0)</f>
        <v>1</v>
      </c>
      <c r="R266" s="5">
        <f>IFERROR(INDEX(FWD[],MATCH($B266,FWD[DEVELOPMENT],0),MATCH("ESTIMATE",FWD[#Headers],0)),0)</f>
        <v>0</v>
      </c>
      <c r="S266" s="5">
        <f>IFERROR(INDEX(EHD[],MATCH($B266,EHD[DEVELOPMENT],0),MATCH("ESTIMATE",EHD[#Headers],0)),0)</f>
        <v>14871.287</v>
      </c>
      <c r="T266" s="5">
        <f ca="1">IFERROR(INDEX(IntComp[],MATCH($B266,IntComp[DEVELOPMENT],0),MATCH("ESTIMATE",IntComp[#Headers],0)),0)</f>
        <v>0</v>
      </c>
      <c r="U266" s="5">
        <f>IFERROR(INDEX(Yards[],MATCH($B266,Yards[DEVELOPMENT],0),MATCH("ESTIMATE",Yards[#Headers],0)),0)</f>
        <v>0</v>
      </c>
      <c r="V266" s="128">
        <f ca="1">SUM(R266:U266)</f>
        <v>14871.287</v>
      </c>
      <c r="W266" s="5"/>
    </row>
    <row r="267" spans="1:23" x14ac:dyDescent="0.25">
      <c r="A267" s="131">
        <f>VLOOKUP(B267,Data[],24,FALSE)</f>
        <v>268</v>
      </c>
      <c r="B267" t="s">
        <v>329</v>
      </c>
      <c r="C267" t="str">
        <f>VLOOKUP(B267,Data[],2,FALSE)</f>
        <v>MANHATTAN</v>
      </c>
      <c r="D267" t="str">
        <f>VLOOKUP(all[[#This Row],[DEVELOPMENT]],Data[],3,FALSE)</f>
        <v>WISE TOWERS</v>
      </c>
      <c r="E267" t="str">
        <f>VLOOKUP(B267,Data[],8,FALSE)</f>
        <v>Zone 4</v>
      </c>
      <c r="F267">
        <f>VLOOKUP(B267,Data[],9,FALSE)</f>
        <v>0</v>
      </c>
      <c r="G267" t="str">
        <f>IFERROR(VLOOKUP(B267,Data[],4,FALSE),"")</f>
        <v/>
      </c>
      <c r="H267" t="str">
        <f ca="1">IF(G267="","",IF((G267-YEAR(TODAY()))&lt;=5,"Yes",""))</f>
        <v/>
      </c>
      <c r="I267">
        <f>VLOOKUP(all[[#This Row],[DEVELOPMENT]],Data[],7,FALSE)</f>
        <v>87</v>
      </c>
      <c r="J267">
        <f>VLOOKUP(all[[#This Row],[DEVELOPMENT]],Data[],25,FALSE)</f>
        <v>0</v>
      </c>
      <c r="K267">
        <f>VLOOKUP(all[[#This Row],[DEVELOPMENT]],Data[],5,FALSE)</f>
        <v>1</v>
      </c>
      <c r="L267">
        <f>VLOOKUP(all[[#This Row],[DEVELOPMENT]],Data[],27,FALSE)</f>
        <v>1</v>
      </c>
      <c r="M267">
        <f>VLOOKUP(all[[#This Row],[DEVELOPMENT]],Data[],31,FALSE)</f>
        <v>1</v>
      </c>
      <c r="N267">
        <f>VLOOKUP(all[[#This Row],[DEVELOPMENT]],Data[],26,FALSE)</f>
        <v>0</v>
      </c>
      <c r="O267">
        <f>VLOOKUP(all[[#This Row],[DEVELOPMENT]],Data[],30,FALSE)</f>
        <v>0</v>
      </c>
      <c r="P267">
        <f>VLOOKUP(all[[#This Row],[DEVELOPMENT]],Data[],28,FALSE)</f>
        <v>0</v>
      </c>
      <c r="Q267">
        <f>IF(all[[#This Row],['# Bulk Crushers]]=0,1,0)</f>
        <v>1</v>
      </c>
      <c r="R267" s="5">
        <f>IFERROR(INDEX(FWD[],MATCH($B267,FWD[DEVELOPMENT],0),MATCH("ESTIMATE",FWD[#Headers],0)),0)</f>
        <v>0</v>
      </c>
      <c r="S267" s="5">
        <f>IFERROR(INDEX(EHD[],MATCH($B267,EHD[DEVELOPMENT],0),MATCH("ESTIMATE",EHD[#Headers],0)),0)</f>
        <v>7435.6435000000001</v>
      </c>
      <c r="T267" s="5">
        <f ca="1">IFERROR(INDEX(IntComp[],MATCH($B267,IntComp[DEVELOPMENT],0),MATCH("ESTIMATE",IntComp[#Headers],0)),0)</f>
        <v>73653.394499999995</v>
      </c>
      <c r="U267" s="5">
        <f>IFERROR(INDEX(Yards[],MATCH($B267,Yards[DEVELOPMENT],0),MATCH("ESTIMATE",Yards[#Headers],0)),0)</f>
        <v>0</v>
      </c>
      <c r="V267" s="128">
        <f ca="1">SUM(R267:U267)</f>
        <v>81089.038</v>
      </c>
      <c r="W267" s="5"/>
    </row>
    <row r="268" spans="1:23" x14ac:dyDescent="0.25">
      <c r="A268" s="131">
        <f>VLOOKUP(B268,Data[],24,FALSE)</f>
        <v>63</v>
      </c>
      <c r="B268" t="s">
        <v>330</v>
      </c>
      <c r="C268" t="str">
        <f>VLOOKUP(B268,Data[],2,FALSE)</f>
        <v>BRONX</v>
      </c>
      <c r="D268" t="str">
        <f>VLOOKUP(all[[#This Row],[DEVELOPMENT]],Data[],3,FALSE)</f>
        <v>THROGGS NECK</v>
      </c>
      <c r="E268">
        <f>VLOOKUP(B268,Data[],8,FALSE)</f>
        <v>0</v>
      </c>
      <c r="F268">
        <f>VLOOKUP(B268,Data[],9,FALSE)</f>
        <v>0</v>
      </c>
      <c r="G268">
        <f>IFERROR(VLOOKUP(B268,Data[],4,FALSE),"")</f>
        <v>2022</v>
      </c>
      <c r="H268" t="str">
        <f ca="1">IF(G268="","",IF((G268-YEAR(TODAY()))&lt;=5,"Yes",""))</f>
        <v>Yes</v>
      </c>
      <c r="I268">
        <f>VLOOKUP(all[[#This Row],[DEVELOPMENT]],Data[],7,FALSE)</f>
        <v>1182</v>
      </c>
      <c r="J268">
        <f>VLOOKUP(all[[#This Row],[DEVELOPMENT]],Data[],25,FALSE)</f>
        <v>0</v>
      </c>
      <c r="K268">
        <f>VLOOKUP(all[[#This Row],[DEVELOPMENT]],Data[],5,FALSE)</f>
        <v>29</v>
      </c>
      <c r="L268">
        <f>VLOOKUP(all[[#This Row],[DEVELOPMENT]],Data[],27,FALSE)</f>
        <v>60</v>
      </c>
      <c r="M268">
        <f>VLOOKUP(all[[#This Row],[DEVELOPMENT]],Data[],31,FALSE)</f>
        <v>60</v>
      </c>
      <c r="N268">
        <f>VLOOKUP(all[[#This Row],[DEVELOPMENT]],Data[],26,FALSE)</f>
        <v>6</v>
      </c>
      <c r="O268">
        <f>VLOOKUP(all[[#This Row],[DEVELOPMENT]],Data[],30,FALSE)</f>
        <v>6</v>
      </c>
      <c r="P268">
        <f>VLOOKUP(all[[#This Row],[DEVELOPMENT]],Data[],28,FALSE)</f>
        <v>0</v>
      </c>
      <c r="Q268">
        <f>IF(all[[#This Row],['# Bulk Crushers]]=0,1,0)</f>
        <v>1</v>
      </c>
      <c r="R268" s="5">
        <f>IFERROR(INDEX(FWD[],MATCH($B268,FWD[DEVELOPMENT],0),MATCH("ESTIMATE",FWD[#Headers],0)),0)</f>
        <v>0</v>
      </c>
      <c r="S268" s="5">
        <f>IFERROR(INDEX(EHD[],MATCH($B268,EHD[DEVELOPMENT],0),MATCH("ESTIMATE",EHD[#Headers],0)),0)</f>
        <v>446138.61</v>
      </c>
      <c r="T268" s="5">
        <f ca="1">IFERROR(INDEX(IntComp[],MATCH($B268,IntComp[DEVELOPMENT],0),MATCH("ESTIMATE",IntComp[#Headers],0)),0)</f>
        <v>0</v>
      </c>
      <c r="U268" s="5">
        <f>IFERROR(INDEX(Yards[],MATCH($B268,Yards[DEVELOPMENT],0),MATCH("ESTIMATE",Yards[#Headers],0)),0)</f>
        <v>0</v>
      </c>
      <c r="V268" s="128">
        <f ca="1">SUM(R268:U268)</f>
        <v>446138.61</v>
      </c>
      <c r="W268" s="5"/>
    </row>
    <row r="269" spans="1:23" x14ac:dyDescent="0.25">
      <c r="A269" s="131">
        <f>VLOOKUP(B269,Data[],24,FALSE)</f>
        <v>193</v>
      </c>
      <c r="B269" t="s">
        <v>331</v>
      </c>
      <c r="C269" t="str">
        <f>VLOOKUP(B269,Data[],2,FALSE)</f>
        <v>BRONX</v>
      </c>
      <c r="D269" t="str">
        <f>VLOOKUP(all[[#This Row],[DEVELOPMENT]],Data[],3,FALSE)</f>
        <v>THROGGS NECK</v>
      </c>
      <c r="E269">
        <f>VLOOKUP(B269,Data[],8,FALSE)</f>
        <v>0</v>
      </c>
      <c r="F269">
        <f>VLOOKUP(B269,Data[],9,FALSE)</f>
        <v>0</v>
      </c>
      <c r="G269">
        <f>IFERROR(VLOOKUP(B269,Data[],4,FALSE),"")</f>
        <v>2022</v>
      </c>
      <c r="H269" t="str">
        <f ca="1">IF(G269="","",IF((G269-YEAR(TODAY()))&lt;=5,"Yes",""))</f>
        <v>Yes</v>
      </c>
      <c r="I269">
        <f>VLOOKUP(all[[#This Row],[DEVELOPMENT]],Data[],7,FALSE)</f>
        <v>287</v>
      </c>
      <c r="J269">
        <f>VLOOKUP(all[[#This Row],[DEVELOPMENT]],Data[],25,FALSE)</f>
        <v>0</v>
      </c>
      <c r="K269">
        <f>VLOOKUP(all[[#This Row],[DEVELOPMENT]],Data[],5,FALSE)</f>
        <v>4</v>
      </c>
      <c r="L269">
        <f>VLOOKUP(all[[#This Row],[DEVELOPMENT]],Data[],27,FALSE)</f>
        <v>4</v>
      </c>
      <c r="M269">
        <f>VLOOKUP(all[[#This Row],[DEVELOPMENT]],Data[],31,FALSE)</f>
        <v>4</v>
      </c>
      <c r="N269">
        <f>VLOOKUP(all[[#This Row],[DEVELOPMENT]],Data[],26,FALSE)</f>
        <v>0</v>
      </c>
      <c r="O269">
        <f>VLOOKUP(all[[#This Row],[DEVELOPMENT]],Data[],30,FALSE)</f>
        <v>0</v>
      </c>
      <c r="P269">
        <f>VLOOKUP(all[[#This Row],[DEVELOPMENT]],Data[],28,FALSE)</f>
        <v>0</v>
      </c>
      <c r="Q269">
        <f>IF(all[[#This Row],['# Bulk Crushers]]=0,1,0)</f>
        <v>1</v>
      </c>
      <c r="R269" s="5">
        <f>IFERROR(INDEX(FWD[],MATCH($B269,FWD[DEVELOPMENT],0),MATCH("ESTIMATE",FWD[#Headers],0)),0)</f>
        <v>0</v>
      </c>
      <c r="S269" s="5">
        <f>IFERROR(INDEX(EHD[],MATCH($B269,EHD[DEVELOPMENT],0),MATCH("ESTIMATE",EHD[#Headers],0)),0)</f>
        <v>29742.574000000001</v>
      </c>
      <c r="T269" s="5">
        <f ca="1">IFERROR(INDEX(IntComp[],MATCH($B269,IntComp[DEVELOPMENT],0),MATCH("ESTIMATE",IntComp[#Headers],0)),0)</f>
        <v>0</v>
      </c>
      <c r="U269" s="5">
        <f>IFERROR(INDEX(Yards[],MATCH($B269,Yards[DEVELOPMENT],0),MATCH("ESTIMATE",Yards[#Headers],0)),0)</f>
        <v>0</v>
      </c>
      <c r="V269" s="128">
        <f ca="1">SUM(R269:U269)</f>
        <v>29742.574000000001</v>
      </c>
      <c r="W269" s="5"/>
    </row>
    <row r="270" spans="1:23" x14ac:dyDescent="0.25">
      <c r="A270" s="131">
        <f>VLOOKUP(B270,Data[],24,FALSE)</f>
        <v>96</v>
      </c>
      <c r="B270" t="s">
        <v>332</v>
      </c>
      <c r="C270" t="str">
        <f>VLOOKUP(B270,Data[],2,FALSE)</f>
        <v>BROOKLYN</v>
      </c>
      <c r="D270" t="str">
        <f>VLOOKUP(all[[#This Row],[DEVELOPMENT]],Data[],3,FALSE)</f>
        <v>TILDEN</v>
      </c>
      <c r="E270">
        <f>VLOOKUP(B270,Data[],8,FALSE)</f>
        <v>0</v>
      </c>
      <c r="F270">
        <f>VLOOKUP(B270,Data[],9,FALSE)</f>
        <v>0</v>
      </c>
      <c r="G270" t="str">
        <f>IFERROR(VLOOKUP(B270,Data[],4,FALSE),"")</f>
        <v/>
      </c>
      <c r="H270" t="str">
        <f ca="1">IF(G270="","",IF((G270-YEAR(TODAY()))&lt;=5,"Yes",""))</f>
        <v/>
      </c>
      <c r="I270">
        <f>VLOOKUP(all[[#This Row],[DEVELOPMENT]],Data[],7,FALSE)</f>
        <v>998</v>
      </c>
      <c r="J270">
        <f>VLOOKUP(all[[#This Row],[DEVELOPMENT]],Data[],25,FALSE)</f>
        <v>0</v>
      </c>
      <c r="K270">
        <f>VLOOKUP(all[[#This Row],[DEVELOPMENT]],Data[],5,FALSE)</f>
        <v>8</v>
      </c>
      <c r="L270">
        <f>VLOOKUP(all[[#This Row],[DEVELOPMENT]],Data[],27,FALSE)</f>
        <v>8</v>
      </c>
      <c r="M270">
        <f>VLOOKUP(all[[#This Row],[DEVELOPMENT]],Data[],31,FALSE)</f>
        <v>8</v>
      </c>
      <c r="N270">
        <f>VLOOKUP(all[[#This Row],[DEVELOPMENT]],Data[],26,FALSE)</f>
        <v>2</v>
      </c>
      <c r="O270">
        <f>VLOOKUP(all[[#This Row],[DEVELOPMENT]],Data[],30,FALSE)</f>
        <v>2</v>
      </c>
      <c r="P270">
        <f>VLOOKUP(all[[#This Row],[DEVELOPMENT]],Data[],28,FALSE)</f>
        <v>0</v>
      </c>
      <c r="Q270">
        <f>IF(all[[#This Row],['# Bulk Crushers]]=0,1,0)</f>
        <v>1</v>
      </c>
      <c r="R270" s="5">
        <f>IFERROR(INDEX(FWD[],MATCH($B270,FWD[DEVELOPMENT],0),MATCH("ESTIMATE",FWD[#Headers],0)),0)</f>
        <v>0</v>
      </c>
      <c r="S270" s="5">
        <f>IFERROR(INDEX(EHD[],MATCH($B270,EHD[DEVELOPMENT],0),MATCH("ESTIMATE",EHD[#Headers],0)),0)</f>
        <v>59485.148000000001</v>
      </c>
      <c r="T270" s="5">
        <f ca="1">IFERROR(INDEX(IntComp[],MATCH($B270,IntComp[DEVELOPMENT],0),MATCH("ESTIMATE",IntComp[#Headers],0)),0)</f>
        <v>589227.15599999996</v>
      </c>
      <c r="U270" s="5">
        <f ca="1">IFERROR(INDEX(Yards[],MATCH($B270,Yards[DEVELOPMENT],0),MATCH("ESTIMATE",Yards[#Headers],0)),0)</f>
        <v>1591050.0199999998</v>
      </c>
      <c r="V270" s="128">
        <f ca="1">SUM(R270:U270)</f>
        <v>2239762.324</v>
      </c>
      <c r="W270" s="5"/>
    </row>
    <row r="271" spans="1:23" x14ac:dyDescent="0.25">
      <c r="A271" s="131">
        <f>VLOOKUP(B271,Data[],24,FALSE)</f>
        <v>42</v>
      </c>
      <c r="B271" t="s">
        <v>333</v>
      </c>
      <c r="C271" t="str">
        <f>VLOOKUP(B271,Data[],2,FALSE)</f>
        <v>STATEN ISLAND</v>
      </c>
      <c r="D271" t="str">
        <f>VLOOKUP(all[[#This Row],[DEVELOPMENT]],Data[],3,FALSE)</f>
        <v>BERRY</v>
      </c>
      <c r="E271">
        <f>VLOOKUP(B271,Data[],8,FALSE)</f>
        <v>0</v>
      </c>
      <c r="F271">
        <f>VLOOKUP(B271,Data[],9,FALSE)</f>
        <v>0</v>
      </c>
      <c r="G271" t="str">
        <f>IFERROR(VLOOKUP(B271,Data[],4,FALSE),"")</f>
        <v/>
      </c>
      <c r="H271" t="str">
        <f ca="1">IF(G271="","",IF((G271-YEAR(TODAY()))&lt;=5,"Yes",""))</f>
        <v/>
      </c>
      <c r="I271">
        <f>VLOOKUP(all[[#This Row],[DEVELOPMENT]],Data[],7,FALSE)</f>
        <v>502</v>
      </c>
      <c r="J271">
        <f>VLOOKUP(all[[#This Row],[DEVELOPMENT]],Data[],25,FALSE)</f>
        <v>0</v>
      </c>
      <c r="K271">
        <f>VLOOKUP(all[[#This Row],[DEVELOPMENT]],Data[],5,FALSE)</f>
        <v>7</v>
      </c>
      <c r="L271">
        <f>VLOOKUP(all[[#This Row],[DEVELOPMENT]],Data[],27,FALSE)</f>
        <v>13</v>
      </c>
      <c r="M271">
        <f>VLOOKUP(all[[#This Row],[DEVELOPMENT]],Data[],31,FALSE)</f>
        <v>13</v>
      </c>
      <c r="N271">
        <f>VLOOKUP(all[[#This Row],[DEVELOPMENT]],Data[],26,FALSE)</f>
        <v>0</v>
      </c>
      <c r="O271">
        <f>VLOOKUP(all[[#This Row],[DEVELOPMENT]],Data[],30,FALSE)</f>
        <v>0</v>
      </c>
      <c r="P271">
        <f>VLOOKUP(all[[#This Row],[DEVELOPMENT]],Data[],28,FALSE)</f>
        <v>0</v>
      </c>
      <c r="Q271">
        <f>IF(all[[#This Row],['# Bulk Crushers]]=0,1,0)</f>
        <v>1</v>
      </c>
      <c r="R271" s="5">
        <f>IFERROR(INDEX(FWD[],MATCH($B271,FWD[DEVELOPMENT],0),MATCH("ESTIMATE",FWD[#Headers],0)),0)</f>
        <v>0</v>
      </c>
      <c r="S271" s="5">
        <f>IFERROR(INDEX(EHD[],MATCH($B271,EHD[DEVELOPMENT],0),MATCH("ESTIMATE",EHD[#Headers],0)),0)</f>
        <v>96663.3655</v>
      </c>
      <c r="T271" s="5">
        <f ca="1">IFERROR(INDEX(IntComp[],MATCH($B271,IntComp[DEVELOPMENT],0),MATCH("ESTIMATE",IntComp[#Headers],0)),0)</f>
        <v>957494.12849999988</v>
      </c>
      <c r="U271" s="5">
        <f>IFERROR(INDEX(Yards[],MATCH($B271,Yards[DEVELOPMENT],0),MATCH("ESTIMATE",Yards[#Headers],0)),0)</f>
        <v>1159792.78</v>
      </c>
      <c r="V271" s="128">
        <f ca="1">SUM(R271:U271)</f>
        <v>2213950.2740000002</v>
      </c>
      <c r="W271" s="5"/>
    </row>
    <row r="272" spans="1:23" x14ac:dyDescent="0.25">
      <c r="A272" s="131">
        <f>VLOOKUP(B272,Data[],24,FALSE)</f>
        <v>131</v>
      </c>
      <c r="B272" t="s">
        <v>46</v>
      </c>
      <c r="C272" t="str">
        <f>VLOOKUP(B272,Data[],2,FALSE)</f>
        <v>BROOKLYN</v>
      </c>
      <c r="D272" t="str">
        <f>VLOOKUP(all[[#This Row],[DEVELOPMENT]],Data[],3,FALSE)</f>
        <v>TOMPKINS</v>
      </c>
      <c r="E272" t="str">
        <f>VLOOKUP(B272,Data[],8,FALSE)</f>
        <v>Zone 1</v>
      </c>
      <c r="F272" t="str">
        <f>VLOOKUP(B272,Data[],9,FALSE)</f>
        <v>$</v>
      </c>
      <c r="G272" t="str">
        <f>IFERROR(VLOOKUP(B272,Data[],4,FALSE),"")</f>
        <v/>
      </c>
      <c r="H272" t="str">
        <f ca="1">IF(G272="","",IF((G272-YEAR(TODAY()))&lt;=5,"Yes",""))</f>
        <v/>
      </c>
      <c r="I272">
        <f>VLOOKUP(all[[#This Row],[DEVELOPMENT]],Data[],7,FALSE)</f>
        <v>1045</v>
      </c>
      <c r="J272" t="str">
        <f>VLOOKUP(all[[#This Row],[DEVELOPMENT]],Data[],25,FALSE)</f>
        <v>Yes</v>
      </c>
      <c r="K272">
        <f>VLOOKUP(all[[#This Row],[DEVELOPMENT]],Data[],5,FALSE)</f>
        <v>8</v>
      </c>
      <c r="L272">
        <f>VLOOKUP(all[[#This Row],[DEVELOPMENT]],Data[],27,FALSE)</f>
        <v>12</v>
      </c>
      <c r="M272">
        <f>VLOOKUP(all[[#This Row],[DEVELOPMENT]],Data[],31,FALSE)</f>
        <v>11</v>
      </c>
      <c r="N272">
        <f>VLOOKUP(all[[#This Row],[DEVELOPMENT]],Data[],26,FALSE)</f>
        <v>0</v>
      </c>
      <c r="O272">
        <f>VLOOKUP(all[[#This Row],[DEVELOPMENT]],Data[],30,FALSE)</f>
        <v>0</v>
      </c>
      <c r="P272">
        <f>VLOOKUP(all[[#This Row],[DEVELOPMENT]],Data[],28,FALSE)</f>
        <v>0</v>
      </c>
      <c r="Q272">
        <f>IF(all[[#This Row],['# Bulk Crushers]]=0,1,0)</f>
        <v>1</v>
      </c>
      <c r="R272" s="5">
        <f>IFERROR(INDEX(FWD[],MATCH($B272,FWD[DEVELOPMENT],0),MATCH("ESTIMATE",FWD[#Headers],0)),0)</f>
        <v>1796079.0650270404</v>
      </c>
      <c r="S272" s="5">
        <f>IFERROR(INDEX(EHD[],MATCH($B272,EHD[DEVELOPMENT],0),MATCH("ESTIMATE",EHD[#Headers],0)),0)</f>
        <v>0</v>
      </c>
      <c r="T272" s="5">
        <f ca="1">IFERROR(INDEX(IntComp[],MATCH($B272,IntComp[DEVELOPMENT],0),MATCH("ESTIMATE",IntComp[#Headers],0)),0)</f>
        <v>810187.33949999989</v>
      </c>
      <c r="U272" s="5">
        <f>IFERROR(INDEX(Yards[],MATCH($B272,Yards[DEVELOPMENT],0),MATCH("ESTIMATE",Yards[#Headers],0)),0)</f>
        <v>1159792.78</v>
      </c>
      <c r="V272" s="128">
        <f ca="1">SUM(R272:U272)</f>
        <v>3766059.1845270405</v>
      </c>
      <c r="W272" s="5"/>
    </row>
    <row r="273" spans="1:23" x14ac:dyDescent="0.25">
      <c r="A273" s="131">
        <f>VLOOKUP(B273,Data[],24,FALSE)</f>
        <v>287</v>
      </c>
      <c r="B273" t="s">
        <v>138</v>
      </c>
      <c r="C273" t="str">
        <f>VLOOKUP(B273,Data[],2,FALSE)</f>
        <v>BRONX</v>
      </c>
      <c r="D273" t="str">
        <f>VLOOKUP(all[[#This Row],[DEVELOPMENT]],Data[],3,FALSE)</f>
        <v>TWIN PARKS CONSOLIDATED</v>
      </c>
      <c r="E273" t="str">
        <f>VLOOKUP(B273,Data[],8,FALSE)</f>
        <v>Zone 1</v>
      </c>
      <c r="F273" t="str">
        <f>VLOOKUP(B273,Data[],9,FALSE)</f>
        <v>$</v>
      </c>
      <c r="G273" t="str">
        <f>IFERROR(VLOOKUP(B273,Data[],4,FALSE),"")</f>
        <v/>
      </c>
      <c r="H273" t="str">
        <f ca="1">IF(G273="","",IF((G273-YEAR(TODAY()))&lt;=5,"Yes",""))</f>
        <v/>
      </c>
      <c r="I273">
        <f>VLOOKUP(all[[#This Row],[DEVELOPMENT]],Data[],7,FALSE)</f>
        <v>219</v>
      </c>
      <c r="J273">
        <f>VLOOKUP(all[[#This Row],[DEVELOPMENT]],Data[],25,FALSE)</f>
        <v>0</v>
      </c>
      <c r="K273">
        <f>VLOOKUP(all[[#This Row],[DEVELOPMENT]],Data[],5,FALSE)</f>
        <v>1</v>
      </c>
      <c r="L273">
        <f>VLOOKUP(all[[#This Row],[DEVELOPMENT]],Data[],27,FALSE)</f>
        <v>1</v>
      </c>
      <c r="M273">
        <f>VLOOKUP(all[[#This Row],[DEVELOPMENT]],Data[],31,FALSE)</f>
        <v>1</v>
      </c>
      <c r="N273">
        <f>VLOOKUP(all[[#This Row],[DEVELOPMENT]],Data[],26,FALSE)</f>
        <v>0</v>
      </c>
      <c r="O273">
        <f>VLOOKUP(all[[#This Row],[DEVELOPMENT]],Data[],30,FALSE)</f>
        <v>0</v>
      </c>
      <c r="P273">
        <f>VLOOKUP(all[[#This Row],[DEVELOPMENT]],Data[],28,FALSE)</f>
        <v>0</v>
      </c>
      <c r="Q273">
        <f>IF(all[[#This Row],['# Bulk Crushers]]=0,1,0)</f>
        <v>1</v>
      </c>
      <c r="R273" s="5">
        <f>IFERROR(INDEX(FWD[],MATCH($B273,FWD[DEVELOPMENT],0),MATCH("ESTIMATE",FWD[#Headers],0)),0)</f>
        <v>0</v>
      </c>
      <c r="S273" s="5">
        <f>IFERROR(INDEX(EHD[],MATCH($B273,EHD[DEVELOPMENT],0),MATCH("ESTIMATE",EHD[#Headers],0)),0)</f>
        <v>0</v>
      </c>
      <c r="T273" s="5">
        <f ca="1">IFERROR(INDEX(IntComp[],MATCH($B273,IntComp[DEVELOPMENT],0),MATCH("ESTIMATE",IntComp[#Headers],0)),0)</f>
        <v>73653.394499999995</v>
      </c>
      <c r="U273" s="5">
        <f>IFERROR(INDEX(Yards[],MATCH($B273,Yards[DEVELOPMENT],0),MATCH("ESTIMATE",Yards[#Headers],0)),0)</f>
        <v>1159792.78</v>
      </c>
      <c r="V273" s="128">
        <f ca="1">SUM(R273:U273)</f>
        <v>1233446.1745</v>
      </c>
      <c r="W273" s="5"/>
    </row>
    <row r="274" spans="1:23" x14ac:dyDescent="0.25">
      <c r="A274" s="131">
        <f>VLOOKUP(B274,Data[],24,FALSE)</f>
        <v>266</v>
      </c>
      <c r="B274" t="s">
        <v>51</v>
      </c>
      <c r="C274" t="str">
        <f>VLOOKUP(B274,Data[],2,FALSE)</f>
        <v>MANHATTAN</v>
      </c>
      <c r="D274" t="str">
        <f>VLOOKUP(all[[#This Row],[DEVELOPMENT]],Data[],3,FALSE)</f>
        <v>LA GUARDIA</v>
      </c>
      <c r="E274" t="str">
        <f>VLOOKUP(B274,Data[],8,FALSE)</f>
        <v>Zone 1</v>
      </c>
      <c r="F274" t="str">
        <f>VLOOKUP(B274,Data[],9,FALSE)</f>
        <v>$</v>
      </c>
      <c r="G274" t="str">
        <f>IFERROR(VLOOKUP(B274,Data[],4,FALSE),"")</f>
        <v/>
      </c>
      <c r="H274" t="str">
        <f ca="1">IF(G274="","",IF((G274-YEAR(TODAY()))&lt;=5,"Yes",""))</f>
        <v/>
      </c>
      <c r="I274">
        <f>VLOOKUP(all[[#This Row],[DEVELOPMENT]],Data[],7,FALSE)</f>
        <v>250</v>
      </c>
      <c r="J274" t="str">
        <f>VLOOKUP(all[[#This Row],[DEVELOPMENT]],Data[],25,FALSE)</f>
        <v>Yes</v>
      </c>
      <c r="K274">
        <f>VLOOKUP(all[[#This Row],[DEVELOPMENT]],Data[],5,FALSE)</f>
        <v>1</v>
      </c>
      <c r="L274">
        <f>VLOOKUP(all[[#This Row],[DEVELOPMENT]],Data[],27,FALSE)</f>
        <v>1</v>
      </c>
      <c r="M274">
        <f>VLOOKUP(all[[#This Row],[DEVELOPMENT]],Data[],31,FALSE)</f>
        <v>1</v>
      </c>
      <c r="N274">
        <f>VLOOKUP(all[[#This Row],[DEVELOPMENT]],Data[],26,FALSE)</f>
        <v>0</v>
      </c>
      <c r="O274">
        <f>VLOOKUP(all[[#This Row],[DEVELOPMENT]],Data[],30,FALSE)</f>
        <v>0</v>
      </c>
      <c r="P274">
        <f>VLOOKUP(all[[#This Row],[DEVELOPMENT]],Data[],28,FALSE)</f>
        <v>0</v>
      </c>
      <c r="Q274">
        <f>IF(all[[#This Row],['# Bulk Crushers]]=0,1,0)</f>
        <v>1</v>
      </c>
      <c r="R274" s="5">
        <f>IFERROR(INDEX(FWD[],MATCH($B274,FWD[DEVELOPMENT],0),MATCH("ESTIMATE",FWD[#Headers],0)),0)</f>
        <v>0</v>
      </c>
      <c r="S274" s="5">
        <f>IFERROR(INDEX(EHD[],MATCH($B274,EHD[DEVELOPMENT],0),MATCH("ESTIMATE",EHD[#Headers],0)),0)</f>
        <v>7435.6435000000001</v>
      </c>
      <c r="T274" s="5">
        <f ca="1">IFERROR(INDEX(IntComp[],MATCH($B274,IntComp[DEVELOPMENT],0),MATCH("ESTIMATE",IntComp[#Headers],0)),0)</f>
        <v>73653.394499999995</v>
      </c>
      <c r="U274" s="5">
        <f>IFERROR(INDEX(Yards[],MATCH($B274,Yards[DEVELOPMENT],0),MATCH("ESTIMATE",Yards[#Headers],0)),0)</f>
        <v>1159792.78</v>
      </c>
      <c r="V274" s="128">
        <f ca="1">SUM(R274:U274)</f>
        <v>1240881.818</v>
      </c>
      <c r="W274" s="5"/>
    </row>
    <row r="275" spans="1:23" x14ac:dyDescent="0.25">
      <c r="A275" s="131">
        <f>VLOOKUP(B275,Data[],24,FALSE)</f>
        <v>342</v>
      </c>
      <c r="B275" t="s">
        <v>98</v>
      </c>
      <c r="C275" t="str">
        <f>VLOOKUP(B275,Data[],2,FALSE)</f>
        <v>BRONX</v>
      </c>
      <c r="D275" t="str">
        <f>VLOOKUP(all[[#This Row],[DEVELOPMENT]],Data[],3,FALSE)</f>
        <v>UNION AVENUE CONSOLIDATED</v>
      </c>
      <c r="E275" t="str">
        <f>VLOOKUP(B275,Data[],8,FALSE)</f>
        <v>Zone 3</v>
      </c>
      <c r="F275" t="str">
        <f>VLOOKUP(B275,Data[],9,FALSE)</f>
        <v>$</v>
      </c>
      <c r="G275">
        <f>IFERROR(VLOOKUP(B275,Data[],4,FALSE),"")</f>
        <v>2026</v>
      </c>
      <c r="H275" t="str">
        <f ca="1">IF(G275="","",IF((G275-YEAR(TODAY()))&lt;=5,"Yes",""))</f>
        <v/>
      </c>
      <c r="I275">
        <f>VLOOKUP(all[[#This Row],[DEVELOPMENT]],Data[],7,FALSE)</f>
        <v>199</v>
      </c>
      <c r="J275">
        <f>VLOOKUP(all[[#This Row],[DEVELOPMENT]],Data[],25,FALSE)</f>
        <v>0</v>
      </c>
      <c r="K275">
        <f>VLOOKUP(all[[#This Row],[DEVELOPMENT]],Data[],5,FALSE)</f>
        <v>1</v>
      </c>
      <c r="L275">
        <f>VLOOKUP(all[[#This Row],[DEVELOPMENT]],Data[],27,FALSE)</f>
        <v>1</v>
      </c>
      <c r="M275">
        <f>VLOOKUP(all[[#This Row],[DEVELOPMENT]],Data[],31,FALSE)</f>
        <v>1</v>
      </c>
      <c r="N275">
        <f>VLOOKUP(all[[#This Row],[DEVELOPMENT]],Data[],26,FALSE)</f>
        <v>0</v>
      </c>
      <c r="O275">
        <f>VLOOKUP(all[[#This Row],[DEVELOPMENT]],Data[],30,FALSE)</f>
        <v>0</v>
      </c>
      <c r="P275">
        <f>VLOOKUP(all[[#This Row],[DEVELOPMENT]],Data[],28,FALSE)</f>
        <v>0</v>
      </c>
      <c r="Q275">
        <f>IF(all[[#This Row],['# Bulk Crushers]]=0,1,0)</f>
        <v>1</v>
      </c>
      <c r="R275" s="5">
        <f>IFERROR(INDEX(FWD[],MATCH($B275,FWD[DEVELOPMENT],0),MATCH("ESTIMATE",FWD[#Headers],0)),0)</f>
        <v>0</v>
      </c>
      <c r="S275" s="5">
        <f>IFERROR(INDEX(EHD[],MATCH($B275,EHD[DEVELOPMENT],0),MATCH("ESTIMATE",EHD[#Headers],0)),0)</f>
        <v>0</v>
      </c>
      <c r="T275" s="5">
        <f ca="1">IFERROR(INDEX(IntComp[],MATCH($B275,IntComp[DEVELOPMENT],0),MATCH("ESTIMATE",IntComp[#Headers],0)),0)</f>
        <v>73653.394499999995</v>
      </c>
      <c r="U275" s="5">
        <f>IFERROR(INDEX(Yards[],MATCH($B275,Yards[DEVELOPMENT],0),MATCH("ESTIMATE",Yards[#Headers],0)),0)</f>
        <v>1159792.78</v>
      </c>
      <c r="V275" s="128">
        <f ca="1">SUM(R275:U275)</f>
        <v>1233446.1745</v>
      </c>
      <c r="W275" s="5"/>
    </row>
    <row r="276" spans="1:23" x14ac:dyDescent="0.25">
      <c r="A276" s="131">
        <f>VLOOKUP(B276,Data[],24,FALSE)</f>
        <v>356</v>
      </c>
      <c r="B276" t="s">
        <v>99</v>
      </c>
      <c r="C276" t="str">
        <f>VLOOKUP(B276,Data[],2,FALSE)</f>
        <v>BRONX</v>
      </c>
      <c r="D276" t="str">
        <f>VLOOKUP(all[[#This Row],[DEVELOPMENT]],Data[],3,FALSE)</f>
        <v>UNION AVENUE CONSOLIDATED</v>
      </c>
      <c r="E276" t="str">
        <f>VLOOKUP(B276,Data[],8,FALSE)</f>
        <v>Zone 3</v>
      </c>
      <c r="F276" t="str">
        <f>VLOOKUP(B276,Data[],9,FALSE)</f>
        <v>$</v>
      </c>
      <c r="G276">
        <f>IFERROR(VLOOKUP(B276,Data[],4,FALSE),"")</f>
        <v>2026</v>
      </c>
      <c r="H276" t="str">
        <f ca="1">IF(G276="","",IF((G276-YEAR(TODAY()))&lt;=5,"Yes",""))</f>
        <v/>
      </c>
      <c r="I276">
        <f>VLOOKUP(all[[#This Row],[DEVELOPMENT]],Data[],7,FALSE)</f>
        <v>120</v>
      </c>
      <c r="J276">
        <f>VLOOKUP(all[[#This Row],[DEVELOPMENT]],Data[],25,FALSE)</f>
        <v>0</v>
      </c>
      <c r="K276">
        <f>VLOOKUP(all[[#This Row],[DEVELOPMENT]],Data[],5,FALSE)</f>
        <v>6</v>
      </c>
      <c r="L276">
        <f>VLOOKUP(all[[#This Row],[DEVELOPMENT]],Data[],27,FALSE)</f>
        <v>0</v>
      </c>
      <c r="M276">
        <f>VLOOKUP(all[[#This Row],[DEVELOPMENT]],Data[],31,FALSE)</f>
        <v>0</v>
      </c>
      <c r="N276">
        <f>VLOOKUP(all[[#This Row],[DEVELOPMENT]],Data[],26,FALSE)</f>
        <v>1</v>
      </c>
      <c r="O276">
        <f>VLOOKUP(all[[#This Row],[DEVELOPMENT]],Data[],30,FALSE)</f>
        <v>1</v>
      </c>
      <c r="P276">
        <f>VLOOKUP(all[[#This Row],[DEVELOPMENT]],Data[],28,FALSE)</f>
        <v>0</v>
      </c>
      <c r="Q276">
        <f>IF(all[[#This Row],['# Bulk Crushers]]=0,1,0)</f>
        <v>1</v>
      </c>
      <c r="R276" s="5">
        <f>IFERROR(INDEX(FWD[],MATCH($B276,FWD[DEVELOPMENT],0),MATCH("ESTIMATE",FWD[#Headers],0)),0)</f>
        <v>0</v>
      </c>
      <c r="S276" s="5">
        <f>IFERROR(INDEX(EHD[],MATCH($B276,EHD[DEVELOPMENT],0),MATCH("ESTIMATE",EHD[#Headers],0)),0)</f>
        <v>0</v>
      </c>
      <c r="T276" s="5">
        <f ca="1">IFERROR(INDEX(IntComp[],MATCH($B276,IntComp[DEVELOPMENT],0),MATCH("ESTIMATE",IntComp[#Headers],0)),0)</f>
        <v>0</v>
      </c>
      <c r="U276" s="5">
        <f ca="1">IFERROR(INDEX(Yards[],MATCH($B276,Yards[DEVELOPMENT],0),MATCH("ESTIMATE",Yards[#Headers],0)),0)</f>
        <v>1159792.78</v>
      </c>
      <c r="V276" s="128">
        <f ca="1">SUM(R276:U276)</f>
        <v>1159792.78</v>
      </c>
      <c r="W276" s="5"/>
    </row>
    <row r="277" spans="1:23" x14ac:dyDescent="0.25">
      <c r="A277" s="131">
        <f>VLOOKUP(B277,Data[],24,FALSE)</f>
        <v>240</v>
      </c>
      <c r="B277" t="s">
        <v>334</v>
      </c>
      <c r="C277" t="str">
        <f>VLOOKUP(B277,Data[],2,FALSE)</f>
        <v>BROOKLYN</v>
      </c>
      <c r="D277" t="str">
        <f>VLOOKUP(all[[#This Row],[DEVELOPMENT]],Data[],3,FALSE)</f>
        <v>UNITY PLAZA</v>
      </c>
      <c r="E277">
        <f>VLOOKUP(B277,Data[],8,FALSE)</f>
        <v>0</v>
      </c>
      <c r="F277">
        <f>VLOOKUP(B277,Data[],9,FALSE)</f>
        <v>0</v>
      </c>
      <c r="G277">
        <f>IFERROR(VLOOKUP(B277,Data[],4,FALSE),"")</f>
        <v>2026</v>
      </c>
      <c r="H277" t="str">
        <f ca="1">IF(G277="","",IF((G277-YEAR(TODAY()))&lt;=5,"Yes",""))</f>
        <v/>
      </c>
      <c r="I277">
        <f>VLOOKUP(all[[#This Row],[DEVELOPMENT]],Data[],7,FALSE)</f>
        <v>167</v>
      </c>
      <c r="J277">
        <f>VLOOKUP(all[[#This Row],[DEVELOPMENT]],Data[],25,FALSE)</f>
        <v>0</v>
      </c>
      <c r="K277">
        <f>VLOOKUP(all[[#This Row],[DEVELOPMENT]],Data[],5,FALSE)</f>
        <v>3</v>
      </c>
      <c r="L277">
        <f>VLOOKUP(all[[#This Row],[DEVELOPMENT]],Data[],27,FALSE)</f>
        <v>3</v>
      </c>
      <c r="M277">
        <f>VLOOKUP(all[[#This Row],[DEVELOPMENT]],Data[],31,FALSE)</f>
        <v>3</v>
      </c>
      <c r="N277">
        <f>VLOOKUP(all[[#This Row],[DEVELOPMENT]],Data[],26,FALSE)</f>
        <v>0</v>
      </c>
      <c r="O277">
        <f>VLOOKUP(all[[#This Row],[DEVELOPMENT]],Data[],30,FALSE)</f>
        <v>0</v>
      </c>
      <c r="P277">
        <f>VLOOKUP(all[[#This Row],[DEVELOPMENT]],Data[],28,FALSE)</f>
        <v>0</v>
      </c>
      <c r="Q277">
        <f>IF(all[[#This Row],['# Bulk Crushers]]=0,1,0)</f>
        <v>1</v>
      </c>
      <c r="R277" s="5">
        <f>IFERROR(INDEX(FWD[],MATCH($B277,FWD[DEVELOPMENT],0),MATCH("ESTIMATE",FWD[#Headers],0)),0)</f>
        <v>0</v>
      </c>
      <c r="S277" s="5">
        <f>IFERROR(INDEX(EHD[],MATCH($B277,EHD[DEVELOPMENT],0),MATCH("ESTIMATE",EHD[#Headers],0)),0)</f>
        <v>22306.930500000002</v>
      </c>
      <c r="T277" s="5">
        <f ca="1">IFERROR(INDEX(IntComp[],MATCH($B277,IntComp[DEVELOPMENT],0),MATCH("ESTIMATE",IntComp[#Headers],0)),0)</f>
        <v>220960.18349999996</v>
      </c>
      <c r="U277" s="5">
        <f>IFERROR(INDEX(Yards[],MATCH($B277,Yards[DEVELOPMENT],0),MATCH("ESTIMATE",Yards[#Headers],0)),0)</f>
        <v>1159792.78</v>
      </c>
      <c r="V277" s="128">
        <f ca="1">SUM(R277:U277)</f>
        <v>1403059.8939999999</v>
      </c>
      <c r="W277" s="5"/>
    </row>
    <row r="278" spans="1:23" x14ac:dyDescent="0.25">
      <c r="A278" s="131">
        <f>VLOOKUP(B278,Data[],24,FALSE)</f>
        <v>261</v>
      </c>
      <c r="B278" t="s">
        <v>335</v>
      </c>
      <c r="C278" t="str">
        <f>VLOOKUP(B278,Data[],2,FALSE)</f>
        <v>BROOKLYN</v>
      </c>
      <c r="D278" t="str">
        <f>VLOOKUP(all[[#This Row],[DEVELOPMENT]],Data[],3,FALSE)</f>
        <v>UNITY PLAZA</v>
      </c>
      <c r="E278">
        <f>VLOOKUP(B278,Data[],8,FALSE)</f>
        <v>0</v>
      </c>
      <c r="F278">
        <f>VLOOKUP(B278,Data[],9,FALSE)</f>
        <v>0</v>
      </c>
      <c r="G278">
        <f>IFERROR(VLOOKUP(B278,Data[],4,FALSE),"")</f>
        <v>2026</v>
      </c>
      <c r="H278" t="str">
        <f ca="1">IF(G278="","",IF((G278-YEAR(TODAY()))&lt;=5,"Yes",""))</f>
        <v/>
      </c>
      <c r="I278">
        <f>VLOOKUP(all[[#This Row],[DEVELOPMENT]],Data[],7,FALSE)</f>
        <v>460</v>
      </c>
      <c r="J278">
        <f>VLOOKUP(all[[#This Row],[DEVELOPMENT]],Data[],25,FALSE)</f>
        <v>0</v>
      </c>
      <c r="K278">
        <f>VLOOKUP(all[[#This Row],[DEVELOPMENT]],Data[],5,FALSE)</f>
        <v>5</v>
      </c>
      <c r="L278">
        <f>VLOOKUP(all[[#This Row],[DEVELOPMENT]],Data[],27,FALSE)</f>
        <v>12</v>
      </c>
      <c r="M278">
        <f>VLOOKUP(all[[#This Row],[DEVELOPMENT]],Data[],31,FALSE)</f>
        <v>12</v>
      </c>
      <c r="N278">
        <f>VLOOKUP(all[[#This Row],[DEVELOPMENT]],Data[],26,FALSE)</f>
        <v>0</v>
      </c>
      <c r="O278">
        <f>VLOOKUP(all[[#This Row],[DEVELOPMENT]],Data[],30,FALSE)</f>
        <v>0</v>
      </c>
      <c r="P278">
        <f>VLOOKUP(all[[#This Row],[DEVELOPMENT]],Data[],28,FALSE)</f>
        <v>0</v>
      </c>
      <c r="Q278">
        <f>IF(all[[#This Row],['# Bulk Crushers]]=0,1,0)</f>
        <v>1</v>
      </c>
      <c r="R278" s="5">
        <f>IFERROR(INDEX(FWD[],MATCH($B278,FWD[DEVELOPMENT],0),MATCH("ESTIMATE",FWD[#Headers],0)),0)</f>
        <v>0</v>
      </c>
      <c r="S278" s="5">
        <f>IFERROR(INDEX(EHD[],MATCH($B278,EHD[DEVELOPMENT],0),MATCH("ESTIMATE",EHD[#Headers],0)),0)</f>
        <v>89227.722000000009</v>
      </c>
      <c r="T278" s="5">
        <f ca="1">IFERROR(INDEX(IntComp[],MATCH($B278,IntComp[DEVELOPMENT],0),MATCH("ESTIMATE",IntComp[#Headers],0)),0)</f>
        <v>883840.73399999982</v>
      </c>
      <c r="U278" s="5">
        <f>IFERROR(INDEX(Yards[],MATCH($B278,Yards[DEVELOPMENT],0),MATCH("ESTIMATE",Yards[#Headers],0)),0)</f>
        <v>1159792.78</v>
      </c>
      <c r="V278" s="128">
        <f ca="1">SUM(R278:U278)</f>
        <v>2132861.2359999996</v>
      </c>
      <c r="W278" s="5"/>
    </row>
    <row r="279" spans="1:23" x14ac:dyDescent="0.25">
      <c r="A279" s="131">
        <f>VLOOKUP(B279,Data[],24,FALSE)</f>
        <v>341</v>
      </c>
      <c r="B279" t="s">
        <v>336</v>
      </c>
      <c r="C279" t="str">
        <f>VLOOKUP(B279,Data[],2,FALSE)</f>
        <v>BRONX</v>
      </c>
      <c r="D279" t="str">
        <f>VLOOKUP(all[[#This Row],[DEVELOPMENT]],Data[],3,FALSE)</f>
        <v>KRAUS MANAGEMENT (PRIVATE - BX 3)</v>
      </c>
      <c r="E279">
        <f>VLOOKUP(B279,Data[],8,FALSE)</f>
        <v>0</v>
      </c>
      <c r="F279">
        <f>VLOOKUP(B279,Data[],9,FALSE)</f>
        <v>0</v>
      </c>
      <c r="G279" t="str">
        <f>IFERROR(VLOOKUP(B279,Data[],4,FALSE),"")</f>
        <v/>
      </c>
      <c r="H279" t="str">
        <f ca="1">IF(G279="","",IF((G279-YEAR(TODAY()))&lt;=5,"Yes",""))</f>
        <v/>
      </c>
      <c r="I279">
        <f>VLOOKUP(all[[#This Row],[DEVELOPMENT]],Data[],7,FALSE)</f>
        <v>230</v>
      </c>
      <c r="J279">
        <f>VLOOKUP(all[[#This Row],[DEVELOPMENT]],Data[],25,FALSE)</f>
        <v>0</v>
      </c>
      <c r="K279">
        <f>VLOOKUP(all[[#This Row],[DEVELOPMENT]],Data[],5,FALSE)</f>
        <v>4</v>
      </c>
      <c r="L279">
        <f>VLOOKUP(all[[#This Row],[DEVELOPMENT]],Data[],27,FALSE)</f>
        <v>5</v>
      </c>
      <c r="M279">
        <f>VLOOKUP(all[[#This Row],[DEVELOPMENT]],Data[],31,FALSE)</f>
        <v>5</v>
      </c>
      <c r="N279">
        <f>VLOOKUP(all[[#This Row],[DEVELOPMENT]],Data[],26,FALSE)</f>
        <v>0</v>
      </c>
      <c r="O279">
        <f>VLOOKUP(all[[#This Row],[DEVELOPMENT]],Data[],30,FALSE)</f>
        <v>0</v>
      </c>
      <c r="P279">
        <f>VLOOKUP(all[[#This Row],[DEVELOPMENT]],Data[],28,FALSE)</f>
        <v>0</v>
      </c>
      <c r="Q279">
        <f>IF(all[[#This Row],['# Bulk Crushers]]=0,1,0)</f>
        <v>1</v>
      </c>
      <c r="R279" s="5">
        <f>IFERROR(INDEX(FWD[],MATCH($B279,FWD[DEVELOPMENT],0),MATCH("ESTIMATE",FWD[#Headers],0)),0)</f>
        <v>0</v>
      </c>
      <c r="S279" s="5">
        <f>IFERROR(INDEX(EHD[],MATCH($B279,EHD[DEVELOPMENT],0),MATCH("ESTIMATE",EHD[#Headers],0)),0)</f>
        <v>37178.217499999999</v>
      </c>
      <c r="T279" s="5">
        <f ca="1">IFERROR(INDEX(IntComp[],MATCH($B279,IntComp[DEVELOPMENT],0),MATCH("ESTIMATE",IntComp[#Headers],0)),0)</f>
        <v>368266.97249999997</v>
      </c>
      <c r="U279" s="5">
        <f>IFERROR(INDEX(Yards[],MATCH($B279,Yards[DEVELOPMENT],0),MATCH("ESTIMATE",Yards[#Headers],0)),0)</f>
        <v>1159792.78</v>
      </c>
      <c r="V279" s="128">
        <f ca="1">SUM(R279:U279)</f>
        <v>1565237.97</v>
      </c>
      <c r="W279" s="5"/>
    </row>
    <row r="280" spans="1:23" x14ac:dyDescent="0.25">
      <c r="A280" s="131">
        <f>VLOOKUP(B280,Data[],24,FALSE)</f>
        <v>343</v>
      </c>
      <c r="B280" t="s">
        <v>126</v>
      </c>
      <c r="C280" t="str">
        <f>VLOOKUP(B280,Data[],2,FALSE)</f>
        <v>MANHATTAN</v>
      </c>
      <c r="D280" t="str">
        <f>VLOOKUP(all[[#This Row],[DEVELOPMENT]],Data[],3,FALSE)</f>
        <v>ROBINSON</v>
      </c>
      <c r="E280" t="str">
        <f>VLOOKUP(B280,Data[],8,FALSE)</f>
        <v>Zone 2</v>
      </c>
      <c r="F280" t="str">
        <f>VLOOKUP(B280,Data[],9,FALSE)</f>
        <v>$</v>
      </c>
      <c r="G280" t="str">
        <f>IFERROR(VLOOKUP(B280,Data[],4,FALSE),"")</f>
        <v/>
      </c>
      <c r="H280" t="str">
        <f ca="1">IF(G280="","",IF((G280-YEAR(TODAY()))&lt;=5,"Yes",""))</f>
        <v/>
      </c>
      <c r="I280">
        <f>VLOOKUP(all[[#This Row],[DEVELOPMENT]],Data[],7,FALSE)</f>
        <v>179</v>
      </c>
      <c r="J280">
        <f>VLOOKUP(all[[#This Row],[DEVELOPMENT]],Data[],25,FALSE)</f>
        <v>0</v>
      </c>
      <c r="K280">
        <f>VLOOKUP(all[[#This Row],[DEVELOPMENT]],Data[],5,FALSE)</f>
        <v>1</v>
      </c>
      <c r="L280">
        <f>VLOOKUP(all[[#This Row],[DEVELOPMENT]],Data[],27,FALSE)</f>
        <v>1</v>
      </c>
      <c r="M280">
        <f>VLOOKUP(all[[#This Row],[DEVELOPMENT]],Data[],31,FALSE)</f>
        <v>1</v>
      </c>
      <c r="N280">
        <f>VLOOKUP(all[[#This Row],[DEVELOPMENT]],Data[],26,FALSE)</f>
        <v>0</v>
      </c>
      <c r="O280">
        <f>VLOOKUP(all[[#This Row],[DEVELOPMENT]],Data[],30,FALSE)</f>
        <v>0</v>
      </c>
      <c r="P280">
        <f>VLOOKUP(all[[#This Row],[DEVELOPMENT]],Data[],28,FALSE)</f>
        <v>0</v>
      </c>
      <c r="Q280">
        <f>IF(all[[#This Row],['# Bulk Crushers]]=0,1,0)</f>
        <v>1</v>
      </c>
      <c r="R280" s="5">
        <f>IFERROR(INDEX(FWD[],MATCH($B280,FWD[DEVELOPMENT],0),MATCH("ESTIMATE",FWD[#Headers],0)),0)</f>
        <v>0</v>
      </c>
      <c r="S280" s="5">
        <f>IFERROR(INDEX(EHD[],MATCH($B280,EHD[DEVELOPMENT],0),MATCH("ESTIMATE",EHD[#Headers],0)),0)</f>
        <v>0</v>
      </c>
      <c r="T280" s="5">
        <f ca="1">IFERROR(INDEX(IntComp[],MATCH($B280,IntComp[DEVELOPMENT],0),MATCH("ESTIMATE",IntComp[#Headers],0)),0)</f>
        <v>73653.394499999995</v>
      </c>
      <c r="U280" s="5">
        <f>IFERROR(INDEX(Yards[],MATCH($B280,Yards[DEVELOPMENT],0),MATCH("ESTIMATE",Yards[#Headers],0)),0)</f>
        <v>1159792.78</v>
      </c>
      <c r="V280" s="128">
        <f ca="1">SUM(R280:U280)</f>
        <v>1233446.1745</v>
      </c>
      <c r="W280" s="5"/>
    </row>
    <row r="281" spans="1:23" x14ac:dyDescent="0.25">
      <c r="A281" s="131">
        <f>VLOOKUP(B281,Data[],24,FALSE)</f>
        <v>355</v>
      </c>
      <c r="B281" t="s">
        <v>100</v>
      </c>
      <c r="C281" t="str">
        <f>VLOOKUP(B281,Data[],2,FALSE)</f>
        <v>MANHATTAN</v>
      </c>
      <c r="D281" t="str">
        <f>VLOOKUP(all[[#This Row],[DEVELOPMENT]],Data[],3,FALSE)</f>
        <v>ROBINSON</v>
      </c>
      <c r="E281" t="str">
        <f>VLOOKUP(B281,Data[],8,FALSE)</f>
        <v>Zone 2</v>
      </c>
      <c r="F281" t="str">
        <f>VLOOKUP(B281,Data[],9,FALSE)</f>
        <v>$</v>
      </c>
      <c r="G281" t="str">
        <f>IFERROR(VLOOKUP(B281,Data[],4,FALSE),"")</f>
        <v/>
      </c>
      <c r="H281" t="str">
        <f ca="1">IF(G281="","",IF((G281-YEAR(TODAY()))&lt;=5,"Yes",""))</f>
        <v/>
      </c>
      <c r="I281">
        <f>VLOOKUP(all[[#This Row],[DEVELOPMENT]],Data[],7,FALSE)</f>
        <v>150</v>
      </c>
      <c r="J281">
        <f>VLOOKUP(all[[#This Row],[DEVELOPMENT]],Data[],25,FALSE)</f>
        <v>0</v>
      </c>
      <c r="K281">
        <f>VLOOKUP(all[[#This Row],[DEVELOPMENT]],Data[],5,FALSE)</f>
        <v>1</v>
      </c>
      <c r="L281">
        <f>VLOOKUP(all[[#This Row],[DEVELOPMENT]],Data[],27,FALSE)</f>
        <v>1</v>
      </c>
      <c r="M281">
        <f>VLOOKUP(all[[#This Row],[DEVELOPMENT]],Data[],31,FALSE)</f>
        <v>1</v>
      </c>
      <c r="N281">
        <f>VLOOKUP(all[[#This Row],[DEVELOPMENT]],Data[],26,FALSE)</f>
        <v>0</v>
      </c>
      <c r="O281">
        <f>VLOOKUP(all[[#This Row],[DEVELOPMENT]],Data[],30,FALSE)</f>
        <v>0</v>
      </c>
      <c r="P281">
        <f>VLOOKUP(all[[#This Row],[DEVELOPMENT]],Data[],28,FALSE)</f>
        <v>0</v>
      </c>
      <c r="Q281">
        <f>IF(all[[#This Row],['# Bulk Crushers]]=0,1,0)</f>
        <v>1</v>
      </c>
      <c r="R281" s="5">
        <f>IFERROR(INDEX(FWD[],MATCH($B281,FWD[DEVELOPMENT],0),MATCH("ESTIMATE",FWD[#Headers],0)),0)</f>
        <v>0</v>
      </c>
      <c r="S281" s="5">
        <f>IFERROR(INDEX(EHD[],MATCH($B281,EHD[DEVELOPMENT],0),MATCH("ESTIMATE",EHD[#Headers],0)),0)</f>
        <v>7435.6435000000001</v>
      </c>
      <c r="T281" s="5">
        <f ca="1">IFERROR(INDEX(IntComp[],MATCH($B281,IntComp[DEVELOPMENT],0),MATCH("ESTIMATE",IntComp[#Headers],0)),0)</f>
        <v>73653.394499999995</v>
      </c>
      <c r="U281" s="5">
        <f>IFERROR(INDEX(Yards[],MATCH($B281,Yards[DEVELOPMENT],0),MATCH("ESTIMATE",Yards[#Headers],0)),0)</f>
        <v>1159792.78</v>
      </c>
      <c r="V281" s="128">
        <f ca="1">SUM(R281:U281)</f>
        <v>1240881.818</v>
      </c>
      <c r="W281" s="5"/>
    </row>
    <row r="282" spans="1:23" x14ac:dyDescent="0.25">
      <c r="A282" s="131">
        <f>VLOOKUP(B282,Data[],24,FALSE)</f>
        <v>61</v>
      </c>
      <c r="B282" t="s">
        <v>337</v>
      </c>
      <c r="C282" t="str">
        <f>VLOOKUP(B282,Data[],2,FALSE)</f>
        <v>BROOKLYN</v>
      </c>
      <c r="D282" t="str">
        <f>VLOOKUP(all[[#This Row],[DEVELOPMENT]],Data[],3,FALSE)</f>
        <v>VAN DYKE I</v>
      </c>
      <c r="E282">
        <f>VLOOKUP(B282,Data[],8,FALSE)</f>
        <v>0</v>
      </c>
      <c r="F282">
        <f>VLOOKUP(B282,Data[],9,FALSE)</f>
        <v>0</v>
      </c>
      <c r="G282">
        <f>IFERROR(VLOOKUP(B282,Data[],4,FALSE),"")</f>
        <v>2024</v>
      </c>
      <c r="H282" t="str">
        <f ca="1">IF(G282="","",IF((G282-YEAR(TODAY()))&lt;=5,"Yes",""))</f>
        <v>Yes</v>
      </c>
      <c r="I282">
        <f>VLOOKUP(all[[#This Row],[DEVELOPMENT]],Data[],7,FALSE)</f>
        <v>1603</v>
      </c>
      <c r="J282">
        <f>VLOOKUP(all[[#This Row],[DEVELOPMENT]],Data[],25,FALSE)</f>
        <v>0</v>
      </c>
      <c r="K282">
        <f>VLOOKUP(all[[#This Row],[DEVELOPMENT]],Data[],5,FALSE)</f>
        <v>22</v>
      </c>
      <c r="L282">
        <f>VLOOKUP(all[[#This Row],[DEVELOPMENT]],Data[],27,FALSE)</f>
        <v>31</v>
      </c>
      <c r="M282">
        <f>VLOOKUP(all[[#This Row],[DEVELOPMENT]],Data[],31,FALSE)</f>
        <v>31</v>
      </c>
      <c r="N282">
        <f>VLOOKUP(all[[#This Row],[DEVELOPMENT]],Data[],26,FALSE)</f>
        <v>0</v>
      </c>
      <c r="O282">
        <f>VLOOKUP(all[[#This Row],[DEVELOPMENT]],Data[],30,FALSE)</f>
        <v>0</v>
      </c>
      <c r="P282">
        <f>VLOOKUP(all[[#This Row],[DEVELOPMENT]],Data[],28,FALSE)</f>
        <v>0</v>
      </c>
      <c r="Q282">
        <f>IF(all[[#This Row],['# Bulk Crushers]]=0,1,0)</f>
        <v>1</v>
      </c>
      <c r="R282" s="5">
        <f>IFERROR(INDEX(FWD[],MATCH($B282,FWD[DEVELOPMENT],0),MATCH("ESTIMATE",FWD[#Headers],0)),0)</f>
        <v>0</v>
      </c>
      <c r="S282" s="5">
        <f>IFERROR(INDEX(EHD[],MATCH($B282,EHD[DEVELOPMENT],0),MATCH("ESTIMATE",EHD[#Headers],0)),0)</f>
        <v>230504.9485</v>
      </c>
      <c r="T282" s="5">
        <f ca="1">IFERROR(INDEX(IntComp[],MATCH($B282,IntComp[DEVELOPMENT],0),MATCH("ESTIMATE",IntComp[#Headers],0)),0)</f>
        <v>0</v>
      </c>
      <c r="U282" s="5">
        <f>IFERROR(INDEX(Yards[],MATCH($B282,Yards[DEVELOPMENT],0),MATCH("ESTIMATE",Yards[#Headers],0)),0)</f>
        <v>0</v>
      </c>
      <c r="V282" s="128">
        <f ca="1">SUM(R282:U282)</f>
        <v>230504.9485</v>
      </c>
      <c r="W282" s="5"/>
    </row>
    <row r="283" spans="1:23" x14ac:dyDescent="0.25">
      <c r="A283" s="131">
        <f>VLOOKUP(B283,Data[],24,FALSE)</f>
        <v>146</v>
      </c>
      <c r="B283" t="s">
        <v>338</v>
      </c>
      <c r="C283" t="str">
        <f>VLOOKUP(B283,Data[],2,FALSE)</f>
        <v>BROOKLYN</v>
      </c>
      <c r="D283" t="str">
        <f>VLOOKUP(all[[#This Row],[DEVELOPMENT]],Data[],3,FALSE)</f>
        <v>WOODSON</v>
      </c>
      <c r="E283">
        <f>VLOOKUP(B283,Data[],8,FALSE)</f>
        <v>0</v>
      </c>
      <c r="F283">
        <f>VLOOKUP(B283,Data[],9,FALSE)</f>
        <v>0</v>
      </c>
      <c r="G283" t="str">
        <f>IFERROR(VLOOKUP(B283,Data[],4,FALSE),"")</f>
        <v/>
      </c>
      <c r="H283" t="str">
        <f ca="1">IF(G283="","",IF((G283-YEAR(TODAY()))&lt;=5,"Yes",""))</f>
        <v/>
      </c>
      <c r="I283">
        <f>VLOOKUP(all[[#This Row],[DEVELOPMENT]],Data[],7,FALSE)</f>
        <v>111</v>
      </c>
      <c r="J283">
        <f>VLOOKUP(all[[#This Row],[DEVELOPMENT]],Data[],25,FALSE)</f>
        <v>0</v>
      </c>
      <c r="K283">
        <f>VLOOKUP(all[[#This Row],[DEVELOPMENT]],Data[],5,FALSE)</f>
        <v>1</v>
      </c>
      <c r="L283">
        <f>VLOOKUP(all[[#This Row],[DEVELOPMENT]],Data[],27,FALSE)</f>
        <v>1</v>
      </c>
      <c r="M283">
        <f>VLOOKUP(all[[#This Row],[DEVELOPMENT]],Data[],31,FALSE)</f>
        <v>1</v>
      </c>
      <c r="N283">
        <f>VLOOKUP(all[[#This Row],[DEVELOPMENT]],Data[],26,FALSE)</f>
        <v>0</v>
      </c>
      <c r="O283">
        <f>VLOOKUP(all[[#This Row],[DEVELOPMENT]],Data[],30,FALSE)</f>
        <v>0</v>
      </c>
      <c r="P283">
        <f>VLOOKUP(all[[#This Row],[DEVELOPMENT]],Data[],28,FALSE)</f>
        <v>0</v>
      </c>
      <c r="Q283">
        <f>IF(all[[#This Row],['# Bulk Crushers]]=0,1,0)</f>
        <v>1</v>
      </c>
      <c r="R283" s="5">
        <f>IFERROR(INDEX(FWD[],MATCH($B283,FWD[DEVELOPMENT],0),MATCH("ESTIMATE",FWD[#Headers],0)),0)</f>
        <v>0</v>
      </c>
      <c r="S283" s="5">
        <f>IFERROR(INDEX(EHD[],MATCH($B283,EHD[DEVELOPMENT],0),MATCH("ESTIMATE",EHD[#Headers],0)),0)</f>
        <v>7435.6435000000001</v>
      </c>
      <c r="T283" s="5">
        <f ca="1">IFERROR(INDEX(IntComp[],MATCH($B283,IntComp[DEVELOPMENT],0),MATCH("ESTIMATE",IntComp[#Headers],0)),0)</f>
        <v>73653.394499999995</v>
      </c>
      <c r="U283" s="5">
        <f>IFERROR(INDEX(Yards[],MATCH($B283,Yards[DEVELOPMENT],0),MATCH("ESTIMATE",Yards[#Headers],0)),0)</f>
        <v>1159792.78</v>
      </c>
      <c r="V283" s="128">
        <f ca="1">SUM(R283:U283)</f>
        <v>1240881.818</v>
      </c>
      <c r="W283" s="5"/>
    </row>
    <row r="284" spans="1:23" x14ac:dyDescent="0.25">
      <c r="A284" s="131">
        <f>VLOOKUP(B284,Data[],24,FALSE)</f>
        <v>315</v>
      </c>
      <c r="B284" t="s">
        <v>339</v>
      </c>
      <c r="C284" t="str">
        <f>VLOOKUP(B284,Data[],2,FALSE)</f>
        <v>BROOKLYN</v>
      </c>
      <c r="D284" t="str">
        <f>VLOOKUP(all[[#This Row],[DEVELOPMENT]],Data[],3,FALSE)</f>
        <v>PENNSYLVANIA-WORTMAN</v>
      </c>
      <c r="E284">
        <f>VLOOKUP(B284,Data[],8,FALSE)</f>
        <v>0</v>
      </c>
      <c r="F284">
        <f>VLOOKUP(B284,Data[],9,FALSE)</f>
        <v>0</v>
      </c>
      <c r="G284" t="str">
        <f>IFERROR(VLOOKUP(B284,Data[],4,FALSE),"")</f>
        <v/>
      </c>
      <c r="H284" t="str">
        <f ca="1">IF(G284="","",IF((G284-YEAR(TODAY()))&lt;=5,"Yes",""))</f>
        <v/>
      </c>
      <c r="I284">
        <f>VLOOKUP(all[[#This Row],[DEVELOPMENT]],Data[],7,FALSE)</f>
        <v>288</v>
      </c>
      <c r="J284">
        <f>VLOOKUP(all[[#This Row],[DEVELOPMENT]],Data[],25,FALSE)</f>
        <v>0</v>
      </c>
      <c r="K284">
        <f>VLOOKUP(all[[#This Row],[DEVELOPMENT]],Data[],5,FALSE)</f>
        <v>2</v>
      </c>
      <c r="L284">
        <f>VLOOKUP(all[[#This Row],[DEVELOPMENT]],Data[],27,FALSE)</f>
        <v>2</v>
      </c>
      <c r="M284">
        <f>VLOOKUP(all[[#This Row],[DEVELOPMENT]],Data[],31,FALSE)</f>
        <v>2</v>
      </c>
      <c r="N284">
        <f>VLOOKUP(all[[#This Row],[DEVELOPMENT]],Data[],26,FALSE)</f>
        <v>0</v>
      </c>
      <c r="O284">
        <f>VLOOKUP(all[[#This Row],[DEVELOPMENT]],Data[],30,FALSE)</f>
        <v>0</v>
      </c>
      <c r="P284">
        <f>VLOOKUP(all[[#This Row],[DEVELOPMENT]],Data[],28,FALSE)</f>
        <v>0</v>
      </c>
      <c r="Q284">
        <f>IF(all[[#This Row],['# Bulk Crushers]]=0,1,0)</f>
        <v>1</v>
      </c>
      <c r="R284" s="5">
        <f>IFERROR(INDEX(FWD[],MATCH($B284,FWD[DEVELOPMENT],0),MATCH("ESTIMATE",FWD[#Headers],0)),0)</f>
        <v>0</v>
      </c>
      <c r="S284" s="5">
        <f>IFERROR(INDEX(EHD[],MATCH($B284,EHD[DEVELOPMENT],0),MATCH("ESTIMATE",EHD[#Headers],0)),0)</f>
        <v>0</v>
      </c>
      <c r="T284" s="5">
        <f ca="1">IFERROR(INDEX(IntComp[],MATCH($B284,IntComp[DEVELOPMENT],0),MATCH("ESTIMATE",IntComp[#Headers],0)),0)</f>
        <v>147306.78899999999</v>
      </c>
      <c r="U284" s="5">
        <f>IFERROR(INDEX(Yards[],MATCH($B284,Yards[DEVELOPMENT],0),MATCH("ESTIMATE",Yards[#Headers],0)),0)</f>
        <v>1159792.78</v>
      </c>
      <c r="V284" s="128">
        <f ca="1">SUM(R284:U284)</f>
        <v>1307099.5690000001</v>
      </c>
      <c r="W284" s="5"/>
    </row>
    <row r="285" spans="1:23" x14ac:dyDescent="0.25">
      <c r="A285" s="131">
        <f>VLOOKUP(B285,Data[],24,FALSE)</f>
        <v>6</v>
      </c>
      <c r="B285" t="s">
        <v>56</v>
      </c>
      <c r="C285" t="str">
        <f>VLOOKUP(B285,Data[],2,FALSE)</f>
        <v>MANHATTAN</v>
      </c>
      <c r="D285" t="str">
        <f>VLOOKUP(all[[#This Row],[DEVELOPMENT]],Data[],3,FALSE)</f>
        <v>VLADECK</v>
      </c>
      <c r="E285" t="str">
        <f>VLOOKUP(B285,Data[],8,FALSE)</f>
        <v>Zone 1</v>
      </c>
      <c r="F285" t="str">
        <f>VLOOKUP(B285,Data[],9,FALSE)</f>
        <v>$$</v>
      </c>
      <c r="G285" t="str">
        <f>IFERROR(VLOOKUP(B285,Data[],4,FALSE),"")</f>
        <v/>
      </c>
      <c r="H285" t="str">
        <f ca="1">IF(G285="","",IF((G285-YEAR(TODAY()))&lt;=5,"Yes",""))</f>
        <v/>
      </c>
      <c r="I285">
        <f>VLOOKUP(all[[#This Row],[DEVELOPMENT]],Data[],7,FALSE)</f>
        <v>1527</v>
      </c>
      <c r="J285" t="str">
        <f>VLOOKUP(all[[#This Row],[DEVELOPMENT]],Data[],25,FALSE)</f>
        <v>Yes</v>
      </c>
      <c r="K285">
        <f>VLOOKUP(all[[#This Row],[DEVELOPMENT]],Data[],5,FALSE)</f>
        <v>20</v>
      </c>
      <c r="L285">
        <f>VLOOKUP(all[[#This Row],[DEVELOPMENT]],Data[],27,FALSE)</f>
        <v>45</v>
      </c>
      <c r="M285">
        <f>VLOOKUP(all[[#This Row],[DEVELOPMENT]],Data[],31,FALSE)</f>
        <v>2</v>
      </c>
      <c r="N285">
        <f>VLOOKUP(all[[#This Row],[DEVELOPMENT]],Data[],26,FALSE)</f>
        <v>0</v>
      </c>
      <c r="O285">
        <f>VLOOKUP(all[[#This Row],[DEVELOPMENT]],Data[],30,FALSE)</f>
        <v>0</v>
      </c>
      <c r="P285">
        <f>VLOOKUP(all[[#This Row],[DEVELOPMENT]],Data[],28,FALSE)</f>
        <v>0</v>
      </c>
      <c r="Q285">
        <f>IF(all[[#This Row],['# Bulk Crushers]]=0,1,0)</f>
        <v>1</v>
      </c>
      <c r="R285" s="5">
        <f>IFERROR(INDEX(FWD[],MATCH($B285,FWD[DEVELOPMENT],0),MATCH("ESTIMATE",FWD[#Headers],0)),0)</f>
        <v>2624509.7916710917</v>
      </c>
      <c r="S285" s="5">
        <f>IFERROR(INDEX(EHD[],MATCH($B285,EHD[DEVELOPMENT],0),MATCH("ESTIMATE",EHD[#Headers],0)),0)</f>
        <v>334603.95750000002</v>
      </c>
      <c r="T285" s="5">
        <f ca="1">IFERROR(INDEX(IntComp[],MATCH($B285,IntComp[DEVELOPMENT],0),MATCH("ESTIMATE",IntComp[#Headers],0)),0)</f>
        <v>147306.78899999999</v>
      </c>
      <c r="U285" s="5">
        <f>IFERROR(INDEX(Yards[],MATCH($B285,Yards[DEVELOPMENT],0),MATCH("ESTIMATE",Yards[#Headers],0)),0)</f>
        <v>1159792.78</v>
      </c>
      <c r="V285" s="128">
        <f ca="1">SUM(R285:U285)</f>
        <v>4266213.3181710914</v>
      </c>
      <c r="W285" s="5"/>
    </row>
    <row r="286" spans="1:23" x14ac:dyDescent="0.25">
      <c r="A286" s="131">
        <f>VLOOKUP(B286,Data[],24,FALSE)</f>
        <v>7</v>
      </c>
      <c r="B286" t="s">
        <v>108</v>
      </c>
      <c r="C286" t="str">
        <f>VLOOKUP(B286,Data[],2,FALSE)</f>
        <v>MANHATTAN</v>
      </c>
      <c r="D286" t="str">
        <f>VLOOKUP(all[[#This Row],[DEVELOPMENT]],Data[],3,FALSE)</f>
        <v>VLADECK</v>
      </c>
      <c r="E286" t="str">
        <f>VLOOKUP(B286,Data[],8,FALSE)</f>
        <v>Zone 1</v>
      </c>
      <c r="F286" t="str">
        <f>VLOOKUP(B286,Data[],9,FALSE)</f>
        <v>$</v>
      </c>
      <c r="G286" t="str">
        <f>IFERROR(VLOOKUP(B286,Data[],4,FALSE),"")</f>
        <v/>
      </c>
      <c r="H286" t="str">
        <f ca="1">IF(G286="","",IF((G286-YEAR(TODAY()))&lt;=5,"Yes",""))</f>
        <v/>
      </c>
      <c r="I286">
        <f>VLOOKUP(all[[#This Row],[DEVELOPMENT]],Data[],7,FALSE)</f>
        <v>240</v>
      </c>
      <c r="J286" t="str">
        <f>VLOOKUP(all[[#This Row],[DEVELOPMENT]],Data[],25,FALSE)</f>
        <v>Yes</v>
      </c>
      <c r="K286">
        <f>VLOOKUP(all[[#This Row],[DEVELOPMENT]],Data[],5,FALSE)</f>
        <v>4</v>
      </c>
      <c r="L286">
        <f>VLOOKUP(all[[#This Row],[DEVELOPMENT]],Data[],27,FALSE)</f>
        <v>7</v>
      </c>
      <c r="M286">
        <f>VLOOKUP(all[[#This Row],[DEVELOPMENT]],Data[],31,FALSE)</f>
        <v>7</v>
      </c>
      <c r="N286">
        <f>VLOOKUP(all[[#This Row],[DEVELOPMENT]],Data[],26,FALSE)</f>
        <v>0</v>
      </c>
      <c r="O286">
        <f>VLOOKUP(all[[#This Row],[DEVELOPMENT]],Data[],30,FALSE)</f>
        <v>0</v>
      </c>
      <c r="P286">
        <f>VLOOKUP(all[[#This Row],[DEVELOPMENT]],Data[],28,FALSE)</f>
        <v>0</v>
      </c>
      <c r="Q286">
        <f>IF(all[[#This Row],['# Bulk Crushers]]=0,1,0)</f>
        <v>1</v>
      </c>
      <c r="R286" s="5">
        <f>IFERROR(INDEX(FWD[],MATCH($B286,FWD[DEVELOPMENT],0),MATCH("ESTIMATE",FWD[#Headers],0)),0)</f>
        <v>412496.62737463129</v>
      </c>
      <c r="S286" s="5">
        <f>IFERROR(INDEX(EHD[],MATCH($B286,EHD[DEVELOPMENT],0),MATCH("ESTIMATE",EHD[#Headers],0)),0)</f>
        <v>52049.504500000003</v>
      </c>
      <c r="T286" s="5">
        <f ca="1">IFERROR(INDEX(IntComp[],MATCH($B286,IntComp[DEVELOPMENT],0),MATCH("ESTIMATE",IntComp[#Headers],0)),0)</f>
        <v>515573.76149999991</v>
      </c>
      <c r="U286" s="5">
        <f>IFERROR(INDEX(Yards[],MATCH($B286,Yards[DEVELOPMENT],0),MATCH("ESTIMATE",Yards[#Headers],0)),0)</f>
        <v>1159792.78</v>
      </c>
      <c r="V286" s="128">
        <f ca="1">SUM(R286:U286)</f>
        <v>2139912.6733746314</v>
      </c>
      <c r="W286" s="5"/>
    </row>
    <row r="287" spans="1:23" x14ac:dyDescent="0.25">
      <c r="A287" s="131">
        <f>VLOOKUP(B287,Data[],24,FALSE)</f>
        <v>74</v>
      </c>
      <c r="B287" t="s">
        <v>127</v>
      </c>
      <c r="C287" t="str">
        <f>VLOOKUP(B287,Data[],2,FALSE)</f>
        <v>MANHATTAN</v>
      </c>
      <c r="D287" t="str">
        <f>VLOOKUP(all[[#This Row],[DEVELOPMENT]],Data[],3,FALSE)</f>
        <v>WAGNER</v>
      </c>
      <c r="E287" t="str">
        <f>VLOOKUP(B287,Data[],8,FALSE)</f>
        <v>Zone 2</v>
      </c>
      <c r="F287" t="str">
        <f>VLOOKUP(B287,Data[],9,FALSE)</f>
        <v>$</v>
      </c>
      <c r="G287" t="str">
        <f>IFERROR(VLOOKUP(B287,Data[],4,FALSE),"")</f>
        <v/>
      </c>
      <c r="H287" t="str">
        <f ca="1">IF(G287="","",IF((G287-YEAR(TODAY()))&lt;=5,"Yes",""))</f>
        <v/>
      </c>
      <c r="I287">
        <f>VLOOKUP(all[[#This Row],[DEVELOPMENT]],Data[],7,FALSE)</f>
        <v>2151</v>
      </c>
      <c r="J287">
        <f>VLOOKUP(all[[#This Row],[DEVELOPMENT]],Data[],25,FALSE)</f>
        <v>0</v>
      </c>
      <c r="K287">
        <f>VLOOKUP(all[[#This Row],[DEVELOPMENT]],Data[],5,FALSE)</f>
        <v>22</v>
      </c>
      <c r="L287">
        <f>VLOOKUP(all[[#This Row],[DEVELOPMENT]],Data[],27,FALSE)</f>
        <v>22</v>
      </c>
      <c r="M287">
        <f>VLOOKUP(all[[#This Row],[DEVELOPMENT]],Data[],31,FALSE)</f>
        <v>22</v>
      </c>
      <c r="N287">
        <f>VLOOKUP(all[[#This Row],[DEVELOPMENT]],Data[],26,FALSE)</f>
        <v>4</v>
      </c>
      <c r="O287">
        <f>VLOOKUP(all[[#This Row],[DEVELOPMENT]],Data[],30,FALSE)</f>
        <v>4</v>
      </c>
      <c r="P287">
        <f>VLOOKUP(all[[#This Row],[DEVELOPMENT]],Data[],28,FALSE)</f>
        <v>0</v>
      </c>
      <c r="Q287">
        <f>IF(all[[#This Row],['# Bulk Crushers]]=0,1,0)</f>
        <v>1</v>
      </c>
      <c r="R287" s="5">
        <f>IFERROR(INDEX(FWD[],MATCH($B287,FWD[DEVELOPMENT],0),MATCH("ESTIMATE",FWD[#Headers],0)),0)</f>
        <v>0</v>
      </c>
      <c r="S287" s="5">
        <f>IFERROR(INDEX(EHD[],MATCH($B287,EHD[DEVELOPMENT],0),MATCH("ESTIMATE",EHD[#Headers],0)),0)</f>
        <v>163584.15700000001</v>
      </c>
      <c r="T287" s="5">
        <f ca="1">IFERROR(INDEX(IntComp[],MATCH($B287,IntComp[DEVELOPMENT],0),MATCH("ESTIMATE",IntComp[#Headers],0)),0)</f>
        <v>1620374.6789999998</v>
      </c>
      <c r="U287" s="5">
        <f ca="1">IFERROR(INDEX(Yards[],MATCH($B287,Yards[DEVELOPMENT],0),MATCH("ESTIMATE",Yards[#Headers],0)),0)</f>
        <v>2453564.4999999995</v>
      </c>
      <c r="V287" s="128">
        <f ca="1">SUM(R287:U287)</f>
        <v>4237523.3359999992</v>
      </c>
      <c r="W287" s="5"/>
    </row>
    <row r="288" spans="1:23" x14ac:dyDescent="0.25">
      <c r="A288" s="131">
        <f>VLOOKUP(B288,Data[],24,FALSE)</f>
        <v>23</v>
      </c>
      <c r="B288" t="s">
        <v>66</v>
      </c>
      <c r="C288" t="str">
        <f>VLOOKUP(B288,Data[],2,FALSE)</f>
        <v>MANHATTAN</v>
      </c>
      <c r="D288" t="str">
        <f>VLOOKUP(all[[#This Row],[DEVELOPMENT]],Data[],3,FALSE)</f>
        <v>WALD</v>
      </c>
      <c r="E288" t="str">
        <f>VLOOKUP(B288,Data[],8,FALSE)</f>
        <v>Zone 1</v>
      </c>
      <c r="F288" t="str">
        <f>VLOOKUP(B288,Data[],9,FALSE)</f>
        <v>$</v>
      </c>
      <c r="G288" t="str">
        <f>IFERROR(VLOOKUP(B288,Data[],4,FALSE),"")</f>
        <v/>
      </c>
      <c r="H288" t="str">
        <f ca="1">IF(G288="","",IF((G288-YEAR(TODAY()))&lt;=5,"Yes",""))</f>
        <v/>
      </c>
      <c r="I288">
        <f>VLOOKUP(all[[#This Row],[DEVELOPMENT]],Data[],7,FALSE)</f>
        <v>1861</v>
      </c>
      <c r="J288" t="str">
        <f>VLOOKUP(all[[#This Row],[DEVELOPMENT]],Data[],25,FALSE)</f>
        <v>Yes</v>
      </c>
      <c r="K288">
        <f>VLOOKUP(all[[#This Row],[DEVELOPMENT]],Data[],5,FALSE)</f>
        <v>16</v>
      </c>
      <c r="L288">
        <f>VLOOKUP(all[[#This Row],[DEVELOPMENT]],Data[],27,FALSE)</f>
        <v>17</v>
      </c>
      <c r="M288">
        <f>VLOOKUP(all[[#This Row],[DEVELOPMENT]],Data[],31,FALSE)</f>
        <v>17</v>
      </c>
      <c r="N288">
        <f>VLOOKUP(all[[#This Row],[DEVELOPMENT]],Data[],26,FALSE)</f>
        <v>3</v>
      </c>
      <c r="O288">
        <f>VLOOKUP(all[[#This Row],[DEVELOPMENT]],Data[],30,FALSE)</f>
        <v>3</v>
      </c>
      <c r="P288">
        <f>VLOOKUP(all[[#This Row],[DEVELOPMENT]],Data[],28,FALSE)</f>
        <v>0</v>
      </c>
      <c r="Q288">
        <f>IF(all[[#This Row],['# Bulk Crushers]]=0,1,0)</f>
        <v>1</v>
      </c>
      <c r="R288" s="5">
        <f>IFERROR(INDEX(FWD[],MATCH($B288,FWD[DEVELOPMENT],0),MATCH("ESTIMATE",FWD[#Headers],0)),0)</f>
        <v>3198567.5981007866</v>
      </c>
      <c r="S288" s="5">
        <f>IFERROR(INDEX(EHD[],MATCH($B288,EHD[DEVELOPMENT],0),MATCH("ESTIMATE",EHD[#Headers],0)),0)</f>
        <v>126405.93950000001</v>
      </c>
      <c r="T288" s="5">
        <f ca="1">IFERROR(INDEX(IntComp[],MATCH($B288,IntComp[DEVELOPMENT],0),MATCH("ESTIMATE",IntComp[#Headers],0)),0)</f>
        <v>1252107.7064999999</v>
      </c>
      <c r="U288" s="5">
        <f ca="1">IFERROR(INDEX(Yards[],MATCH($B288,Yards[DEVELOPMENT],0),MATCH("ESTIMATE",Yards[#Headers],0)),0)</f>
        <v>2022307.2600000005</v>
      </c>
      <c r="V288" s="128">
        <f ca="1">SUM(R288:U288)</f>
        <v>6599388.5041007875</v>
      </c>
      <c r="W288" s="5"/>
    </row>
    <row r="289" spans="1:23" x14ac:dyDescent="0.25">
      <c r="A289" s="131">
        <f>VLOOKUP(B289,Data[],24,FALSE)</f>
        <v>62</v>
      </c>
      <c r="B289" t="s">
        <v>137</v>
      </c>
      <c r="C289" t="str">
        <f>VLOOKUP(B289,Data[],2,FALSE)</f>
        <v>MANHATTAN</v>
      </c>
      <c r="D289" t="str">
        <f>VLOOKUP(all[[#This Row],[DEVELOPMENT]],Data[],3,FALSE)</f>
        <v>WASHINGTON</v>
      </c>
      <c r="E289" t="str">
        <f>VLOOKUP(B289,Data[],8,FALSE)</f>
        <v>Zone 2</v>
      </c>
      <c r="F289" t="str">
        <f>VLOOKUP(B289,Data[],9,FALSE)</f>
        <v>$$$</v>
      </c>
      <c r="G289">
        <f>IFERROR(VLOOKUP(B289,Data[],4,FALSE),"")</f>
        <v>2023</v>
      </c>
      <c r="H289" t="str">
        <f ca="1">IF(G289="","",IF((G289-YEAR(TODAY()))&lt;=5,"Yes",""))</f>
        <v>Yes</v>
      </c>
      <c r="I289">
        <f>VLOOKUP(all[[#This Row],[DEVELOPMENT]],Data[],7,FALSE)</f>
        <v>1515</v>
      </c>
      <c r="J289">
        <f>VLOOKUP(all[[#This Row],[DEVELOPMENT]],Data[],25,FALSE)</f>
        <v>0</v>
      </c>
      <c r="K289">
        <f>VLOOKUP(all[[#This Row],[DEVELOPMENT]],Data[],5,FALSE)</f>
        <v>14</v>
      </c>
      <c r="L289">
        <f>VLOOKUP(all[[#This Row],[DEVELOPMENT]],Data[],27,FALSE)</f>
        <v>14</v>
      </c>
      <c r="M289">
        <f>VLOOKUP(all[[#This Row],[DEVELOPMENT]],Data[],31,FALSE)</f>
        <v>14</v>
      </c>
      <c r="N289">
        <f>VLOOKUP(all[[#This Row],[DEVELOPMENT]],Data[],26,FALSE)</f>
        <v>1</v>
      </c>
      <c r="O289">
        <f>VLOOKUP(all[[#This Row],[DEVELOPMENT]],Data[],30,FALSE)</f>
        <v>1</v>
      </c>
      <c r="P289">
        <f>VLOOKUP(all[[#This Row],[DEVELOPMENT]],Data[],28,FALSE)</f>
        <v>1</v>
      </c>
      <c r="Q289">
        <f>IF(all[[#This Row],['# Bulk Crushers]]=0,1,0)</f>
        <v>0</v>
      </c>
      <c r="R289" s="5">
        <f>IFERROR(INDEX(FWD[],MATCH($B289,FWD[DEVELOPMENT],0),MATCH("ESTIMATE",FWD[#Headers],0)),0)</f>
        <v>0</v>
      </c>
      <c r="S289" s="5">
        <f>IFERROR(INDEX(EHD[],MATCH($B289,EHD[DEVELOPMENT],0),MATCH("ESTIMATE",EHD[#Headers],0)),0)</f>
        <v>104099.00900000001</v>
      </c>
      <c r="T289" s="5">
        <f ca="1">IFERROR(INDEX(IntComp[],MATCH($B289,IntComp[DEVELOPMENT],0),MATCH("ESTIMATE",IntComp[#Headers],0)),0)</f>
        <v>0</v>
      </c>
      <c r="U289" s="5">
        <f>IFERROR(INDEX(Yards[],MATCH($B289,Yards[DEVELOPMENT],0),MATCH("ESTIMATE",Yards[#Headers],0)),0)</f>
        <v>0</v>
      </c>
      <c r="V289" s="128">
        <f ca="1">SUM(R289:U289)</f>
        <v>104099.00900000001</v>
      </c>
      <c r="W289" s="5"/>
    </row>
    <row r="290" spans="1:23" x14ac:dyDescent="0.25">
      <c r="A290" s="131">
        <f>VLOOKUP(B290,Data[],24,FALSE)</f>
        <v>293</v>
      </c>
      <c r="B290" t="s">
        <v>340</v>
      </c>
      <c r="C290" t="str">
        <f>VLOOKUP(B290,Data[],2,FALSE)</f>
        <v>MANHATTAN</v>
      </c>
      <c r="D290" t="str">
        <f>VLOOKUP(all[[#This Row],[DEVELOPMENT]],Data[],3,FALSE)</f>
        <v>FORT WASHINGTON</v>
      </c>
      <c r="E290">
        <f>VLOOKUP(B290,Data[],8,FALSE)</f>
        <v>0</v>
      </c>
      <c r="F290">
        <f>VLOOKUP(B290,Data[],9,FALSE)</f>
        <v>0</v>
      </c>
      <c r="G290">
        <f>IFERROR(VLOOKUP(B290,Data[],4,FALSE),"")</f>
        <v>2019</v>
      </c>
      <c r="H290" t="str">
        <f ca="1">IF(G290="","",IF((G290-YEAR(TODAY()))&lt;=5,"Yes",""))</f>
        <v>Yes</v>
      </c>
      <c r="I290">
        <f>VLOOKUP(all[[#This Row],[DEVELOPMENT]],Data[],7,FALSE)</f>
        <v>215</v>
      </c>
      <c r="J290">
        <f>VLOOKUP(all[[#This Row],[DEVELOPMENT]],Data[],25,FALSE)</f>
        <v>0</v>
      </c>
      <c r="K290">
        <f>VLOOKUP(all[[#This Row],[DEVELOPMENT]],Data[],5,FALSE)</f>
        <v>5</v>
      </c>
      <c r="L290">
        <f>VLOOKUP(all[[#This Row],[DEVELOPMENT]],Data[],27,FALSE)</f>
        <v>6</v>
      </c>
      <c r="M290">
        <f>VLOOKUP(all[[#This Row],[DEVELOPMENT]],Data[],31,FALSE)</f>
        <v>6</v>
      </c>
      <c r="N290">
        <f>VLOOKUP(all[[#This Row],[DEVELOPMENT]],Data[],26,FALSE)</f>
        <v>0</v>
      </c>
      <c r="O290">
        <f>VLOOKUP(all[[#This Row],[DEVELOPMENT]],Data[],30,FALSE)</f>
        <v>0</v>
      </c>
      <c r="P290">
        <f>VLOOKUP(all[[#This Row],[DEVELOPMENT]],Data[],28,FALSE)</f>
        <v>0</v>
      </c>
      <c r="Q290">
        <f>IF(all[[#This Row],['# Bulk Crushers]]=0,1,0)</f>
        <v>1</v>
      </c>
      <c r="R290" s="5">
        <f>IFERROR(INDEX(FWD[],MATCH($B290,FWD[DEVELOPMENT],0),MATCH("ESTIMATE",FWD[#Headers],0)),0)</f>
        <v>0</v>
      </c>
      <c r="S290" s="5">
        <f>IFERROR(INDEX(EHD[],MATCH($B290,EHD[DEVELOPMENT],0),MATCH("ESTIMATE",EHD[#Headers],0)),0)</f>
        <v>0</v>
      </c>
      <c r="T290" s="5">
        <f ca="1">IFERROR(INDEX(IntComp[],MATCH($B290,IntComp[DEVELOPMENT],0),MATCH("ESTIMATE",IntComp[#Headers],0)),0)</f>
        <v>0</v>
      </c>
      <c r="U290" s="5">
        <f>IFERROR(INDEX(Yards[],MATCH($B290,Yards[DEVELOPMENT],0),MATCH("ESTIMATE",Yards[#Headers],0)),0)</f>
        <v>0</v>
      </c>
      <c r="V290" s="128">
        <f ca="1">SUM(R290:U290)</f>
        <v>0</v>
      </c>
      <c r="W290" s="5"/>
    </row>
    <row r="291" spans="1:23" x14ac:dyDescent="0.25">
      <c r="A291" s="131">
        <f>VLOOKUP(B291,Data[],24,FALSE)</f>
        <v>523</v>
      </c>
      <c r="B291" t="s">
        <v>341</v>
      </c>
      <c r="C291" t="str">
        <f>VLOOKUP(B291,Data[],2,FALSE)</f>
        <v>MANHATTAN</v>
      </c>
      <c r="D291" t="e">
        <f>VLOOKUP(all[[#This Row],[DEVELOPMENT]],Data[],3,FALSE)</f>
        <v>#N/A</v>
      </c>
      <c r="E291">
        <f>VLOOKUP(B291,Data[],8,FALSE)</f>
        <v>0</v>
      </c>
      <c r="F291">
        <f>VLOOKUP(B291,Data[],9,FALSE)</f>
        <v>0</v>
      </c>
      <c r="G291" t="str">
        <f>IFERROR(VLOOKUP(B291,Data[],4,FALSE),"")</f>
        <v/>
      </c>
      <c r="H291" t="str">
        <f ca="1">IF(G291="","",IF((G291-YEAR(TODAY()))&lt;=5,"Yes",""))</f>
        <v/>
      </c>
      <c r="I291">
        <f>VLOOKUP(all[[#This Row],[DEVELOPMENT]],Data[],7,FALSE)</f>
        <v>88</v>
      </c>
      <c r="J291">
        <f>VLOOKUP(all[[#This Row],[DEVELOPMENT]],Data[],25,FALSE)</f>
        <v>0</v>
      </c>
      <c r="K291">
        <f>VLOOKUP(all[[#This Row],[DEVELOPMENT]],Data[],5,FALSE)</f>
        <v>7</v>
      </c>
      <c r="L291">
        <f>VLOOKUP(all[[#This Row],[DEVELOPMENT]],Data[],27,FALSE)</f>
        <v>3</v>
      </c>
      <c r="M291">
        <f>VLOOKUP(all[[#This Row],[DEVELOPMENT]],Data[],31,FALSE)</f>
        <v>3</v>
      </c>
      <c r="N291">
        <f>VLOOKUP(all[[#This Row],[DEVELOPMENT]],Data[],26,FALSE)</f>
        <v>0</v>
      </c>
      <c r="O291">
        <f>VLOOKUP(all[[#This Row],[DEVELOPMENT]],Data[],30,FALSE)</f>
        <v>0</v>
      </c>
      <c r="P291">
        <f>VLOOKUP(all[[#This Row],[DEVELOPMENT]],Data[],28,FALSE)</f>
        <v>0</v>
      </c>
      <c r="Q291">
        <f>IF(all[[#This Row],['# Bulk Crushers]]=0,1,0)</f>
        <v>1</v>
      </c>
      <c r="R291" s="5">
        <f>IFERROR(INDEX(FWD[],MATCH($B291,FWD[DEVELOPMENT],0),MATCH("ESTIMATE",FWD[#Headers],0)),0)</f>
        <v>0</v>
      </c>
      <c r="S291" s="5">
        <f>IFERROR(INDEX(EHD[],MATCH($B291,EHD[DEVELOPMENT],0),MATCH("ESTIMATE",EHD[#Headers],0)),0)</f>
        <v>22306.930500000002</v>
      </c>
      <c r="T291" s="5">
        <f ca="1">IFERROR(INDEX(IntComp[],MATCH($B291,IntComp[DEVELOPMENT],0),MATCH("ESTIMATE",IntComp[#Headers],0)),0)</f>
        <v>220960.18349999996</v>
      </c>
      <c r="U291" s="5">
        <f>IFERROR(INDEX(Yards[],MATCH($B291,Yards[DEVELOPMENT],0),MATCH("ESTIMATE",Yards[#Headers],0)),0)</f>
        <v>1159792.78</v>
      </c>
      <c r="V291" s="128">
        <f ca="1">SUM(R291:U291)</f>
        <v>1403059.8939999999</v>
      </c>
      <c r="W291" s="5"/>
    </row>
    <row r="292" spans="1:23" x14ac:dyDescent="0.25">
      <c r="A292" s="131">
        <f>VLOOKUP(B292,Data[],24,FALSE)</f>
        <v>329</v>
      </c>
      <c r="B292" t="s">
        <v>342</v>
      </c>
      <c r="C292" t="str">
        <f>VLOOKUP(B292,Data[],2,FALSE)</f>
        <v>MANHATTAN</v>
      </c>
      <c r="D292" t="e">
        <f>VLOOKUP(all[[#This Row],[DEVELOPMENT]],Data[],3,FALSE)</f>
        <v>#N/A</v>
      </c>
      <c r="E292">
        <f>VLOOKUP(B292,Data[],8,FALSE)</f>
        <v>0</v>
      </c>
      <c r="F292">
        <f>VLOOKUP(B292,Data[],9,FALSE)</f>
        <v>0</v>
      </c>
      <c r="G292" t="str">
        <f>IFERROR(VLOOKUP(B292,Data[],4,FALSE),"")</f>
        <v/>
      </c>
      <c r="H292" t="str">
        <f ca="1">IF(G292="","",IF((G292-YEAR(TODAY()))&lt;=5,"Yes",""))</f>
        <v/>
      </c>
      <c r="I292">
        <f>VLOOKUP(all[[#This Row],[DEVELOPMENT]],Data[],7,FALSE)</f>
        <v>14</v>
      </c>
      <c r="J292">
        <f>VLOOKUP(all[[#This Row],[DEVELOPMENT]],Data[],25,FALSE)</f>
        <v>0</v>
      </c>
      <c r="K292">
        <f>VLOOKUP(all[[#This Row],[DEVELOPMENT]],Data[],5,FALSE)</f>
        <v>1</v>
      </c>
      <c r="L292">
        <f>VLOOKUP(all[[#This Row],[DEVELOPMENT]],Data[],27,FALSE)</f>
        <v>1</v>
      </c>
      <c r="M292">
        <f>VLOOKUP(all[[#This Row],[DEVELOPMENT]],Data[],31,FALSE)</f>
        <v>1</v>
      </c>
      <c r="N292">
        <f>VLOOKUP(all[[#This Row],[DEVELOPMENT]],Data[],26,FALSE)</f>
        <v>0</v>
      </c>
      <c r="O292">
        <f>VLOOKUP(all[[#This Row],[DEVELOPMENT]],Data[],30,FALSE)</f>
        <v>0</v>
      </c>
      <c r="P292">
        <f>VLOOKUP(all[[#This Row],[DEVELOPMENT]],Data[],28,FALSE)</f>
        <v>0</v>
      </c>
      <c r="Q292">
        <f>IF(all[[#This Row],['# Bulk Crushers]]=0,1,0)</f>
        <v>1</v>
      </c>
      <c r="R292" s="5">
        <f>IFERROR(INDEX(FWD[],MATCH($B292,FWD[DEVELOPMENT],0),MATCH("ESTIMATE",FWD[#Headers],0)),0)</f>
        <v>0</v>
      </c>
      <c r="S292" s="5">
        <f>IFERROR(INDEX(EHD[],MATCH($B292,EHD[DEVELOPMENT],0),MATCH("ESTIMATE",EHD[#Headers],0)),0)</f>
        <v>7435.6435000000001</v>
      </c>
      <c r="T292" s="5">
        <f ca="1">IFERROR(INDEX(IntComp[],MATCH($B292,IntComp[DEVELOPMENT],0),MATCH("ESTIMATE",IntComp[#Headers],0)),0)</f>
        <v>73653.394499999995</v>
      </c>
      <c r="U292" s="5">
        <f>IFERROR(INDEX(Yards[],MATCH($B292,Yards[DEVELOPMENT],0),MATCH("ESTIMATE",Yards[#Headers],0)),0)</f>
        <v>1159792.78</v>
      </c>
      <c r="V292" s="128">
        <f ca="1">SUM(R292:U292)</f>
        <v>1240881.818</v>
      </c>
      <c r="W292" s="5"/>
    </row>
    <row r="293" spans="1:23" x14ac:dyDescent="0.25">
      <c r="A293" s="131">
        <f>VLOOKUP(B293,Data[],24,FALSE)</f>
        <v>330</v>
      </c>
      <c r="B293" t="s">
        <v>343</v>
      </c>
      <c r="C293" t="str">
        <f>VLOOKUP(B293,Data[],2,FALSE)</f>
        <v>MANHATTAN</v>
      </c>
      <c r="D293" t="str">
        <f>VLOOKUP(all[[#This Row],[DEVELOPMENT]],Data[],3,FALSE)</f>
        <v>FORT WASHINGTON</v>
      </c>
      <c r="E293">
        <f>VLOOKUP(B293,Data[],8,FALSE)</f>
        <v>0</v>
      </c>
      <c r="F293">
        <f>VLOOKUP(B293,Data[],9,FALSE)</f>
        <v>0</v>
      </c>
      <c r="G293">
        <f>IFERROR(VLOOKUP(B293,Data[],4,FALSE),"")</f>
        <v>2019</v>
      </c>
      <c r="H293" t="str">
        <f ca="1">IF(G293="","",IF((G293-YEAR(TODAY()))&lt;=5,"Yes",""))</f>
        <v>Yes</v>
      </c>
      <c r="I293">
        <f>VLOOKUP(all[[#This Row],[DEVELOPMENT]],Data[],7,FALSE)</f>
        <v>32</v>
      </c>
      <c r="J293">
        <f>VLOOKUP(all[[#This Row],[DEVELOPMENT]],Data[],25,FALSE)</f>
        <v>0</v>
      </c>
      <c r="K293">
        <f>VLOOKUP(all[[#This Row],[DEVELOPMENT]],Data[],5,FALSE)</f>
        <v>2</v>
      </c>
      <c r="L293">
        <f>VLOOKUP(all[[#This Row],[DEVELOPMENT]],Data[],27,FALSE)</f>
        <v>2</v>
      </c>
      <c r="M293">
        <f>VLOOKUP(all[[#This Row],[DEVELOPMENT]],Data[],31,FALSE)</f>
        <v>2</v>
      </c>
      <c r="N293">
        <f>VLOOKUP(all[[#This Row],[DEVELOPMENT]],Data[],26,FALSE)</f>
        <v>0</v>
      </c>
      <c r="O293">
        <f>VLOOKUP(all[[#This Row],[DEVELOPMENT]],Data[],30,FALSE)</f>
        <v>0</v>
      </c>
      <c r="P293">
        <f>VLOOKUP(all[[#This Row],[DEVELOPMENT]],Data[],28,FALSE)</f>
        <v>0</v>
      </c>
      <c r="Q293">
        <f>IF(all[[#This Row],['# Bulk Crushers]]=0,1,0)</f>
        <v>1</v>
      </c>
      <c r="R293" s="5">
        <f>IFERROR(INDEX(FWD[],MATCH($B293,FWD[DEVELOPMENT],0),MATCH("ESTIMATE",FWD[#Headers],0)),0)</f>
        <v>0</v>
      </c>
      <c r="S293" s="5">
        <f>IFERROR(INDEX(EHD[],MATCH($B293,EHD[DEVELOPMENT],0),MATCH("ESTIMATE",EHD[#Headers],0)),0)</f>
        <v>0</v>
      </c>
      <c r="T293" s="5">
        <f ca="1">IFERROR(INDEX(IntComp[],MATCH($B293,IntComp[DEVELOPMENT],0),MATCH("ESTIMATE",IntComp[#Headers],0)),0)</f>
        <v>0</v>
      </c>
      <c r="U293" s="5">
        <f>IFERROR(INDEX(Yards[],MATCH($B293,Yards[DEVELOPMENT],0),MATCH("ESTIMATE",Yards[#Headers],0)),0)</f>
        <v>0</v>
      </c>
      <c r="V293" s="128">
        <f ca="1">SUM(R293:U293)</f>
        <v>0</v>
      </c>
      <c r="W293" s="5"/>
    </row>
    <row r="294" spans="1:23" x14ac:dyDescent="0.25">
      <c r="A294" s="131">
        <f>VLOOKUP(B294,Data[],24,FALSE)</f>
        <v>331</v>
      </c>
      <c r="B294" t="s">
        <v>344</v>
      </c>
      <c r="C294" t="str">
        <f>VLOOKUP(B294,Data[],2,FALSE)</f>
        <v>MANHATTAN</v>
      </c>
      <c r="D294" t="str">
        <f>VLOOKUP(all[[#This Row],[DEVELOPMENT]],Data[],3,FALSE)</f>
        <v>FORT WASHINGTON</v>
      </c>
      <c r="E294">
        <f>VLOOKUP(B294,Data[],8,FALSE)</f>
        <v>0</v>
      </c>
      <c r="F294">
        <f>VLOOKUP(B294,Data[],9,FALSE)</f>
        <v>0</v>
      </c>
      <c r="G294">
        <f>IFERROR(VLOOKUP(B294,Data[],4,FALSE),"")</f>
        <v>2019</v>
      </c>
      <c r="H294" t="str">
        <f ca="1">IF(G294="","",IF((G294-YEAR(TODAY()))&lt;=5,"Yes",""))</f>
        <v>Yes</v>
      </c>
      <c r="I294">
        <f>VLOOKUP(all[[#This Row],[DEVELOPMENT]],Data[],7,FALSE)</f>
        <v>32</v>
      </c>
      <c r="J294">
        <f>VLOOKUP(all[[#This Row],[DEVELOPMENT]],Data[],25,FALSE)</f>
        <v>0</v>
      </c>
      <c r="K294">
        <f>VLOOKUP(all[[#This Row],[DEVELOPMENT]],Data[],5,FALSE)</f>
        <v>2</v>
      </c>
      <c r="L294">
        <f>VLOOKUP(all[[#This Row],[DEVELOPMENT]],Data[],27,FALSE)</f>
        <v>2</v>
      </c>
      <c r="M294">
        <f>VLOOKUP(all[[#This Row],[DEVELOPMENT]],Data[],31,FALSE)</f>
        <v>2</v>
      </c>
      <c r="N294">
        <f>VLOOKUP(all[[#This Row],[DEVELOPMENT]],Data[],26,FALSE)</f>
        <v>0</v>
      </c>
      <c r="O294">
        <f>VLOOKUP(all[[#This Row],[DEVELOPMENT]],Data[],30,FALSE)</f>
        <v>0</v>
      </c>
      <c r="P294">
        <f>VLOOKUP(all[[#This Row],[DEVELOPMENT]],Data[],28,FALSE)</f>
        <v>0</v>
      </c>
      <c r="Q294">
        <f>IF(all[[#This Row],['# Bulk Crushers]]=0,1,0)</f>
        <v>1</v>
      </c>
      <c r="R294" s="5">
        <f>IFERROR(INDEX(FWD[],MATCH($B294,FWD[DEVELOPMENT],0),MATCH("ESTIMATE",FWD[#Headers],0)),0)</f>
        <v>0</v>
      </c>
      <c r="S294" s="5">
        <f>IFERROR(INDEX(EHD[],MATCH($B294,EHD[DEVELOPMENT],0),MATCH("ESTIMATE",EHD[#Headers],0)),0)</f>
        <v>0</v>
      </c>
      <c r="T294" s="5">
        <f ca="1">IFERROR(INDEX(IntComp[],MATCH($B294,IntComp[DEVELOPMENT],0),MATCH("ESTIMATE",IntComp[#Headers],0)),0)</f>
        <v>0</v>
      </c>
      <c r="U294" s="5">
        <f>IFERROR(INDEX(Yards[],MATCH($B294,Yards[DEVELOPMENT],0),MATCH("ESTIMATE",Yards[#Headers],0)),0)</f>
        <v>0</v>
      </c>
      <c r="V294" s="128">
        <f ca="1">SUM(R294:U294)</f>
        <v>0</v>
      </c>
      <c r="W294" s="5"/>
    </row>
    <row r="295" spans="1:23" x14ac:dyDescent="0.25">
      <c r="A295" s="131">
        <f>VLOOKUP(B295,Data[],24,FALSE)</f>
        <v>141</v>
      </c>
      <c r="B295" t="s">
        <v>47</v>
      </c>
      <c r="C295" t="str">
        <f>VLOOKUP(B295,Data[],2,FALSE)</f>
        <v>BRONX</v>
      </c>
      <c r="D295" t="str">
        <f>VLOOKUP(all[[#This Row],[DEVELOPMENT]],Data[],3,FALSE)</f>
        <v>WEBSTER</v>
      </c>
      <c r="E295" t="str">
        <f>VLOOKUP(B295,Data[],8,FALSE)</f>
        <v>Zone 1</v>
      </c>
      <c r="F295" t="str">
        <f>VLOOKUP(B295,Data[],9,FALSE)</f>
        <v>$</v>
      </c>
      <c r="G295" t="str">
        <f>IFERROR(VLOOKUP(B295,Data[],4,FALSE),"")</f>
        <v/>
      </c>
      <c r="H295" t="str">
        <f ca="1">IF(G295="","",IF((G295-YEAR(TODAY()))&lt;=5,"Yes",""))</f>
        <v/>
      </c>
      <c r="I295">
        <f>VLOOKUP(all[[#This Row],[DEVELOPMENT]],Data[],7,FALSE)</f>
        <v>606</v>
      </c>
      <c r="J295">
        <f>VLOOKUP(all[[#This Row],[DEVELOPMENT]],Data[],25,FALSE)</f>
        <v>0</v>
      </c>
      <c r="K295">
        <f>VLOOKUP(all[[#This Row],[DEVELOPMENT]],Data[],5,FALSE)</f>
        <v>5</v>
      </c>
      <c r="L295">
        <f>VLOOKUP(all[[#This Row],[DEVELOPMENT]],Data[],27,FALSE)</f>
        <v>5</v>
      </c>
      <c r="M295">
        <f>VLOOKUP(all[[#This Row],[DEVELOPMENT]],Data[],31,FALSE)</f>
        <v>5</v>
      </c>
      <c r="N295">
        <f>VLOOKUP(all[[#This Row],[DEVELOPMENT]],Data[],26,FALSE)</f>
        <v>2</v>
      </c>
      <c r="O295">
        <f>VLOOKUP(all[[#This Row],[DEVELOPMENT]],Data[],30,FALSE)</f>
        <v>2</v>
      </c>
      <c r="P295">
        <f>VLOOKUP(all[[#This Row],[DEVELOPMENT]],Data[],28,FALSE)</f>
        <v>0</v>
      </c>
      <c r="Q295">
        <f>IF(all[[#This Row],['# Bulk Crushers]]=0,1,0)</f>
        <v>1</v>
      </c>
      <c r="R295" s="5">
        <f>IFERROR(INDEX(FWD[],MATCH($B295,FWD[DEVELOPMENT],0),MATCH("ESTIMATE",FWD[#Headers],0)),0)</f>
        <v>0</v>
      </c>
      <c r="S295" s="5">
        <f>IFERROR(INDEX(EHD[],MATCH($B295,EHD[DEVELOPMENT],0),MATCH("ESTIMATE",EHD[#Headers],0)),0)</f>
        <v>0</v>
      </c>
      <c r="T295" s="5">
        <f ca="1">IFERROR(INDEX(IntComp[],MATCH($B295,IntComp[DEVELOPMENT],0),MATCH("ESTIMATE",IntComp[#Headers],0)),0)</f>
        <v>368266.97249999997</v>
      </c>
      <c r="U295" s="5">
        <f ca="1">IFERROR(INDEX(Yards[],MATCH($B295,Yards[DEVELOPMENT],0),MATCH("ESTIMATE",Yards[#Headers],0)),0)</f>
        <v>1591050.0199999998</v>
      </c>
      <c r="V295" s="128">
        <f ca="1">SUM(R295:U295)</f>
        <v>1959316.9924999997</v>
      </c>
      <c r="W295" s="5"/>
    </row>
    <row r="296" spans="1:23" x14ac:dyDescent="0.25">
      <c r="A296" s="131">
        <f>VLOOKUP(B296,Data[],24,FALSE)</f>
        <v>229</v>
      </c>
      <c r="B296" t="s">
        <v>345</v>
      </c>
      <c r="C296" t="str">
        <f>VLOOKUP(B296,Data[],2,FALSE)</f>
        <v>BROOKLYN</v>
      </c>
      <c r="D296" t="str">
        <f>VLOOKUP(all[[#This Row],[DEVELOPMENT]],Data[],3,FALSE)</f>
        <v>ALBANY</v>
      </c>
      <c r="E296">
        <f>VLOOKUP(B296,Data[],8,FALSE)</f>
        <v>0</v>
      </c>
      <c r="F296">
        <f>VLOOKUP(B296,Data[],9,FALSE)</f>
        <v>0</v>
      </c>
      <c r="G296">
        <f>IFERROR(VLOOKUP(B296,Data[],4,FALSE),"")</f>
        <v>2019</v>
      </c>
      <c r="H296" t="str">
        <f ca="1">IF(G296="","",IF((G296-YEAR(TODAY()))&lt;=5,"Yes",""))</f>
        <v>Yes</v>
      </c>
      <c r="I296">
        <f>VLOOKUP(all[[#This Row],[DEVELOPMENT]],Data[],7,FALSE)</f>
        <v>256</v>
      </c>
      <c r="J296" t="str">
        <f>VLOOKUP(all[[#This Row],[DEVELOPMENT]],Data[],25,FALSE)</f>
        <v>Yes</v>
      </c>
      <c r="K296">
        <f>VLOOKUP(all[[#This Row],[DEVELOPMENT]],Data[],5,FALSE)</f>
        <v>2</v>
      </c>
      <c r="L296">
        <f>VLOOKUP(all[[#This Row],[DEVELOPMENT]],Data[],27,FALSE)</f>
        <v>0</v>
      </c>
      <c r="M296">
        <f>VLOOKUP(all[[#This Row],[DEVELOPMENT]],Data[],31,FALSE)</f>
        <v>0</v>
      </c>
      <c r="N296">
        <f>VLOOKUP(all[[#This Row],[DEVELOPMENT]],Data[],26,FALSE)</f>
        <v>0</v>
      </c>
      <c r="O296">
        <f>VLOOKUP(all[[#This Row],[DEVELOPMENT]],Data[],30,FALSE)</f>
        <v>0</v>
      </c>
      <c r="P296">
        <f>VLOOKUP(all[[#This Row],[DEVELOPMENT]],Data[],28,FALSE)</f>
        <v>0</v>
      </c>
      <c r="Q296">
        <f>IF(all[[#This Row],['# Bulk Crushers]]=0,1,0)</f>
        <v>1</v>
      </c>
      <c r="R296" s="5">
        <f>IFERROR(INDEX(FWD[],MATCH($B296,FWD[DEVELOPMENT],0),MATCH("ESTIMATE",FWD[#Headers],0)),0)</f>
        <v>0</v>
      </c>
      <c r="S296" s="5">
        <f>IFERROR(INDEX(EHD[],MATCH($B296,EHD[DEVELOPMENT],0),MATCH("ESTIMATE",EHD[#Headers],0)),0)</f>
        <v>0</v>
      </c>
      <c r="T296" s="5">
        <f ca="1">IFERROR(INDEX(IntComp[],MATCH($B296,IntComp[DEVELOPMENT],0),MATCH("ESTIMATE",IntComp[#Headers],0)),0)</f>
        <v>0</v>
      </c>
      <c r="U296" s="5">
        <f>IFERROR(INDEX(Yards[],MATCH($B296,Yards[DEVELOPMENT],0),MATCH("ESTIMATE",Yards[#Headers],0)),0)</f>
        <v>0</v>
      </c>
      <c r="V296" s="128">
        <f ca="1">SUM(R296:U296)</f>
        <v>0</v>
      </c>
      <c r="W296" s="5"/>
    </row>
    <row r="297" spans="1:23" x14ac:dyDescent="0.25">
      <c r="A297" s="131">
        <f>VLOOKUP(B297,Data[],24,FALSE)</f>
        <v>116</v>
      </c>
      <c r="B297" t="s">
        <v>346</v>
      </c>
      <c r="C297" t="str">
        <f>VLOOKUP(B297,Data[],2,FALSE)</f>
        <v>STATEN ISLAND</v>
      </c>
      <c r="D297" t="str">
        <f>VLOOKUP(all[[#This Row],[DEVELOPMENT]],Data[],3,FALSE)</f>
        <v>WEST BRIGHTON I</v>
      </c>
      <c r="E297">
        <f>VLOOKUP(B297,Data[],8,FALSE)</f>
        <v>0</v>
      </c>
      <c r="F297">
        <f>VLOOKUP(B297,Data[],9,FALSE)</f>
        <v>0</v>
      </c>
      <c r="G297" t="str">
        <f>IFERROR(VLOOKUP(B297,Data[],4,FALSE),"")</f>
        <v/>
      </c>
      <c r="H297" t="str">
        <f ca="1">IF(G297="","",IF((G297-YEAR(TODAY()))&lt;=5,"Yes",""))</f>
        <v/>
      </c>
      <c r="I297">
        <f>VLOOKUP(all[[#This Row],[DEVELOPMENT]],Data[],7,FALSE)</f>
        <v>487</v>
      </c>
      <c r="J297">
        <f>VLOOKUP(all[[#This Row],[DEVELOPMENT]],Data[],25,FALSE)</f>
        <v>0</v>
      </c>
      <c r="K297">
        <f>VLOOKUP(all[[#This Row],[DEVELOPMENT]],Data[],5,FALSE)</f>
        <v>8</v>
      </c>
      <c r="L297">
        <f>VLOOKUP(all[[#This Row],[DEVELOPMENT]],Data[],27,FALSE)</f>
        <v>8</v>
      </c>
      <c r="M297">
        <f>VLOOKUP(all[[#This Row],[DEVELOPMENT]],Data[],31,FALSE)</f>
        <v>8</v>
      </c>
      <c r="N297">
        <f>VLOOKUP(all[[#This Row],[DEVELOPMENT]],Data[],26,FALSE)</f>
        <v>2</v>
      </c>
      <c r="O297">
        <f>VLOOKUP(all[[#This Row],[DEVELOPMENT]],Data[],30,FALSE)</f>
        <v>2</v>
      </c>
      <c r="P297">
        <f>VLOOKUP(all[[#This Row],[DEVELOPMENT]],Data[],28,FALSE)</f>
        <v>0</v>
      </c>
      <c r="Q297">
        <f>IF(all[[#This Row],['# Bulk Crushers]]=0,1,0)</f>
        <v>1</v>
      </c>
      <c r="R297" s="5">
        <f>IFERROR(INDEX(FWD[],MATCH($B297,FWD[DEVELOPMENT],0),MATCH("ESTIMATE",FWD[#Headers],0)),0)</f>
        <v>0</v>
      </c>
      <c r="S297" s="5">
        <f>IFERROR(INDEX(EHD[],MATCH($B297,EHD[DEVELOPMENT],0),MATCH("ESTIMATE",EHD[#Headers],0)),0)</f>
        <v>59485.148000000001</v>
      </c>
      <c r="T297" s="5">
        <f ca="1">IFERROR(INDEX(IntComp[],MATCH($B297,IntComp[DEVELOPMENT],0),MATCH("ESTIMATE",IntComp[#Headers],0)),0)</f>
        <v>589227.15599999996</v>
      </c>
      <c r="U297" s="5">
        <f ca="1">IFERROR(INDEX(Yards[],MATCH($B297,Yards[DEVELOPMENT],0),MATCH("ESTIMATE",Yards[#Headers],0)),0)</f>
        <v>1591050.0199999998</v>
      </c>
      <c r="V297" s="128">
        <f ca="1">SUM(R297:U297)</f>
        <v>2239762.324</v>
      </c>
      <c r="W297" s="5"/>
    </row>
    <row r="298" spans="1:23" x14ac:dyDescent="0.25">
      <c r="A298" s="131">
        <f>VLOOKUP(B298,Data[],24,FALSE)</f>
        <v>175</v>
      </c>
      <c r="B298" t="s">
        <v>347</v>
      </c>
      <c r="C298" t="str">
        <f>VLOOKUP(B298,Data[],2,FALSE)</f>
        <v>STATEN ISLAND</v>
      </c>
      <c r="D298" t="str">
        <f>VLOOKUP(all[[#This Row],[DEVELOPMENT]],Data[],3,FALSE)</f>
        <v>WEST BRIGHTON I</v>
      </c>
      <c r="E298">
        <f>VLOOKUP(B298,Data[],8,FALSE)</f>
        <v>0</v>
      </c>
      <c r="F298">
        <f>VLOOKUP(B298,Data[],9,FALSE)</f>
        <v>0</v>
      </c>
      <c r="G298" t="str">
        <f>IFERROR(VLOOKUP(B298,Data[],4,FALSE),"")</f>
        <v/>
      </c>
      <c r="H298" t="str">
        <f ca="1">IF(G298="","",IF((G298-YEAR(TODAY()))&lt;=5,"Yes",""))</f>
        <v/>
      </c>
      <c r="I298">
        <f>VLOOKUP(all[[#This Row],[DEVELOPMENT]],Data[],7,FALSE)</f>
        <v>120</v>
      </c>
      <c r="J298">
        <f>VLOOKUP(all[[#This Row],[DEVELOPMENT]],Data[],25,FALSE)</f>
        <v>0</v>
      </c>
      <c r="K298">
        <f>VLOOKUP(all[[#This Row],[DEVELOPMENT]],Data[],5,FALSE)</f>
        <v>8</v>
      </c>
      <c r="L298">
        <f>VLOOKUP(all[[#This Row],[DEVELOPMENT]],Data[],27,FALSE)</f>
        <v>0</v>
      </c>
      <c r="M298">
        <f>VLOOKUP(all[[#This Row],[DEVELOPMENT]],Data[],31,FALSE)</f>
        <v>0</v>
      </c>
      <c r="N298">
        <f>VLOOKUP(all[[#This Row],[DEVELOPMENT]],Data[],26,FALSE)</f>
        <v>0</v>
      </c>
      <c r="O298">
        <f>VLOOKUP(all[[#This Row],[DEVELOPMENT]],Data[],30,FALSE)</f>
        <v>0</v>
      </c>
      <c r="P298">
        <f>VLOOKUP(all[[#This Row],[DEVELOPMENT]],Data[],28,FALSE)</f>
        <v>0</v>
      </c>
      <c r="Q298">
        <f>IF(all[[#This Row],['# Bulk Crushers]]=0,1,0)</f>
        <v>1</v>
      </c>
      <c r="R298" s="5">
        <f>IFERROR(INDEX(FWD[],MATCH($B298,FWD[DEVELOPMENT],0),MATCH("ESTIMATE",FWD[#Headers],0)),0)</f>
        <v>0</v>
      </c>
      <c r="S298" s="5">
        <f>IFERROR(INDEX(EHD[],MATCH($B298,EHD[DEVELOPMENT],0),MATCH("ESTIMATE",EHD[#Headers],0)),0)</f>
        <v>0</v>
      </c>
      <c r="T298" s="5">
        <f ca="1">IFERROR(INDEX(IntComp[],MATCH($B298,IntComp[DEVELOPMENT],0),MATCH("ESTIMATE",IntComp[#Headers],0)),0)</f>
        <v>0</v>
      </c>
      <c r="U298" s="5">
        <f>IFERROR(INDEX(Yards[],MATCH($B298,Yards[DEVELOPMENT],0),MATCH("ESTIMATE",Yards[#Headers],0)),0)</f>
        <v>1159792.78</v>
      </c>
      <c r="V298" s="128">
        <f ca="1">SUM(R298:U298)</f>
        <v>1159792.78</v>
      </c>
      <c r="W298" s="5"/>
    </row>
    <row r="299" spans="1:23" x14ac:dyDescent="0.25">
      <c r="A299" s="131">
        <f>VLOOKUP(B299,Data[],24,FALSE)</f>
        <v>360</v>
      </c>
      <c r="B299" t="s">
        <v>348</v>
      </c>
      <c r="C299" t="str">
        <f>VLOOKUP(B299,Data[],2,FALSE)</f>
        <v>BRONX</v>
      </c>
      <c r="D299" t="str">
        <f>VLOOKUP(all[[#This Row],[DEVELOPMENT]],Data[],3,FALSE)</f>
        <v>BUILDING MANAGEMENT ASSOCIATES (PRIVATE - BX 1)</v>
      </c>
      <c r="E299">
        <f>VLOOKUP(B299,Data[],8,FALSE)</f>
        <v>0</v>
      </c>
      <c r="F299">
        <f>VLOOKUP(B299,Data[],9,FALSE)</f>
        <v>0</v>
      </c>
      <c r="G299" t="str">
        <f>IFERROR(VLOOKUP(B299,Data[],4,FALSE),"")</f>
        <v/>
      </c>
      <c r="H299" t="str">
        <f ca="1">IF(G299="","",IF((G299-YEAR(TODAY()))&lt;=5,"Yes",""))</f>
        <v/>
      </c>
      <c r="I299">
        <f>VLOOKUP(all[[#This Row],[DEVELOPMENT]],Data[],7,FALSE)</f>
        <v>208</v>
      </c>
      <c r="J299">
        <f>VLOOKUP(all[[#This Row],[DEVELOPMENT]],Data[],25,FALSE)</f>
        <v>0</v>
      </c>
      <c r="K299">
        <f>VLOOKUP(all[[#This Row],[DEVELOPMENT]],Data[],5,FALSE)</f>
        <v>4</v>
      </c>
      <c r="L299">
        <f>VLOOKUP(all[[#This Row],[DEVELOPMENT]],Data[],27,FALSE)</f>
        <v>7</v>
      </c>
      <c r="M299">
        <f>VLOOKUP(all[[#This Row],[DEVELOPMENT]],Data[],31,FALSE)</f>
        <v>7</v>
      </c>
      <c r="N299">
        <f>VLOOKUP(all[[#This Row],[DEVELOPMENT]],Data[],26,FALSE)</f>
        <v>0</v>
      </c>
      <c r="O299">
        <f>VLOOKUP(all[[#This Row],[DEVELOPMENT]],Data[],30,FALSE)</f>
        <v>0</v>
      </c>
      <c r="P299">
        <f>VLOOKUP(all[[#This Row],[DEVELOPMENT]],Data[],28,FALSE)</f>
        <v>0</v>
      </c>
      <c r="Q299">
        <f>IF(all[[#This Row],['# Bulk Crushers]]=0,1,0)</f>
        <v>1</v>
      </c>
      <c r="R299" s="5">
        <f>IFERROR(INDEX(FWD[],MATCH($B299,FWD[DEVELOPMENT],0),MATCH("ESTIMATE",FWD[#Headers],0)),0)</f>
        <v>0</v>
      </c>
      <c r="S299" s="5">
        <f>IFERROR(INDEX(EHD[],MATCH($B299,EHD[DEVELOPMENT],0),MATCH("ESTIMATE",EHD[#Headers],0)),0)</f>
        <v>52049.504500000003</v>
      </c>
      <c r="T299" s="5">
        <f ca="1">IFERROR(INDEX(IntComp[],MATCH($B299,IntComp[DEVELOPMENT],0),MATCH("ESTIMATE",IntComp[#Headers],0)),0)</f>
        <v>515573.76149999991</v>
      </c>
      <c r="U299" s="5">
        <f>IFERROR(INDEX(Yards[],MATCH($B299,Yards[DEVELOPMENT],0),MATCH("ESTIMATE",Yards[#Headers],0)),0)</f>
        <v>1159792.78</v>
      </c>
      <c r="V299" s="128">
        <f ca="1">SUM(R299:U299)</f>
        <v>1727416.0460000001</v>
      </c>
      <c r="W299" s="5"/>
    </row>
    <row r="300" spans="1:23" x14ac:dyDescent="0.25">
      <c r="A300" s="131">
        <f>VLOOKUP(B300,Data[],24,FALSE)</f>
        <v>526</v>
      </c>
      <c r="B300" t="s">
        <v>349</v>
      </c>
      <c r="C300" t="str">
        <f>VLOOKUP(B300,Data[],2,FALSE)</f>
        <v>BRONX</v>
      </c>
      <c r="D300" t="str">
        <f>VLOOKUP(all[[#This Row],[DEVELOPMENT]],Data[],3,FALSE)</f>
        <v>BUILDING MANAGEMENT ASSOCIATES (PRIVATE - BX 1)</v>
      </c>
      <c r="E300">
        <f>VLOOKUP(B300,Data[],8,FALSE)</f>
        <v>0</v>
      </c>
      <c r="F300">
        <f>VLOOKUP(B300,Data[],9,FALSE)</f>
        <v>0</v>
      </c>
      <c r="G300" t="str">
        <f>IFERROR(VLOOKUP(B300,Data[],4,FALSE),"")</f>
        <v/>
      </c>
      <c r="H300" t="str">
        <f ca="1">IF(G300="","",IF((G300-YEAR(TODAY()))&lt;=5,"Yes",""))</f>
        <v/>
      </c>
      <c r="I300">
        <f>VLOOKUP(all[[#This Row],[DEVELOPMENT]],Data[],7,FALSE)</f>
        <v>20</v>
      </c>
      <c r="J300">
        <f>VLOOKUP(all[[#This Row],[DEVELOPMENT]],Data[],25,FALSE)</f>
        <v>0</v>
      </c>
      <c r="K300">
        <f>VLOOKUP(all[[#This Row],[DEVELOPMENT]],Data[],5,FALSE)</f>
        <v>1</v>
      </c>
      <c r="L300">
        <f>VLOOKUP(all[[#This Row],[DEVELOPMENT]],Data[],27,FALSE)</f>
        <v>1</v>
      </c>
      <c r="M300">
        <f>VLOOKUP(all[[#This Row],[DEVELOPMENT]],Data[],31,FALSE)</f>
        <v>1</v>
      </c>
      <c r="N300">
        <f>VLOOKUP(all[[#This Row],[DEVELOPMENT]],Data[],26,FALSE)</f>
        <v>0</v>
      </c>
      <c r="O300">
        <f>VLOOKUP(all[[#This Row],[DEVELOPMENT]],Data[],30,FALSE)</f>
        <v>0</v>
      </c>
      <c r="P300">
        <f>VLOOKUP(all[[#This Row],[DEVELOPMENT]],Data[],28,FALSE)</f>
        <v>0</v>
      </c>
      <c r="Q300">
        <f>IF(all[[#This Row],['# Bulk Crushers]]=0,1,0)</f>
        <v>1</v>
      </c>
      <c r="R300" s="5">
        <f>IFERROR(INDEX(FWD[],MATCH($B300,FWD[DEVELOPMENT],0),MATCH("ESTIMATE",FWD[#Headers],0)),0)</f>
        <v>0</v>
      </c>
      <c r="S300" s="5">
        <f>IFERROR(INDEX(EHD[],MATCH($B300,EHD[DEVELOPMENT],0),MATCH("ESTIMATE",EHD[#Headers],0)),0)</f>
        <v>7435.6435000000001</v>
      </c>
      <c r="T300" s="5">
        <f ca="1">IFERROR(INDEX(IntComp[],MATCH($B300,IntComp[DEVELOPMENT],0),MATCH("ESTIMATE",IntComp[#Headers],0)),0)</f>
        <v>73653.394499999995</v>
      </c>
      <c r="U300" s="5">
        <f>IFERROR(INDEX(Yards[],MATCH($B300,Yards[DEVELOPMENT],0),MATCH("ESTIMATE",Yards[#Headers],0)),0)</f>
        <v>1159792.78</v>
      </c>
      <c r="V300" s="128">
        <f ca="1">SUM(R300:U300)</f>
        <v>1240881.818</v>
      </c>
      <c r="W300" s="5"/>
    </row>
    <row r="301" spans="1:23" x14ac:dyDescent="0.25">
      <c r="A301" s="131">
        <f>VLOOKUP(B301,Data[],24,FALSE)</f>
        <v>246</v>
      </c>
      <c r="B301" t="s">
        <v>350</v>
      </c>
      <c r="C301" t="str">
        <f>VLOOKUP(B301,Data[],2,FALSE)</f>
        <v>BRONX</v>
      </c>
      <c r="D301" t="str">
        <f>VLOOKUP(all[[#This Row],[DEVELOPMENT]],Data[],3,FALSE)</f>
        <v>SEDGWICK</v>
      </c>
      <c r="E301" t="str">
        <f>VLOOKUP(B301,Data[],8,FALSE)</f>
        <v>Zone 4</v>
      </c>
      <c r="F301">
        <f>VLOOKUP(B301,Data[],9,FALSE)</f>
        <v>0</v>
      </c>
      <c r="G301" t="str">
        <f>IFERROR(VLOOKUP(B301,Data[],4,FALSE),"")</f>
        <v/>
      </c>
      <c r="H301" t="str">
        <f ca="1">IF(G301="","",IF((G301-YEAR(TODAY()))&lt;=5,"Yes",""))</f>
        <v/>
      </c>
      <c r="I301">
        <f>VLOOKUP(all[[#This Row],[DEVELOPMENT]],Data[],7,FALSE)</f>
        <v>148</v>
      </c>
      <c r="J301">
        <f>VLOOKUP(all[[#This Row],[DEVELOPMENT]],Data[],25,FALSE)</f>
        <v>0</v>
      </c>
      <c r="K301">
        <f>VLOOKUP(all[[#This Row],[DEVELOPMENT]],Data[],5,FALSE)</f>
        <v>1</v>
      </c>
      <c r="L301">
        <f>VLOOKUP(all[[#This Row],[DEVELOPMENT]],Data[],27,FALSE)</f>
        <v>1</v>
      </c>
      <c r="M301">
        <f>VLOOKUP(all[[#This Row],[DEVELOPMENT]],Data[],31,FALSE)</f>
        <v>1</v>
      </c>
      <c r="N301">
        <f>VLOOKUP(all[[#This Row],[DEVELOPMENT]],Data[],26,FALSE)</f>
        <v>0</v>
      </c>
      <c r="O301">
        <f>VLOOKUP(all[[#This Row],[DEVELOPMENT]],Data[],30,FALSE)</f>
        <v>0</v>
      </c>
      <c r="P301">
        <f>VLOOKUP(all[[#This Row],[DEVELOPMENT]],Data[],28,FALSE)</f>
        <v>0</v>
      </c>
      <c r="Q301">
        <f>IF(all[[#This Row],['# Bulk Crushers]]=0,1,0)</f>
        <v>1</v>
      </c>
      <c r="R301" s="5">
        <f>IFERROR(INDEX(FWD[],MATCH($B301,FWD[DEVELOPMENT],0),MATCH("ESTIMATE",FWD[#Headers],0)),0)</f>
        <v>0</v>
      </c>
      <c r="S301" s="5">
        <f>IFERROR(INDEX(EHD[],MATCH($B301,EHD[DEVELOPMENT],0),MATCH("ESTIMATE",EHD[#Headers],0)),0)</f>
        <v>7435.6435000000001</v>
      </c>
      <c r="T301" s="5">
        <f ca="1">IFERROR(INDEX(IntComp[],MATCH($B301,IntComp[DEVELOPMENT],0),MATCH("ESTIMATE",IntComp[#Headers],0)),0)</f>
        <v>73653.394499999995</v>
      </c>
      <c r="U301" s="5">
        <f>IFERROR(INDEX(Yards[],MATCH($B301,Yards[DEVELOPMENT],0),MATCH("ESTIMATE",Yards[#Headers],0)),0)</f>
        <v>0</v>
      </c>
      <c r="V301" s="128">
        <f ca="1">SUM(R301:U301)</f>
        <v>81089.038</v>
      </c>
      <c r="W301" s="5"/>
    </row>
    <row r="302" spans="1:23" x14ac:dyDescent="0.25">
      <c r="A302" s="131">
        <f>VLOOKUP(B302,Data[],24,FALSE)</f>
        <v>124</v>
      </c>
      <c r="B302" t="s">
        <v>102</v>
      </c>
      <c r="C302" t="str">
        <f>VLOOKUP(B302,Data[],2,FALSE)</f>
        <v>MANHATTAN</v>
      </c>
      <c r="D302" t="str">
        <f>VLOOKUP(all[[#This Row],[DEVELOPMENT]],Data[],3,FALSE)</f>
        <v>WILSON</v>
      </c>
      <c r="E302" t="str">
        <f>VLOOKUP(B302,Data[],8,FALSE)</f>
        <v>Zone 2</v>
      </c>
      <c r="F302" t="str">
        <f>VLOOKUP(B302,Data[],9,FALSE)</f>
        <v>$</v>
      </c>
      <c r="G302" t="str">
        <f>IFERROR(VLOOKUP(B302,Data[],4,FALSE),"")</f>
        <v/>
      </c>
      <c r="H302" t="str">
        <f ca="1">IF(G302="","",IF((G302-YEAR(TODAY()))&lt;=5,"Yes",""))</f>
        <v/>
      </c>
      <c r="I302">
        <f>VLOOKUP(all[[#This Row],[DEVELOPMENT]],Data[],7,FALSE)</f>
        <v>246</v>
      </c>
      <c r="J302">
        <f>VLOOKUP(all[[#This Row],[DEVELOPMENT]],Data[],25,FALSE)</f>
        <v>0</v>
      </c>
      <c r="K302">
        <f>VLOOKUP(all[[#This Row],[DEVELOPMENT]],Data[],5,FALSE)</f>
        <v>1</v>
      </c>
      <c r="L302">
        <f>VLOOKUP(all[[#This Row],[DEVELOPMENT]],Data[],27,FALSE)</f>
        <v>2</v>
      </c>
      <c r="M302">
        <f>VLOOKUP(all[[#This Row],[DEVELOPMENT]],Data[],31,FALSE)</f>
        <v>2</v>
      </c>
      <c r="N302">
        <f>VLOOKUP(all[[#This Row],[DEVELOPMENT]],Data[],26,FALSE)</f>
        <v>0</v>
      </c>
      <c r="O302">
        <f>VLOOKUP(all[[#This Row],[DEVELOPMENT]],Data[],30,FALSE)</f>
        <v>0</v>
      </c>
      <c r="P302">
        <f>VLOOKUP(all[[#This Row],[DEVELOPMENT]],Data[],28,FALSE)</f>
        <v>0</v>
      </c>
      <c r="Q302">
        <f>IF(all[[#This Row],['# Bulk Crushers]]=0,1,0)</f>
        <v>1</v>
      </c>
      <c r="R302" s="5">
        <f>IFERROR(INDEX(FWD[],MATCH($B302,FWD[DEVELOPMENT],0),MATCH("ESTIMATE",FWD[#Headers],0)),0)</f>
        <v>0</v>
      </c>
      <c r="S302" s="5">
        <f>IFERROR(INDEX(EHD[],MATCH($B302,EHD[DEVELOPMENT],0),MATCH("ESTIMATE",EHD[#Headers],0)),0)</f>
        <v>0</v>
      </c>
      <c r="T302" s="5">
        <f ca="1">IFERROR(INDEX(IntComp[],MATCH($B302,IntComp[DEVELOPMENT],0),MATCH("ESTIMATE",IntComp[#Headers],0)),0)</f>
        <v>147306.78899999999</v>
      </c>
      <c r="U302" s="5">
        <f>IFERROR(INDEX(Yards[],MATCH($B302,Yards[DEVELOPMENT],0),MATCH("ESTIMATE",Yards[#Headers],0)),0)</f>
        <v>1159792.78</v>
      </c>
      <c r="V302" s="128">
        <f ca="1">SUM(R302:U302)</f>
        <v>1307099.5690000001</v>
      </c>
      <c r="W302" s="5"/>
    </row>
    <row r="303" spans="1:23" x14ac:dyDescent="0.25">
      <c r="A303" s="131">
        <f>VLOOKUP(B303,Data[],24,FALSE)</f>
        <v>514</v>
      </c>
      <c r="B303" t="s">
        <v>351</v>
      </c>
      <c r="C303" t="str">
        <f>VLOOKUP(B303,Data[],2,FALSE)</f>
        <v>BROOKLYN</v>
      </c>
      <c r="D303" t="str">
        <f>VLOOKUP(all[[#This Row],[DEVELOPMENT]],Data[],3,FALSE)</f>
        <v>WHITMAN</v>
      </c>
      <c r="E303">
        <f>VLOOKUP(B303,Data[],8,FALSE)</f>
        <v>0</v>
      </c>
      <c r="F303">
        <f>VLOOKUP(B303,Data[],9,FALSE)</f>
        <v>0</v>
      </c>
      <c r="G303" t="str">
        <f>IFERROR(VLOOKUP(B303,Data[],4,FALSE),"")</f>
        <v/>
      </c>
      <c r="H303" t="str">
        <f ca="1">IF(G303="","",IF((G303-YEAR(TODAY()))&lt;=5,"Yes",""))</f>
        <v/>
      </c>
      <c r="I303">
        <f>VLOOKUP(all[[#This Row],[DEVELOPMENT]],Data[],7,FALSE)</f>
        <v>1651</v>
      </c>
      <c r="J303" t="str">
        <f>VLOOKUP(all[[#This Row],[DEVELOPMENT]],Data[],25,FALSE)</f>
        <v>Yes</v>
      </c>
      <c r="K303">
        <f>VLOOKUP(all[[#This Row],[DEVELOPMENT]],Data[],5,FALSE)</f>
        <v>15</v>
      </c>
      <c r="L303">
        <f>VLOOKUP(all[[#This Row],[DEVELOPMENT]],Data[],27,FALSE)</f>
        <v>32</v>
      </c>
      <c r="M303">
        <f>VLOOKUP(all[[#This Row],[DEVELOPMENT]],Data[],31,FALSE)</f>
        <v>32</v>
      </c>
      <c r="N303">
        <f>VLOOKUP(all[[#This Row],[DEVELOPMENT]],Data[],26,FALSE)</f>
        <v>3</v>
      </c>
      <c r="O303">
        <f>VLOOKUP(all[[#This Row],[DEVELOPMENT]],Data[],30,FALSE)</f>
        <v>3</v>
      </c>
      <c r="P303">
        <f>VLOOKUP(all[[#This Row],[DEVELOPMENT]],Data[],28,FALSE)</f>
        <v>0</v>
      </c>
      <c r="Q303">
        <f>IF(all[[#This Row],['# Bulk Crushers]]=0,1,0)</f>
        <v>1</v>
      </c>
      <c r="R303" s="5">
        <f>IFERROR(INDEX(FWD[],MATCH($B303,FWD[DEVELOPMENT],0),MATCH("ESTIMATE",FWD[#Headers],0)),0)</f>
        <v>2837633.0491479845</v>
      </c>
      <c r="S303" s="5">
        <f>IFERROR(INDEX(EHD[],MATCH($B303,EHD[DEVELOPMENT],0),MATCH("ESTIMATE",EHD[#Headers],0)),0)</f>
        <v>237940.592</v>
      </c>
      <c r="T303" s="5">
        <f ca="1">IFERROR(INDEX(IntComp[],MATCH($B303,IntComp[DEVELOPMENT],0),MATCH("ESTIMATE",IntComp[#Headers],0)),0)</f>
        <v>2356908.6239999998</v>
      </c>
      <c r="U303" s="5">
        <f ca="1">IFERROR(INDEX(Yards[],MATCH($B303,Yards[DEVELOPMENT],0),MATCH("ESTIMATE",Yards[#Headers],0)),0)</f>
        <v>2022307.2600000005</v>
      </c>
      <c r="V303" s="128">
        <f ca="1">SUM(R303:U303)</f>
        <v>7454789.5251479847</v>
      </c>
      <c r="W303" s="5"/>
    </row>
    <row r="304" spans="1:23" x14ac:dyDescent="0.25">
      <c r="A304" s="131">
        <f>VLOOKUP(B304,Data[],24,FALSE)</f>
        <v>128</v>
      </c>
      <c r="B304" t="s">
        <v>352</v>
      </c>
      <c r="C304" t="str">
        <f>VLOOKUP(B304,Data[],2,FALSE)</f>
        <v>BROOKLYN</v>
      </c>
      <c r="D304" t="str">
        <f>VLOOKUP(all[[#This Row],[DEVELOPMENT]],Data[],3,FALSE)</f>
        <v>WILLIAMS PLAZA</v>
      </c>
      <c r="E304">
        <f>VLOOKUP(B304,Data[],8,FALSE)</f>
        <v>0</v>
      </c>
      <c r="F304">
        <f>VLOOKUP(B304,Data[],9,FALSE)</f>
        <v>0</v>
      </c>
      <c r="G304">
        <f>IFERROR(VLOOKUP(B304,Data[],4,FALSE),"")</f>
        <v>2019</v>
      </c>
      <c r="H304" t="str">
        <f ca="1">IF(G304="","",IF((G304-YEAR(TODAY()))&lt;=5,"Yes",""))</f>
        <v>Yes</v>
      </c>
      <c r="I304">
        <f>VLOOKUP(all[[#This Row],[DEVELOPMENT]],Data[],7,FALSE)</f>
        <v>577</v>
      </c>
      <c r="J304" t="str">
        <f>VLOOKUP(all[[#This Row],[DEVELOPMENT]],Data[],25,FALSE)</f>
        <v>Yes</v>
      </c>
      <c r="K304">
        <f>VLOOKUP(all[[#This Row],[DEVELOPMENT]],Data[],5,FALSE)</f>
        <v>5</v>
      </c>
      <c r="L304">
        <f>VLOOKUP(all[[#This Row],[DEVELOPMENT]],Data[],27,FALSE)</f>
        <v>5</v>
      </c>
      <c r="M304">
        <f>VLOOKUP(all[[#This Row],[DEVELOPMENT]],Data[],31,FALSE)</f>
        <v>5</v>
      </c>
      <c r="N304">
        <f>VLOOKUP(all[[#This Row],[DEVELOPMENT]],Data[],26,FALSE)</f>
        <v>0</v>
      </c>
      <c r="O304">
        <f>VLOOKUP(all[[#This Row],[DEVELOPMENT]],Data[],30,FALSE)</f>
        <v>0</v>
      </c>
      <c r="P304">
        <f>VLOOKUP(all[[#This Row],[DEVELOPMENT]],Data[],28,FALSE)</f>
        <v>1</v>
      </c>
      <c r="Q304">
        <f>IF(all[[#This Row],['# Bulk Crushers]]=0,1,0)</f>
        <v>0</v>
      </c>
      <c r="R304" s="5">
        <f>IFERROR(INDEX(FWD[],MATCH($B304,FWD[DEVELOPMENT],0),MATCH("ESTIMATE",FWD[#Headers],0)),0)</f>
        <v>0</v>
      </c>
      <c r="S304" s="5">
        <f>IFERROR(INDEX(EHD[],MATCH($B304,EHD[DEVELOPMENT],0),MATCH("ESTIMATE",EHD[#Headers],0)),0)</f>
        <v>0</v>
      </c>
      <c r="T304" s="5">
        <f ca="1">IFERROR(INDEX(IntComp[],MATCH($B304,IntComp[DEVELOPMENT],0),MATCH("ESTIMATE",IntComp[#Headers],0)),0)</f>
        <v>0</v>
      </c>
      <c r="U304" s="5">
        <f>IFERROR(INDEX(Yards[],MATCH($B304,Yards[DEVELOPMENT],0),MATCH("ESTIMATE",Yards[#Headers],0)),0)</f>
        <v>0</v>
      </c>
      <c r="V304" s="128">
        <f ca="1">SUM(R304:U304)</f>
        <v>0</v>
      </c>
      <c r="W304" s="5"/>
    </row>
    <row r="305" spans="1:23" x14ac:dyDescent="0.25">
      <c r="A305" s="131">
        <f>VLOOKUP(B305,Data[],24,FALSE)</f>
        <v>2</v>
      </c>
      <c r="B305" t="s">
        <v>353</v>
      </c>
      <c r="C305" t="str">
        <f>VLOOKUP(B305,Data[],2,FALSE)</f>
        <v>BROOKLYN</v>
      </c>
      <c r="D305" t="str">
        <f>VLOOKUP(all[[#This Row],[DEVELOPMENT]],Data[],3,FALSE)</f>
        <v>WILLIAMSBURG</v>
      </c>
      <c r="E305">
        <f>VLOOKUP(B305,Data[],8,FALSE)</f>
        <v>0</v>
      </c>
      <c r="F305">
        <f>VLOOKUP(B305,Data[],9,FALSE)</f>
        <v>0</v>
      </c>
      <c r="G305">
        <f>IFERROR(VLOOKUP(B305,Data[],4,FALSE),"")</f>
        <v>2020</v>
      </c>
      <c r="H305" t="str">
        <f ca="1">IF(G305="","",IF((G305-YEAR(TODAY()))&lt;=5,"Yes",""))</f>
        <v>Yes</v>
      </c>
      <c r="I305">
        <f>VLOOKUP(all[[#This Row],[DEVELOPMENT]],Data[],7,FALSE)</f>
        <v>1627</v>
      </c>
      <c r="J305" t="str">
        <f>VLOOKUP(all[[#This Row],[DEVELOPMENT]],Data[],25,FALSE)</f>
        <v>Yes</v>
      </c>
      <c r="K305">
        <f>VLOOKUP(all[[#This Row],[DEVELOPMENT]],Data[],5,FALSE)</f>
        <v>20</v>
      </c>
      <c r="L305">
        <f>VLOOKUP(all[[#This Row],[DEVELOPMENT]],Data[],27,FALSE)</f>
        <v>134</v>
      </c>
      <c r="M305">
        <f>VLOOKUP(all[[#This Row],[DEVELOPMENT]],Data[],31,FALSE)</f>
        <v>134</v>
      </c>
      <c r="N305">
        <f>VLOOKUP(all[[#This Row],[DEVELOPMENT]],Data[],26,FALSE)</f>
        <v>0</v>
      </c>
      <c r="O305">
        <f>VLOOKUP(all[[#This Row],[DEVELOPMENT]],Data[],30,FALSE)</f>
        <v>0</v>
      </c>
      <c r="P305">
        <f>VLOOKUP(all[[#This Row],[DEVELOPMENT]],Data[],28,FALSE)</f>
        <v>0</v>
      </c>
      <c r="Q305">
        <f>IF(all[[#This Row],['# Bulk Crushers]]=0,1,0)</f>
        <v>1</v>
      </c>
      <c r="R305" s="5">
        <f>IFERROR(INDEX(FWD[],MATCH($B305,FWD[DEVELOPMENT],0),MATCH("ESTIMATE",FWD[#Headers],0)),0)</f>
        <v>0</v>
      </c>
      <c r="S305" s="5">
        <f>IFERROR(INDEX(EHD[],MATCH($B305,EHD[DEVELOPMENT],0),MATCH("ESTIMATE",EHD[#Headers],0)),0)</f>
        <v>0</v>
      </c>
      <c r="T305" s="5">
        <f ca="1">IFERROR(INDEX(IntComp[],MATCH($B305,IntComp[DEVELOPMENT],0),MATCH("ESTIMATE",IntComp[#Headers],0)),0)</f>
        <v>0</v>
      </c>
      <c r="U305" s="5">
        <f>IFERROR(INDEX(Yards[],MATCH($B305,Yards[DEVELOPMENT],0),MATCH("ESTIMATE",Yards[#Headers],0)),0)</f>
        <v>0</v>
      </c>
      <c r="V305" s="128">
        <f ca="1">SUM(R305:U305)</f>
        <v>0</v>
      </c>
      <c r="W305" s="5"/>
    </row>
    <row r="306" spans="1:23" x14ac:dyDescent="0.25">
      <c r="A306" s="131">
        <f>VLOOKUP(B306,Data[],24,FALSE)</f>
        <v>112</v>
      </c>
      <c r="B306" t="s">
        <v>116</v>
      </c>
      <c r="C306" t="str">
        <f>VLOOKUP(B306,Data[],2,FALSE)</f>
        <v>MANHATTAN</v>
      </c>
      <c r="D306" t="str">
        <f>VLOOKUP(all[[#This Row],[DEVELOPMENT]],Data[],3,FALSE)</f>
        <v>WILSON</v>
      </c>
      <c r="E306" t="str">
        <f>VLOOKUP(B306,Data[],8,FALSE)</f>
        <v>Zone 2</v>
      </c>
      <c r="F306" t="str">
        <f>VLOOKUP(B306,Data[],9,FALSE)</f>
        <v>$</v>
      </c>
      <c r="G306" t="str">
        <f>IFERROR(VLOOKUP(B306,Data[],4,FALSE),"")</f>
        <v/>
      </c>
      <c r="H306" t="str">
        <f ca="1">IF(G306="","",IF((G306-YEAR(TODAY()))&lt;=5,"Yes",""))</f>
        <v/>
      </c>
      <c r="I306">
        <f>VLOOKUP(all[[#This Row],[DEVELOPMENT]],Data[],7,FALSE)</f>
        <v>398</v>
      </c>
      <c r="J306">
        <f>VLOOKUP(all[[#This Row],[DEVELOPMENT]],Data[],25,FALSE)</f>
        <v>0</v>
      </c>
      <c r="K306">
        <f>VLOOKUP(all[[#This Row],[DEVELOPMENT]],Data[],5,FALSE)</f>
        <v>3</v>
      </c>
      <c r="L306">
        <f>VLOOKUP(all[[#This Row],[DEVELOPMENT]],Data[],27,FALSE)</f>
        <v>5</v>
      </c>
      <c r="M306">
        <f>VLOOKUP(all[[#This Row],[DEVELOPMENT]],Data[],31,FALSE)</f>
        <v>5</v>
      </c>
      <c r="N306">
        <f>VLOOKUP(all[[#This Row],[DEVELOPMENT]],Data[],26,FALSE)</f>
        <v>2</v>
      </c>
      <c r="O306">
        <f>VLOOKUP(all[[#This Row],[DEVELOPMENT]],Data[],30,FALSE)</f>
        <v>2</v>
      </c>
      <c r="P306">
        <f>VLOOKUP(all[[#This Row],[DEVELOPMENT]],Data[],28,FALSE)</f>
        <v>0</v>
      </c>
      <c r="Q306">
        <f>IF(all[[#This Row],['# Bulk Crushers]]=0,1,0)</f>
        <v>1</v>
      </c>
      <c r="R306" s="5">
        <f>IFERROR(INDEX(FWD[],MATCH($B306,FWD[DEVELOPMENT],0),MATCH("ESTIMATE",FWD[#Headers],0)),0)</f>
        <v>0</v>
      </c>
      <c r="S306" s="5">
        <f>IFERROR(INDEX(EHD[],MATCH($B306,EHD[DEVELOPMENT],0),MATCH("ESTIMATE",EHD[#Headers],0)),0)</f>
        <v>37178.217499999999</v>
      </c>
      <c r="T306" s="5">
        <f ca="1">IFERROR(INDEX(IntComp[],MATCH($B306,IntComp[DEVELOPMENT],0),MATCH("ESTIMATE",IntComp[#Headers],0)),0)</f>
        <v>368266.97249999997</v>
      </c>
      <c r="U306" s="5">
        <f ca="1">IFERROR(INDEX(Yards[],MATCH($B306,Yards[DEVELOPMENT],0),MATCH("ESTIMATE",Yards[#Headers],0)),0)</f>
        <v>1591050.0199999998</v>
      </c>
      <c r="V306" s="128">
        <f ca="1">SUM(R306:U306)</f>
        <v>1996495.2099999997</v>
      </c>
      <c r="W306" s="5"/>
    </row>
    <row r="307" spans="1:23" x14ac:dyDescent="0.25">
      <c r="A307" s="131">
        <f>VLOOKUP(B307,Data[],24,FALSE)</f>
        <v>127</v>
      </c>
      <c r="B307" t="s">
        <v>354</v>
      </c>
      <c r="C307" t="str">
        <f>VLOOKUP(B307,Data[],2,FALSE)</f>
        <v>MANHATTAN</v>
      </c>
      <c r="D307" t="str">
        <f>VLOOKUP(all[[#This Row],[DEVELOPMENT]],Data[],3,FALSE)</f>
        <v>WISE TOWERS</v>
      </c>
      <c r="E307" t="str">
        <f>VLOOKUP(B307,Data[],8,FALSE)</f>
        <v>Zone 4</v>
      </c>
      <c r="F307">
        <f>VLOOKUP(B307,Data[],9,FALSE)</f>
        <v>0</v>
      </c>
      <c r="G307">
        <f>IFERROR(VLOOKUP(B307,Data[],4,FALSE),"")</f>
        <v>2019</v>
      </c>
      <c r="H307" t="str">
        <f ca="1">IF(G307="","",IF((G307-YEAR(TODAY()))&lt;=5,"Yes",""))</f>
        <v>Yes</v>
      </c>
      <c r="I307">
        <f>VLOOKUP(all[[#This Row],[DEVELOPMENT]],Data[],7,FALSE)</f>
        <v>397</v>
      </c>
      <c r="J307">
        <f>VLOOKUP(all[[#This Row],[DEVELOPMENT]],Data[],25,FALSE)</f>
        <v>0</v>
      </c>
      <c r="K307">
        <f>VLOOKUP(all[[#This Row],[DEVELOPMENT]],Data[],5,FALSE)</f>
        <v>2</v>
      </c>
      <c r="L307">
        <f>VLOOKUP(all[[#This Row],[DEVELOPMENT]],Data[],27,FALSE)</f>
        <v>4</v>
      </c>
      <c r="M307">
        <f>VLOOKUP(all[[#This Row],[DEVELOPMENT]],Data[],31,FALSE)</f>
        <v>4</v>
      </c>
      <c r="N307">
        <f>VLOOKUP(all[[#This Row],[DEVELOPMENT]],Data[],26,FALSE)</f>
        <v>0</v>
      </c>
      <c r="O307">
        <f>VLOOKUP(all[[#This Row],[DEVELOPMENT]],Data[],30,FALSE)</f>
        <v>0</v>
      </c>
      <c r="P307">
        <f>VLOOKUP(all[[#This Row],[DEVELOPMENT]],Data[],28,FALSE)</f>
        <v>0</v>
      </c>
      <c r="Q307">
        <f>IF(all[[#This Row],['# Bulk Crushers]]=0,1,0)</f>
        <v>1</v>
      </c>
      <c r="R307" s="5">
        <f>IFERROR(INDEX(FWD[],MATCH($B307,FWD[DEVELOPMENT],0),MATCH("ESTIMATE",FWD[#Headers],0)),0)</f>
        <v>0</v>
      </c>
      <c r="S307" s="5">
        <f>IFERROR(INDEX(EHD[],MATCH($B307,EHD[DEVELOPMENT],0),MATCH("ESTIMATE",EHD[#Headers],0)),0)</f>
        <v>0</v>
      </c>
      <c r="T307" s="5">
        <f ca="1">IFERROR(INDEX(IntComp[],MATCH($B307,IntComp[DEVELOPMENT],0),MATCH("ESTIMATE",IntComp[#Headers],0)),0)</f>
        <v>0</v>
      </c>
      <c r="U307" s="5">
        <f>IFERROR(INDEX(Yards[],MATCH($B307,Yards[DEVELOPMENT],0),MATCH("ESTIMATE",Yards[#Headers],0)),0)</f>
        <v>0</v>
      </c>
      <c r="V307" s="128">
        <f ca="1">SUM(R307:U307)</f>
        <v>0</v>
      </c>
      <c r="W307" s="5"/>
    </row>
    <row r="308" spans="1:23" x14ac:dyDescent="0.25">
      <c r="A308" s="131">
        <f>VLOOKUP(B308,Data[],24,FALSE)</f>
        <v>33</v>
      </c>
      <c r="B308" t="s">
        <v>355</v>
      </c>
      <c r="C308" t="str">
        <f>VLOOKUP(B308,Data[],2,FALSE)</f>
        <v>QUEENS</v>
      </c>
      <c r="D308" t="str">
        <f>VLOOKUP(all[[#This Row],[DEVELOPMENT]],Data[],3,FALSE)</f>
        <v>WOODSIDE</v>
      </c>
      <c r="E308">
        <f>VLOOKUP(B308,Data[],8,FALSE)</f>
        <v>0</v>
      </c>
      <c r="F308">
        <f>VLOOKUP(B308,Data[],9,FALSE)</f>
        <v>0</v>
      </c>
      <c r="G308" t="str">
        <f>IFERROR(VLOOKUP(B308,Data[],4,FALSE),"")</f>
        <v/>
      </c>
      <c r="H308" t="str">
        <f ca="1">IF(G308="","",IF((G308-YEAR(TODAY()))&lt;=5,"Yes",""))</f>
        <v/>
      </c>
      <c r="I308">
        <f>VLOOKUP(all[[#This Row],[DEVELOPMENT]],Data[],7,FALSE)</f>
        <v>1355</v>
      </c>
      <c r="J308">
        <f>VLOOKUP(all[[#This Row],[DEVELOPMENT]],Data[],25,FALSE)</f>
        <v>0</v>
      </c>
      <c r="K308">
        <f>VLOOKUP(all[[#This Row],[DEVELOPMENT]],Data[],5,FALSE)</f>
        <v>20</v>
      </c>
      <c r="L308">
        <f>VLOOKUP(all[[#This Row],[DEVELOPMENT]],Data[],27,FALSE)</f>
        <v>56</v>
      </c>
      <c r="M308">
        <f>VLOOKUP(all[[#This Row],[DEVELOPMENT]],Data[],31,FALSE)</f>
        <v>56</v>
      </c>
      <c r="N308">
        <f>VLOOKUP(all[[#This Row],[DEVELOPMENT]],Data[],26,FALSE)</f>
        <v>3</v>
      </c>
      <c r="O308">
        <f>VLOOKUP(all[[#This Row],[DEVELOPMENT]],Data[],30,FALSE)</f>
        <v>3</v>
      </c>
      <c r="P308">
        <f>VLOOKUP(all[[#This Row],[DEVELOPMENT]],Data[],28,FALSE)</f>
        <v>0</v>
      </c>
      <c r="Q308">
        <f>IF(all[[#This Row],['# Bulk Crushers]]=0,1,0)</f>
        <v>1</v>
      </c>
      <c r="R308" s="5">
        <f>IFERROR(INDEX(FWD[],MATCH($B308,FWD[DEVELOPMENT],0),MATCH("ESTIMATE",FWD[#Headers],0)),0)</f>
        <v>0</v>
      </c>
      <c r="S308" s="5">
        <f>IFERROR(INDEX(EHD[],MATCH($B308,EHD[DEVELOPMENT],0),MATCH("ESTIMATE",EHD[#Headers],0)),0)</f>
        <v>416396.03600000002</v>
      </c>
      <c r="T308" s="5">
        <f ca="1">IFERROR(INDEX(IntComp[],MATCH($B308,IntComp[DEVELOPMENT],0),MATCH("ESTIMATE",IntComp[#Headers],0)),0)</f>
        <v>4124590.0919999992</v>
      </c>
      <c r="U308" s="5">
        <f ca="1">IFERROR(INDEX(Yards[],MATCH($B308,Yards[DEVELOPMENT],0),MATCH("ESTIMATE",Yards[#Headers],0)),0)</f>
        <v>2022307.2600000005</v>
      </c>
      <c r="V308" s="128">
        <f ca="1">SUM(R308:U308)</f>
        <v>6563293.3880000003</v>
      </c>
      <c r="W308" s="5"/>
    </row>
    <row r="309" spans="1:23" x14ac:dyDescent="0.25">
      <c r="A309" s="131">
        <f>VLOOKUP(B309,Data[],24,FALSE)</f>
        <v>182</v>
      </c>
      <c r="B309" t="s">
        <v>356</v>
      </c>
      <c r="C309" t="str">
        <f>VLOOKUP(B309,Data[],2,FALSE)</f>
        <v>BROOKLYN</v>
      </c>
      <c r="D309" t="str">
        <f>VLOOKUP(all[[#This Row],[DEVELOPMENT]],Data[],3,FALSE)</f>
        <v>WOODSON</v>
      </c>
      <c r="E309">
        <f>VLOOKUP(B309,Data[],8,FALSE)</f>
        <v>0</v>
      </c>
      <c r="F309">
        <f>VLOOKUP(B309,Data[],9,FALSE)</f>
        <v>0</v>
      </c>
      <c r="G309" t="str">
        <f>IFERROR(VLOOKUP(B309,Data[],4,FALSE),"")</f>
        <v/>
      </c>
      <c r="H309" t="str">
        <f ca="1">IF(G309="","",IF((G309-YEAR(TODAY()))&lt;=5,"Yes",""))</f>
        <v/>
      </c>
      <c r="I309">
        <f>VLOOKUP(all[[#This Row],[DEVELOPMENT]],Data[],7,FALSE)</f>
        <v>407</v>
      </c>
      <c r="J309">
        <f>VLOOKUP(all[[#This Row],[DEVELOPMENT]],Data[],25,FALSE)</f>
        <v>0</v>
      </c>
      <c r="K309">
        <f>VLOOKUP(all[[#This Row],[DEVELOPMENT]],Data[],5,FALSE)</f>
        <v>2</v>
      </c>
      <c r="L309">
        <f>VLOOKUP(all[[#This Row],[DEVELOPMENT]],Data[],27,FALSE)</f>
        <v>2</v>
      </c>
      <c r="M309">
        <f>VLOOKUP(all[[#This Row],[DEVELOPMENT]],Data[],31,FALSE)</f>
        <v>2</v>
      </c>
      <c r="N309">
        <f>VLOOKUP(all[[#This Row],[DEVELOPMENT]],Data[],26,FALSE)</f>
        <v>0</v>
      </c>
      <c r="O309">
        <f>VLOOKUP(all[[#This Row],[DEVELOPMENT]],Data[],30,FALSE)</f>
        <v>0</v>
      </c>
      <c r="P309">
        <f>VLOOKUP(all[[#This Row],[DEVELOPMENT]],Data[],28,FALSE)</f>
        <v>0</v>
      </c>
      <c r="Q309">
        <f>IF(all[[#This Row],['# Bulk Crushers]]=0,1,0)</f>
        <v>1</v>
      </c>
      <c r="R309" s="5">
        <f>IFERROR(INDEX(FWD[],MATCH($B309,FWD[DEVELOPMENT],0),MATCH("ESTIMATE",FWD[#Headers],0)),0)</f>
        <v>0</v>
      </c>
      <c r="S309" s="5">
        <f>IFERROR(INDEX(EHD[],MATCH($B309,EHD[DEVELOPMENT],0),MATCH("ESTIMATE",EHD[#Headers],0)),0)</f>
        <v>0</v>
      </c>
      <c r="T309" s="5">
        <f ca="1">IFERROR(INDEX(IntComp[],MATCH($B309,IntComp[DEVELOPMENT],0),MATCH("ESTIMATE",IntComp[#Headers],0)),0)</f>
        <v>147306.78899999999</v>
      </c>
      <c r="U309" s="5">
        <f>IFERROR(INDEX(Yards[],MATCH($B309,Yards[DEVELOPMENT],0),MATCH("ESTIMATE",Yards[#Headers],0)),0)</f>
        <v>1159792.78</v>
      </c>
      <c r="V309" s="128">
        <f ca="1">SUM(R309:U309)</f>
        <v>1307099.5690000001</v>
      </c>
      <c r="W309" s="5"/>
    </row>
    <row r="310" spans="1:23" x14ac:dyDescent="0.25">
      <c r="A310" s="131">
        <f>VLOOKUP(B310,Data[],24,FALSE)</f>
        <v>178</v>
      </c>
      <c r="B310" t="s">
        <v>357</v>
      </c>
      <c r="C310" t="str">
        <f>VLOOKUP(B310,Data[],2,FALSE)</f>
        <v>MANHATTAN</v>
      </c>
      <c r="D310" t="str">
        <f>VLOOKUP(all[[#This Row],[DEVELOPMENT]],Data[],3,FALSE)</f>
        <v>WISE TOWERS</v>
      </c>
      <c r="E310" t="str">
        <f>VLOOKUP(B310,Data[],8,FALSE)</f>
        <v>Zone 4</v>
      </c>
      <c r="F310">
        <f>VLOOKUP(B310,Data[],9,FALSE)</f>
        <v>0</v>
      </c>
      <c r="G310" t="str">
        <f>IFERROR(VLOOKUP(B310,Data[],4,FALSE),"")</f>
        <v/>
      </c>
      <c r="H310" t="str">
        <f ca="1">IF(G310="","",IF((G310-YEAR(TODAY()))&lt;=5,"Yes",""))</f>
        <v/>
      </c>
      <c r="I310">
        <f>VLOOKUP(all[[#This Row],[DEVELOPMENT]],Data[],7,FALSE)</f>
        <v>236</v>
      </c>
      <c r="J310">
        <f>VLOOKUP(all[[#This Row],[DEVELOPMENT]],Data[],25,FALSE)</f>
        <v>0</v>
      </c>
      <c r="K310">
        <f>VLOOKUP(all[[#This Row],[DEVELOPMENT]],Data[],5,FALSE)</f>
        <v>36</v>
      </c>
      <c r="L310">
        <f>VLOOKUP(all[[#This Row],[DEVELOPMENT]],Data[],27,FALSE)</f>
        <v>0</v>
      </c>
      <c r="M310">
        <f>VLOOKUP(all[[#This Row],[DEVELOPMENT]],Data[],31,FALSE)</f>
        <v>0</v>
      </c>
      <c r="N310">
        <f>VLOOKUP(all[[#This Row],[DEVELOPMENT]],Data[],26,FALSE)</f>
        <v>0</v>
      </c>
      <c r="O310">
        <f>VLOOKUP(all[[#This Row],[DEVELOPMENT]],Data[],30,FALSE)</f>
        <v>0</v>
      </c>
      <c r="P310">
        <f>VLOOKUP(all[[#This Row],[DEVELOPMENT]],Data[],28,FALSE)</f>
        <v>0</v>
      </c>
      <c r="Q310">
        <f>IF(all[[#This Row],['# Bulk Crushers]]=0,1,0)</f>
        <v>1</v>
      </c>
      <c r="R310" s="5">
        <f>IFERROR(INDEX(FWD[],MATCH($B310,FWD[DEVELOPMENT],0),MATCH("ESTIMATE",FWD[#Headers],0)),0)</f>
        <v>0</v>
      </c>
      <c r="S310" s="5">
        <f>IFERROR(INDEX(EHD[],MATCH($B310,EHD[DEVELOPMENT],0),MATCH("ESTIMATE",EHD[#Headers],0)),0)</f>
        <v>0</v>
      </c>
      <c r="T310" s="5">
        <f ca="1">IFERROR(INDEX(IntComp[],MATCH($B310,IntComp[DEVELOPMENT],0),MATCH("ESTIMATE",IntComp[#Headers],0)),0)</f>
        <v>0</v>
      </c>
      <c r="U310" s="5">
        <f>IFERROR(INDEX(Yards[],MATCH($B310,Yards[DEVELOPMENT],0),MATCH("ESTIMATE",Yards[#Headers],0)),0)</f>
        <v>0</v>
      </c>
      <c r="V310" s="128">
        <f ca="1">SUM(R310:U310)</f>
        <v>0</v>
      </c>
      <c r="W310" s="5"/>
    </row>
    <row r="311" spans="1:23" x14ac:dyDescent="0.25">
      <c r="A311" s="131">
        <f>VLOOKUP(B311,Data[],24,FALSE)</f>
        <v>151</v>
      </c>
      <c r="B311" t="s">
        <v>358</v>
      </c>
      <c r="C311" t="str">
        <f>VLOOKUP(B311,Data[],2,FALSE)</f>
        <v>MANHATTAN</v>
      </c>
      <c r="D311" t="str">
        <f>VLOOKUP(all[[#This Row],[DEVELOPMENT]],Data[],3,FALSE)</f>
        <v>WISE TOWERS</v>
      </c>
      <c r="E311" t="str">
        <f>VLOOKUP(B311,Data[],8,FALSE)</f>
        <v>Zone 4</v>
      </c>
      <c r="F311">
        <f>VLOOKUP(B311,Data[],9,FALSE)</f>
        <v>0</v>
      </c>
      <c r="G311" t="str">
        <f>IFERROR(VLOOKUP(B311,Data[],4,FALSE),"")</f>
        <v/>
      </c>
      <c r="H311" t="str">
        <f ca="1">IF(G311="","",IF((G311-YEAR(TODAY()))&lt;=5,"Yes",""))</f>
        <v/>
      </c>
      <c r="I311">
        <f>VLOOKUP(all[[#This Row],[DEVELOPMENT]],Data[],7,FALSE)</f>
        <v>69</v>
      </c>
      <c r="J311">
        <f>VLOOKUP(all[[#This Row],[DEVELOPMENT]],Data[],25,FALSE)</f>
        <v>0</v>
      </c>
      <c r="K311">
        <f>VLOOKUP(all[[#This Row],[DEVELOPMENT]],Data[],5,FALSE)</f>
        <v>1</v>
      </c>
      <c r="L311">
        <f>VLOOKUP(all[[#This Row],[DEVELOPMENT]],Data[],27,FALSE)</f>
        <v>1</v>
      </c>
      <c r="M311">
        <f>VLOOKUP(all[[#This Row],[DEVELOPMENT]],Data[],31,FALSE)</f>
        <v>1</v>
      </c>
      <c r="N311">
        <f>VLOOKUP(all[[#This Row],[DEVELOPMENT]],Data[],26,FALSE)</f>
        <v>0</v>
      </c>
      <c r="O311">
        <f>VLOOKUP(all[[#This Row],[DEVELOPMENT]],Data[],30,FALSE)</f>
        <v>0</v>
      </c>
      <c r="P311">
        <f>VLOOKUP(all[[#This Row],[DEVELOPMENT]],Data[],28,FALSE)</f>
        <v>0</v>
      </c>
      <c r="Q311">
        <f>IF(all[[#This Row],['# Bulk Crushers]]=0,1,0)</f>
        <v>1</v>
      </c>
      <c r="R311" s="5">
        <f>IFERROR(INDEX(FWD[],MATCH($B311,FWD[DEVELOPMENT],0),MATCH("ESTIMATE",FWD[#Headers],0)),0)</f>
        <v>0</v>
      </c>
      <c r="S311" s="5">
        <f>IFERROR(INDEX(EHD[],MATCH($B311,EHD[DEVELOPMENT],0),MATCH("ESTIMATE",EHD[#Headers],0)),0)</f>
        <v>7435.6435000000001</v>
      </c>
      <c r="T311" s="5">
        <f ca="1">IFERROR(INDEX(IntComp[],MATCH($B311,IntComp[DEVELOPMENT],0),MATCH("ESTIMATE",IntComp[#Headers],0)),0)</f>
        <v>73653.394499999995</v>
      </c>
      <c r="U311" s="5">
        <f>IFERROR(INDEX(Yards[],MATCH($B311,Yards[DEVELOPMENT],0),MATCH("ESTIMATE",Yards[#Headers],0)),0)</f>
        <v>0</v>
      </c>
      <c r="V311" s="128">
        <f ca="1">SUM(R311:U311)</f>
        <v>81089.038</v>
      </c>
      <c r="W311" s="5"/>
    </row>
    <row r="312" spans="1:23" x14ac:dyDescent="0.25">
      <c r="A312" s="131">
        <f>VLOOKUP(B312,Data[],24,FALSE)</f>
        <v>173</v>
      </c>
      <c r="B312" t="s">
        <v>359</v>
      </c>
      <c r="C312" t="str">
        <f>VLOOKUP(B312,Data[],2,FALSE)</f>
        <v>MANHATTAN</v>
      </c>
      <c r="D312" t="str">
        <f>VLOOKUP(all[[#This Row],[DEVELOPMENT]],Data[],3,FALSE)</f>
        <v>WISE TOWERS</v>
      </c>
      <c r="E312" t="str">
        <f>VLOOKUP(B312,Data[],8,FALSE)</f>
        <v>Zone 4</v>
      </c>
      <c r="F312">
        <f>VLOOKUP(B312,Data[],9,FALSE)</f>
        <v>0</v>
      </c>
      <c r="G312" t="str">
        <f>IFERROR(VLOOKUP(B312,Data[],4,FALSE),"")</f>
        <v/>
      </c>
      <c r="H312" t="str">
        <f ca="1">IF(G312="","",IF((G312-YEAR(TODAY()))&lt;=5,"Yes",""))</f>
        <v/>
      </c>
      <c r="I312">
        <f>VLOOKUP(all[[#This Row],[DEVELOPMENT]],Data[],7,FALSE)</f>
        <v>168</v>
      </c>
      <c r="J312">
        <f>VLOOKUP(all[[#This Row],[DEVELOPMENT]],Data[],25,FALSE)</f>
        <v>0</v>
      </c>
      <c r="K312">
        <f>VLOOKUP(all[[#This Row],[DEVELOPMENT]],Data[],5,FALSE)</f>
        <v>1</v>
      </c>
      <c r="L312">
        <f>VLOOKUP(all[[#This Row],[DEVELOPMENT]],Data[],27,FALSE)</f>
        <v>2</v>
      </c>
      <c r="M312">
        <f>VLOOKUP(all[[#This Row],[DEVELOPMENT]],Data[],31,FALSE)</f>
        <v>2</v>
      </c>
      <c r="N312">
        <f>VLOOKUP(all[[#This Row],[DEVELOPMENT]],Data[],26,FALSE)</f>
        <v>0</v>
      </c>
      <c r="O312">
        <f>VLOOKUP(all[[#This Row],[DEVELOPMENT]],Data[],30,FALSE)</f>
        <v>0</v>
      </c>
      <c r="P312">
        <f>VLOOKUP(all[[#This Row],[DEVELOPMENT]],Data[],28,FALSE)</f>
        <v>0</v>
      </c>
      <c r="Q312">
        <f>IF(all[[#This Row],['# Bulk Crushers]]=0,1,0)</f>
        <v>1</v>
      </c>
      <c r="R312" s="5">
        <f>IFERROR(INDEX(FWD[],MATCH($B312,FWD[DEVELOPMENT],0),MATCH("ESTIMATE",FWD[#Headers],0)),0)</f>
        <v>0</v>
      </c>
      <c r="S312" s="5">
        <f>IFERROR(INDEX(EHD[],MATCH($B312,EHD[DEVELOPMENT],0),MATCH("ESTIMATE",EHD[#Headers],0)),0)</f>
        <v>14871.287</v>
      </c>
      <c r="T312" s="5">
        <f ca="1">IFERROR(INDEX(IntComp[],MATCH($B312,IntComp[DEVELOPMENT],0),MATCH("ESTIMATE",IntComp[#Headers],0)),0)</f>
        <v>147306.78899999999</v>
      </c>
      <c r="U312" s="5">
        <f>IFERROR(INDEX(Yards[],MATCH($B312,Yards[DEVELOPMENT],0),MATCH("ESTIMATE",Yards[#Headers],0)),0)</f>
        <v>1159792.78</v>
      </c>
      <c r="V312" s="128">
        <f ca="1">SUM(R312:U312)</f>
        <v>1321970.8560000001</v>
      </c>
      <c r="W312" s="5"/>
    </row>
    <row r="313" spans="1:23" x14ac:dyDescent="0.25">
      <c r="A313" s="131">
        <f>VLOOKUP(B313,Data[],24,FALSE)</f>
        <v>174</v>
      </c>
      <c r="B313" t="s">
        <v>360</v>
      </c>
      <c r="C313" t="str">
        <f>VLOOKUP(B313,Data[],2,FALSE)</f>
        <v>MANHATTAN</v>
      </c>
      <c r="D313" t="str">
        <f>VLOOKUP(all[[#This Row],[DEVELOPMENT]],Data[],3,FALSE)</f>
        <v>WISE TOWERS</v>
      </c>
      <c r="E313">
        <f>VLOOKUP(B313,Data[],8,FALSE)</f>
        <v>0</v>
      </c>
      <c r="F313">
        <f>VLOOKUP(B313,Data[],9,FALSE)</f>
        <v>0</v>
      </c>
      <c r="G313" t="str">
        <f>IFERROR(VLOOKUP(B313,Data[],4,FALSE),"")</f>
        <v/>
      </c>
      <c r="H313" t="str">
        <f ca="1">IF(G313="","",IF((G313-YEAR(TODAY()))&lt;=5,"Yes",""))</f>
        <v/>
      </c>
      <c r="I313">
        <f>VLOOKUP(all[[#This Row],[DEVELOPMENT]],Data[],7,FALSE)</f>
        <v>158</v>
      </c>
      <c r="J313">
        <f>VLOOKUP(all[[#This Row],[DEVELOPMENT]],Data[],25,FALSE)</f>
        <v>0</v>
      </c>
      <c r="K313">
        <f>VLOOKUP(all[[#This Row],[DEVELOPMENT]],Data[],5,FALSE)</f>
        <v>1</v>
      </c>
      <c r="L313">
        <f>VLOOKUP(all[[#This Row],[DEVELOPMENT]],Data[],27,FALSE)</f>
        <v>2</v>
      </c>
      <c r="M313">
        <f>VLOOKUP(all[[#This Row],[DEVELOPMENT]],Data[],31,FALSE)</f>
        <v>2</v>
      </c>
      <c r="N313">
        <f>VLOOKUP(all[[#This Row],[DEVELOPMENT]],Data[],26,FALSE)</f>
        <v>0</v>
      </c>
      <c r="O313">
        <f>VLOOKUP(all[[#This Row],[DEVELOPMENT]],Data[],30,FALSE)</f>
        <v>0</v>
      </c>
      <c r="P313">
        <f>VLOOKUP(all[[#This Row],[DEVELOPMENT]],Data[],28,FALSE)</f>
        <v>0</v>
      </c>
      <c r="Q313">
        <f>IF(all[[#This Row],['# Bulk Crushers]]=0,1,0)</f>
        <v>1</v>
      </c>
      <c r="R313" s="5">
        <f>IFERROR(INDEX(FWD[],MATCH($B313,FWD[DEVELOPMENT],0),MATCH("ESTIMATE",FWD[#Headers],0)),0)</f>
        <v>0</v>
      </c>
      <c r="S313" s="5">
        <f>IFERROR(INDEX(EHD[],MATCH($B313,EHD[DEVELOPMENT],0),MATCH("ESTIMATE",EHD[#Headers],0)),0)</f>
        <v>14871.287</v>
      </c>
      <c r="T313" s="5">
        <f ca="1">IFERROR(INDEX(IntComp[],MATCH($B313,IntComp[DEVELOPMENT],0),MATCH("ESTIMATE",IntComp[#Headers],0)),0)</f>
        <v>147306.78899999999</v>
      </c>
      <c r="U313" s="5">
        <f>IFERROR(INDEX(Yards[],MATCH($B313,Yards[DEVELOPMENT],0),MATCH("ESTIMATE",Yards[#Headers],0)),0)</f>
        <v>1159792.78</v>
      </c>
      <c r="V313" s="128">
        <f ca="1">SUM(R313:U313)</f>
        <v>1321970.8560000001</v>
      </c>
      <c r="W313" s="5"/>
    </row>
    <row r="314" spans="1:23" x14ac:dyDescent="0.25">
      <c r="A314" s="131">
        <f>VLOOKUP(B314,Data[],24,FALSE)</f>
        <v>163</v>
      </c>
      <c r="B314" t="s">
        <v>361</v>
      </c>
      <c r="C314" t="str">
        <f>VLOOKUP(B314,Data[],2,FALSE)</f>
        <v>BROOKLYN</v>
      </c>
      <c r="D314" t="str">
        <f>VLOOKUP(all[[#This Row],[DEVELOPMENT]],Data[],3,FALSE)</f>
        <v>WYCKOFF GARDENS</v>
      </c>
      <c r="E314">
        <f>VLOOKUP(B314,Data[],8,FALSE)</f>
        <v>0</v>
      </c>
      <c r="F314">
        <f>VLOOKUP(B314,Data[],9,FALSE)</f>
        <v>0</v>
      </c>
      <c r="G314" t="str">
        <f>IFERROR(VLOOKUP(B314,Data[],4,FALSE),"")</f>
        <v/>
      </c>
      <c r="H314" t="str">
        <f ca="1">IF(G314="","",IF((G314-YEAR(TODAY()))&lt;=5,"Yes",""))</f>
        <v/>
      </c>
      <c r="I314">
        <f>VLOOKUP(all[[#This Row],[DEVELOPMENT]],Data[],7,FALSE)</f>
        <v>528</v>
      </c>
      <c r="J314">
        <f>VLOOKUP(all[[#This Row],[DEVELOPMENT]],Data[],25,FALSE)</f>
        <v>0</v>
      </c>
      <c r="K314">
        <f>VLOOKUP(all[[#This Row],[DEVELOPMENT]],Data[],5,FALSE)</f>
        <v>3</v>
      </c>
      <c r="L314">
        <f>VLOOKUP(all[[#This Row],[DEVELOPMENT]],Data[],27,FALSE)</f>
        <v>6</v>
      </c>
      <c r="M314">
        <f>VLOOKUP(all[[#This Row],[DEVELOPMENT]],Data[],31,FALSE)</f>
        <v>6</v>
      </c>
      <c r="N314">
        <f>VLOOKUP(all[[#This Row],[DEVELOPMENT]],Data[],26,FALSE)</f>
        <v>0</v>
      </c>
      <c r="O314">
        <f>VLOOKUP(all[[#This Row],[DEVELOPMENT]],Data[],30,FALSE)</f>
        <v>0</v>
      </c>
      <c r="P314">
        <f>VLOOKUP(all[[#This Row],[DEVELOPMENT]],Data[],28,FALSE)</f>
        <v>0</v>
      </c>
      <c r="Q314">
        <f>IF(all[[#This Row],['# Bulk Crushers]]=0,1,0)</f>
        <v>1</v>
      </c>
      <c r="R314" s="5">
        <f>IFERROR(INDEX(FWD[],MATCH($B314,FWD[DEVELOPMENT],0),MATCH("ESTIMATE",FWD[#Headers],0)),0)</f>
        <v>0</v>
      </c>
      <c r="S314" s="5">
        <f>IFERROR(INDEX(EHD[],MATCH($B314,EHD[DEVELOPMENT],0),MATCH("ESTIMATE",EHD[#Headers],0)),0)</f>
        <v>44613.861000000004</v>
      </c>
      <c r="T314" s="5">
        <f ca="1">IFERROR(INDEX(IntComp[],MATCH($B314,IntComp[DEVELOPMENT],0),MATCH("ESTIMATE",IntComp[#Headers],0)),0)</f>
        <v>441920.36699999991</v>
      </c>
      <c r="U314" s="5">
        <f>IFERROR(INDEX(Yards[],MATCH($B314,Yards[DEVELOPMENT],0),MATCH("ESTIMATE",Yards[#Headers],0)),0)</f>
        <v>1159792.78</v>
      </c>
      <c r="V314" s="128">
        <f ca="1">SUM(R314:U314)</f>
        <v>1646327.0079999999</v>
      </c>
      <c r="W314" s="5"/>
    </row>
  </sheetData>
  <conditionalFormatting sqref="B3:V3">
    <cfRule type="containsErrors" dxfId="47" priority="1">
      <formula>ISERROR(B3)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3526-4040-4356-AD28-B10C2426AF93}">
  <dimension ref="A1:N76"/>
  <sheetViews>
    <sheetView workbookViewId="0">
      <selection activeCell="M11" sqref="M11"/>
    </sheetView>
  </sheetViews>
  <sheetFormatPr defaultRowHeight="15" x14ac:dyDescent="0.25"/>
  <cols>
    <col min="1" max="1" width="46" bestFit="1" customWidth="1"/>
    <col min="2" max="2" width="12.7109375" bestFit="1" customWidth="1"/>
    <col min="3" max="3" width="19.85546875" bestFit="1" customWidth="1"/>
    <col min="4" max="4" width="16.42578125" bestFit="1" customWidth="1"/>
    <col min="5" max="5" width="7" bestFit="1" customWidth="1"/>
    <col min="6" max="6" width="15" bestFit="1" customWidth="1"/>
    <col min="7" max="7" width="12.42578125" bestFit="1" customWidth="1"/>
    <col min="8" max="8" width="22.28515625" bestFit="1" customWidth="1"/>
    <col min="9" max="9" width="17.85546875" bestFit="1" customWidth="1"/>
    <col min="10" max="10" width="14.140625" bestFit="1" customWidth="1"/>
    <col min="11" max="11" width="12.5703125" bestFit="1" customWidth="1"/>
    <col min="12" max="12" width="14.28515625" bestFit="1" customWidth="1"/>
    <col min="13" max="13" width="15.28515625" style="5" bestFit="1" customWidth="1"/>
    <col min="14" max="14" width="19.140625" bestFit="1" customWidth="1"/>
  </cols>
  <sheetData>
    <row r="1" spans="1:14" x14ac:dyDescent="0.25">
      <c r="L1" s="22">
        <f>SUM(FWD[COST])</f>
        <v>1703503.75</v>
      </c>
      <c r="M1" s="22">
        <f>SUM(FWD[ESTIMATE])</f>
        <v>60513255.235858425</v>
      </c>
      <c r="N1" s="22">
        <f>SUM(L1:M1)</f>
        <v>62216758.985858425</v>
      </c>
    </row>
    <row r="3" spans="1:14" x14ac:dyDescent="0.25">
      <c r="A3" s="120" t="s">
        <v>7</v>
      </c>
      <c r="B3" s="120" t="s">
        <v>5</v>
      </c>
      <c r="C3" s="120" t="s">
        <v>11</v>
      </c>
      <c r="D3" s="120" t="s">
        <v>374</v>
      </c>
      <c r="E3" s="120" t="s">
        <v>8</v>
      </c>
      <c r="F3" s="120" t="s">
        <v>9</v>
      </c>
      <c r="G3" s="120" t="s">
        <v>10</v>
      </c>
      <c r="H3" s="120" t="s">
        <v>152</v>
      </c>
      <c r="I3" s="120" t="s">
        <v>17</v>
      </c>
      <c r="J3" s="120" t="s">
        <v>18</v>
      </c>
      <c r="K3" s="120" t="s">
        <v>19</v>
      </c>
      <c r="L3" s="120" t="s">
        <v>21</v>
      </c>
      <c r="M3" s="121" t="s">
        <v>375</v>
      </c>
      <c r="N3" s="121" t="s">
        <v>376</v>
      </c>
    </row>
    <row r="4" spans="1:14" x14ac:dyDescent="0.25">
      <c r="A4" s="116" t="s">
        <v>48</v>
      </c>
      <c r="B4" s="117" t="str">
        <f>VLOOKUP(A4,Data[],2,FALSE)</f>
        <v>MANHATTAN</v>
      </c>
      <c r="C4" s="118" t="s">
        <v>49</v>
      </c>
      <c r="D4" s="118">
        <f>VLOOKUP(FWD[[#This Row],[DEVELOPMENT]],Data[],7,FALSE)</f>
        <v>197</v>
      </c>
      <c r="E4" s="118" t="str">
        <f>VLOOKUP(FWD[[#This Row],[DEVELOPMENT]],Data[],8,FALSE)</f>
        <v>Zone 1</v>
      </c>
      <c r="F4" s="118" t="str">
        <f>VLOOKUP(FWD[[#This Row],[DEVELOPMENT]],Data[],9,FALSE)</f>
        <v>$</v>
      </c>
      <c r="G4" s="117" t="str">
        <f>IFERROR(VLOOKUP(FWD[[#This Row],[DEVELOPMENT]],Data[],4,FALSE),"")</f>
        <v/>
      </c>
      <c r="H4" s="117" t="str">
        <f ca="1">IF(FWD[[#This Row],[RAD/PACT]]="","",IF((FWD[[#This Row],[RAD/PACT]]-YEAR(TODAY()))&lt;=5,"Yes",""))</f>
        <v/>
      </c>
      <c r="I4" s="117">
        <v>2019</v>
      </c>
      <c r="J4" s="117">
        <v>2020</v>
      </c>
      <c r="K4" s="117" t="s">
        <v>377</v>
      </c>
      <c r="L4" s="119">
        <f>400894.17+179611.06+18481.22+8280.07</f>
        <v>607266.5199999999</v>
      </c>
      <c r="M4" s="119"/>
      <c r="N4" s="89">
        <f t="shared" ref="N4:N35" si="0">IF(I4=I3,(M4+L4)+N3,(M4+L4))</f>
        <v>607266.5199999999</v>
      </c>
    </row>
    <row r="5" spans="1:14" x14ac:dyDescent="0.25">
      <c r="A5" s="82" t="s">
        <v>50</v>
      </c>
      <c r="B5" s="1" t="str">
        <f>VLOOKUP(A5,Data[],2,FALSE)</f>
        <v>MANHATTAN</v>
      </c>
      <c r="C5" s="9" t="s">
        <v>49</v>
      </c>
      <c r="D5" s="9">
        <f>VLOOKUP(FWD[[#This Row],[DEVELOPMENT]],Data[],7,FALSE)</f>
        <v>229</v>
      </c>
      <c r="E5" s="9" t="str">
        <f>VLOOKUP(FWD[[#This Row],[DEVELOPMENT]],Data[],8,FALSE)</f>
        <v>Zone 1</v>
      </c>
      <c r="F5" s="9" t="str">
        <f>VLOOKUP(FWD[[#This Row],[DEVELOPMENT]],Data[],9,FALSE)</f>
        <v>$</v>
      </c>
      <c r="G5" s="1" t="str">
        <f>IFERROR(VLOOKUP(FWD[[#This Row],[DEVELOPMENT]],Data[],4,FALSE),"")</f>
        <v/>
      </c>
      <c r="H5" s="1" t="str">
        <f ca="1">IF(FWD[[#This Row],[RAD/PACT]]="","",IF((FWD[[#This Row],[RAD/PACT]]-YEAR(TODAY()))&lt;=5,"Yes",""))</f>
        <v/>
      </c>
      <c r="I5" s="1">
        <v>2019</v>
      </c>
      <c r="J5" s="1">
        <v>2020</v>
      </c>
      <c r="K5" s="1" t="s">
        <v>377</v>
      </c>
      <c r="L5" s="4">
        <f>370426.21+140727.41+17076.65+6487.54</f>
        <v>534717.81000000006</v>
      </c>
      <c r="M5" s="4"/>
      <c r="N5" s="81">
        <f t="shared" si="0"/>
        <v>1141984.33</v>
      </c>
    </row>
    <row r="6" spans="1:14" x14ac:dyDescent="0.25">
      <c r="A6" s="87" t="s">
        <v>51</v>
      </c>
      <c r="B6" s="51" t="str">
        <f>VLOOKUP(A6,Data[],2,FALSE)</f>
        <v>MANHATTAN</v>
      </c>
      <c r="C6" s="39" t="s">
        <v>49</v>
      </c>
      <c r="D6" s="39">
        <f>VLOOKUP(FWD[[#This Row],[DEVELOPMENT]],Data[],7,FALSE)</f>
        <v>250</v>
      </c>
      <c r="E6" s="39" t="str">
        <f>VLOOKUP(FWD[[#This Row],[DEVELOPMENT]],Data[],8,FALSE)</f>
        <v>Zone 1</v>
      </c>
      <c r="F6" s="39" t="str">
        <f>VLOOKUP(FWD[[#This Row],[DEVELOPMENT]],Data[],9,FALSE)</f>
        <v>$</v>
      </c>
      <c r="G6" s="51" t="str">
        <f>IFERROR(VLOOKUP(FWD[[#This Row],[DEVELOPMENT]],Data[],4,FALSE),"")</f>
        <v/>
      </c>
      <c r="H6" s="51" t="str">
        <f ca="1">IF(FWD[[#This Row],[RAD/PACT]]="","",IF((FWD[[#This Row],[RAD/PACT]]-YEAR(TODAY()))&lt;=5,"Yes",""))</f>
        <v/>
      </c>
      <c r="I6" s="51">
        <v>2019</v>
      </c>
      <c r="J6" s="51">
        <v>2020</v>
      </c>
      <c r="K6" s="51" t="s">
        <v>377</v>
      </c>
      <c r="L6" s="115">
        <f>317508.15+219265.98+14637.13+10108.16</f>
        <v>561519.42000000004</v>
      </c>
      <c r="M6" s="115"/>
      <c r="N6" s="85">
        <f t="shared" si="0"/>
        <v>1703503.75</v>
      </c>
    </row>
    <row r="7" spans="1:14" x14ac:dyDescent="0.25">
      <c r="A7" s="9" t="s">
        <v>147</v>
      </c>
      <c r="B7" s="1" t="str">
        <f>VLOOKUP(A7,Data[],2,FALSE)</f>
        <v>BRONX</v>
      </c>
      <c r="C7" s="9" t="s">
        <v>49</v>
      </c>
      <c r="D7" s="9">
        <f>VLOOKUP(FWD[[#This Row],[DEVELOPMENT]],Data[],7,FALSE)</f>
        <v>206</v>
      </c>
      <c r="E7" s="9" t="str">
        <f>VLOOKUP(FWD[[#This Row],[DEVELOPMENT]],Data[],8,FALSE)</f>
        <v>Zone 1</v>
      </c>
      <c r="F7" s="9" t="str">
        <f>VLOOKUP(FWD[[#This Row],[DEVELOPMENT]],Data[],9,FALSE)</f>
        <v>$$$$</v>
      </c>
      <c r="G7" s="1" t="str">
        <f>IFERROR(VLOOKUP(FWD[[#This Row],[DEVELOPMENT]],Data[],4,FALSE),"")</f>
        <v/>
      </c>
      <c r="H7" s="1" t="str">
        <f ca="1">IF(FWD[[#This Row],[RAD/PACT]]="","",IF((FWD[[#This Row],[RAD/PACT]]-YEAR(TODAY()))&lt;=5,"Yes",""))</f>
        <v/>
      </c>
      <c r="I7" s="1"/>
      <c r="J7" s="1"/>
      <c r="K7" s="1"/>
      <c r="L7" s="1"/>
      <c r="M7" s="3">
        <f>IF(FWD[[#This Row],[RAD/PACT]]&lt;=2020,0,INDEX(UnitCosts[],MATCH(FWD[[#This Row],[WORK TYPE]],UnitCosts[Work Type],0),2)*VLOOKUP(FWD[[#This Row],[DEVELOPMENT]],Data[],MATCH(FWD[[#This Row],[WORK TYPE]],Data[#Headers],0),FALSE))</f>
        <v>354059.60516322521</v>
      </c>
      <c r="N7" s="3">
        <f t="shared" si="0"/>
        <v>354059.60516322521</v>
      </c>
    </row>
    <row r="8" spans="1:14" x14ac:dyDescent="0.25">
      <c r="A8" s="9" t="s">
        <v>118</v>
      </c>
      <c r="B8" s="1" t="str">
        <f>VLOOKUP(A8,Data[],2,FALSE)</f>
        <v>BROOKLYN</v>
      </c>
      <c r="C8" s="9" t="s">
        <v>49</v>
      </c>
      <c r="D8" s="9">
        <f>VLOOKUP(FWD[[#This Row],[DEVELOPMENT]],Data[],7,FALSE)</f>
        <v>234</v>
      </c>
      <c r="E8" s="9" t="str">
        <f>VLOOKUP(FWD[[#This Row],[DEVELOPMENT]],Data[],8,FALSE)</f>
        <v>Zone 1</v>
      </c>
      <c r="F8" s="9" t="str">
        <f>VLOOKUP(FWD[[#This Row],[DEVELOPMENT]],Data[],9,FALSE)</f>
        <v>$</v>
      </c>
      <c r="G8" s="1" t="str">
        <f>IFERROR(VLOOKUP(FWD[[#This Row],[DEVELOPMENT]],Data[],4,FALSE),"")</f>
        <v/>
      </c>
      <c r="H8" s="1" t="str">
        <f ca="1">IF(FWD[[#This Row],[RAD/PACT]]="","",IF((FWD[[#This Row],[RAD/PACT]]-YEAR(TODAY()))&lt;=5,"Yes",""))</f>
        <v/>
      </c>
      <c r="I8" s="1"/>
      <c r="J8" s="1"/>
      <c r="K8" s="1"/>
      <c r="L8" s="1"/>
      <c r="M8" s="3">
        <f>IF(FWD[[#This Row],[RAD/PACT]]&lt;=2020,0,INDEX(UnitCosts[],MATCH(FWD[[#This Row],[WORK TYPE]],UnitCosts[Work Type],0),2)*VLOOKUP(FWD[[#This Row],[DEVELOPMENT]],Data[],MATCH(FWD[[#This Row],[WORK TYPE]],Data[#Headers],0),FALSE))</f>
        <v>402184.21169026551</v>
      </c>
      <c r="N8" s="3">
        <f t="shared" si="0"/>
        <v>756243.81685349066</v>
      </c>
    </row>
    <row r="9" spans="1:14" x14ac:dyDescent="0.25">
      <c r="A9" s="9" t="s">
        <v>163</v>
      </c>
      <c r="B9" s="1" t="str">
        <f>VLOOKUP(A9,Data[],2,FALSE)</f>
        <v>MANHATTAN</v>
      </c>
      <c r="C9" s="9" t="s">
        <v>49</v>
      </c>
      <c r="D9" s="9">
        <f>VLOOKUP(FWD[[#This Row],[DEVELOPMENT]],Data[],7,FALSE)</f>
        <v>225</v>
      </c>
      <c r="E9" s="9">
        <f>VLOOKUP(FWD[[#This Row],[DEVELOPMENT]],Data[],8,FALSE)</f>
        <v>0</v>
      </c>
      <c r="F9" s="9">
        <f>VLOOKUP(FWD[[#This Row],[DEVELOPMENT]],Data[],9,FALSE)</f>
        <v>0</v>
      </c>
      <c r="G9" s="1" t="str">
        <f>IFERROR(VLOOKUP(FWD[[#This Row],[DEVELOPMENT]],Data[],4,FALSE),"")</f>
        <v/>
      </c>
      <c r="H9" s="1" t="str">
        <f ca="1">IF(FWD[[#This Row],[RAD/PACT]]="","",IF((FWD[[#This Row],[RAD/PACT]]-YEAR(TODAY()))&lt;=5,"Yes",""))</f>
        <v/>
      </c>
      <c r="I9" s="1"/>
      <c r="J9" s="1"/>
      <c r="K9" s="1"/>
      <c r="L9" s="1"/>
      <c r="M9" s="3">
        <f>IF(FWD[[#This Row],[RAD/PACT]]&lt;=2020,0,INDEX(UnitCosts[],MATCH(FWD[[#This Row],[WORK TYPE]],UnitCosts[Work Type],0),2)*VLOOKUP(FWD[[#This Row],[DEVELOPMENT]],Data[],MATCH(FWD[[#This Row],[WORK TYPE]],Data[#Headers],0),FALSE))</f>
        <v>386715.58816371683</v>
      </c>
      <c r="N9" s="3">
        <f t="shared" si="0"/>
        <v>1142959.4050172074</v>
      </c>
    </row>
    <row r="10" spans="1:14" x14ac:dyDescent="0.25">
      <c r="A10" s="9" t="s">
        <v>57</v>
      </c>
      <c r="B10" s="1" t="str">
        <f>VLOOKUP(A10,Data[],2,FALSE)</f>
        <v>MANHATTAN</v>
      </c>
      <c r="C10" s="9" t="s">
        <v>49</v>
      </c>
      <c r="D10" s="9">
        <f>VLOOKUP(FWD[[#This Row],[DEVELOPMENT]],Data[],7,FALSE)</f>
        <v>107</v>
      </c>
      <c r="E10" s="9" t="str">
        <f>VLOOKUP(FWD[[#This Row],[DEVELOPMENT]],Data[],8,FALSE)</f>
        <v>Zone 1</v>
      </c>
      <c r="F10" s="9" t="str">
        <f>VLOOKUP(FWD[[#This Row],[DEVELOPMENT]],Data[],9,FALSE)</f>
        <v>$$</v>
      </c>
      <c r="G10" s="1" t="str">
        <f>IFERROR(VLOOKUP(FWD[[#This Row],[DEVELOPMENT]],Data[],4,FALSE),"")</f>
        <v/>
      </c>
      <c r="H10" s="1" t="str">
        <f ca="1">IF(FWD[[#This Row],[RAD/PACT]]="","",IF((FWD[[#This Row],[RAD/PACT]]-YEAR(TODAY()))&lt;=5,"Yes",""))</f>
        <v/>
      </c>
      <c r="I10" s="1"/>
      <c r="J10" s="1"/>
      <c r="K10" s="1"/>
      <c r="L10" s="1"/>
      <c r="M10" s="3">
        <f>IF(FWD[[#This Row],[RAD/PACT]]&lt;=2020,0,INDEX(UnitCosts[],MATCH(FWD[[#This Row],[WORK TYPE]],UnitCosts[Work Type],0),2)*VLOOKUP(FWD[[#This Row],[DEVELOPMENT]],Data[],MATCH(FWD[[#This Row],[WORK TYPE]],Data[#Headers],0),FALSE))</f>
        <v>183904.74637118977</v>
      </c>
      <c r="N10" s="3">
        <f t="shared" si="0"/>
        <v>1326864.1513883972</v>
      </c>
    </row>
    <row r="11" spans="1:14" x14ac:dyDescent="0.25">
      <c r="A11" s="9" t="s">
        <v>167</v>
      </c>
      <c r="B11" s="1" t="str">
        <f>VLOOKUP(A11,Data[],2,FALSE)</f>
        <v>BROOKLYN</v>
      </c>
      <c r="C11" s="9" t="s">
        <v>49</v>
      </c>
      <c r="D11" s="9">
        <f>VLOOKUP(FWD[[#This Row],[DEVELOPMENT]],Data[],7,FALSE)</f>
        <v>823</v>
      </c>
      <c r="E11" s="9">
        <f>VLOOKUP(FWD[[#This Row],[DEVELOPMENT]],Data[],8,FALSE)</f>
        <v>0</v>
      </c>
      <c r="F11" s="9">
        <f>VLOOKUP(FWD[[#This Row],[DEVELOPMENT]],Data[],9,FALSE)</f>
        <v>0</v>
      </c>
      <c r="G11" s="1">
        <f>IFERROR(VLOOKUP(FWD[[#This Row],[DEVELOPMENT]],Data[],4,FALSE),"")</f>
        <v>2025</v>
      </c>
      <c r="H11" s="1" t="str">
        <f ca="1">IF(FWD[[#This Row],[RAD/PACT]]="","",IF((FWD[[#This Row],[RAD/PACT]]-YEAR(TODAY()))&lt;=5,"Yes",""))</f>
        <v/>
      </c>
      <c r="I11" s="1"/>
      <c r="J11" s="1"/>
      <c r="K11" s="1"/>
      <c r="L11" s="1"/>
      <c r="M11" s="3">
        <f>IF(FWD[[#This Row],[RAD/PACT]]&lt;=2020,0,INDEX(UnitCosts[],MATCH(FWD[[#This Row],[WORK TYPE]],UnitCosts[Work Type],0),2)*VLOOKUP(FWD[[#This Row],[DEVELOPMENT]],Data[],MATCH(FWD[[#This Row],[WORK TYPE]],Data[#Headers],0),FALSE))</f>
        <v>1414519.6847055065</v>
      </c>
      <c r="N11" s="3">
        <f t="shared" si="0"/>
        <v>2741383.8360939035</v>
      </c>
    </row>
    <row r="12" spans="1:14" x14ac:dyDescent="0.25">
      <c r="A12" s="9" t="s">
        <v>168</v>
      </c>
      <c r="B12" s="1" t="str">
        <f>VLOOKUP(A12,Data[],2,FALSE)</f>
        <v>BROOKLYN</v>
      </c>
      <c r="C12" s="9" t="s">
        <v>49</v>
      </c>
      <c r="D12" s="9">
        <f>VLOOKUP(FWD[[#This Row],[DEVELOPMENT]],Data[],7,FALSE)</f>
        <v>400</v>
      </c>
      <c r="E12" s="9">
        <f>VLOOKUP(FWD[[#This Row],[DEVELOPMENT]],Data[],8,FALSE)</f>
        <v>0</v>
      </c>
      <c r="F12" s="9">
        <f>VLOOKUP(FWD[[#This Row],[DEVELOPMENT]],Data[],9,FALSE)</f>
        <v>0</v>
      </c>
      <c r="G12" s="1">
        <f>IFERROR(VLOOKUP(FWD[[#This Row],[DEVELOPMENT]],Data[],4,FALSE),"")</f>
        <v>2025</v>
      </c>
      <c r="H12" s="1" t="str">
        <f ca="1">IF(FWD[[#This Row],[RAD/PACT]]="","",IF((FWD[[#This Row],[RAD/PACT]]-YEAR(TODAY()))&lt;=5,"Yes",""))</f>
        <v/>
      </c>
      <c r="I12" s="1"/>
      <c r="J12" s="1"/>
      <c r="K12" s="1"/>
      <c r="L12" s="1"/>
      <c r="M12" s="3">
        <f>IF(FWD[[#This Row],[RAD/PACT]]&lt;=2020,0,INDEX(UnitCosts[],MATCH(FWD[[#This Row],[WORK TYPE]],UnitCosts[Work Type],0),2)*VLOOKUP(FWD[[#This Row],[DEVELOPMENT]],Data[],MATCH(FWD[[#This Row],[WORK TYPE]],Data[#Headers],0),FALSE))</f>
        <v>687494.37895771884</v>
      </c>
      <c r="N12" s="3">
        <f t="shared" si="0"/>
        <v>3428878.2150516221</v>
      </c>
    </row>
    <row r="13" spans="1:14" x14ac:dyDescent="0.25">
      <c r="A13" s="9" t="s">
        <v>171</v>
      </c>
      <c r="B13" s="1" t="str">
        <f>VLOOKUP(A13,Data[],2,FALSE)</f>
        <v>BROOKLYN</v>
      </c>
      <c r="C13" s="9" t="s">
        <v>49</v>
      </c>
      <c r="D13" s="9">
        <f>VLOOKUP(FWD[[#This Row],[DEVELOPMENT]],Data[],7,FALSE)</f>
        <v>369</v>
      </c>
      <c r="E13" s="9" t="str">
        <f>VLOOKUP(FWD[[#This Row],[DEVELOPMENT]],Data[],8,FALSE)</f>
        <v>Zone 1</v>
      </c>
      <c r="F13" s="9" t="str">
        <f>VLOOKUP(FWD[[#This Row],[DEVELOPMENT]],Data[],9,FALSE)</f>
        <v>$</v>
      </c>
      <c r="G13" s="1" t="str">
        <f>IFERROR(VLOOKUP(FWD[[#This Row],[DEVELOPMENT]],Data[],4,FALSE),"")</f>
        <v/>
      </c>
      <c r="H13" s="1" t="str">
        <f ca="1">IF(FWD[[#This Row],[RAD/PACT]]="","",IF((FWD[[#This Row],[RAD/PACT]]-YEAR(TODAY()))&lt;=5,"Yes",""))</f>
        <v/>
      </c>
      <c r="I13" s="1"/>
      <c r="J13" s="1"/>
      <c r="K13" s="1"/>
      <c r="L13" s="1"/>
      <c r="M13" s="3">
        <f>IF(FWD[[#This Row],[RAD/PACT]]&lt;=2020,0,INDEX(UnitCosts[],MATCH(FWD[[#This Row],[WORK TYPE]],UnitCosts[Work Type],0),2)*VLOOKUP(FWD[[#This Row],[DEVELOPMENT]],Data[],MATCH(FWD[[#This Row],[WORK TYPE]],Data[#Headers],0),FALSE))</f>
        <v>634213.56458849565</v>
      </c>
      <c r="N13" s="3">
        <f t="shared" si="0"/>
        <v>4063091.7796401177</v>
      </c>
    </row>
    <row r="14" spans="1:14" x14ac:dyDescent="0.25">
      <c r="A14" s="9" t="s">
        <v>172</v>
      </c>
      <c r="B14" s="1" t="str">
        <f>VLOOKUP(A14,Data[],2,FALSE)</f>
        <v>BROOKLYN</v>
      </c>
      <c r="C14" s="9" t="s">
        <v>49</v>
      </c>
      <c r="D14" s="9">
        <f>VLOOKUP(FWD[[#This Row],[DEVELOPMENT]],Data[],7,FALSE)</f>
        <v>248</v>
      </c>
      <c r="E14" s="9" t="str">
        <f>VLOOKUP(FWD[[#This Row],[DEVELOPMENT]],Data[],8,FALSE)</f>
        <v>Zone 1</v>
      </c>
      <c r="F14" s="9" t="str">
        <f>VLOOKUP(FWD[[#This Row],[DEVELOPMENT]],Data[],9,FALSE)</f>
        <v>$</v>
      </c>
      <c r="G14" s="1" t="str">
        <f>IFERROR(VLOOKUP(FWD[[#This Row],[DEVELOPMENT]],Data[],4,FALSE),"")</f>
        <v/>
      </c>
      <c r="H14" s="1" t="str">
        <f ca="1">IF(FWD[[#This Row],[RAD/PACT]]="","",IF((FWD[[#This Row],[RAD/PACT]]-YEAR(TODAY()))&lt;=5,"Yes",""))</f>
        <v/>
      </c>
      <c r="I14" s="1"/>
      <c r="J14" s="1"/>
      <c r="K14" s="1"/>
      <c r="L14" s="1"/>
      <c r="M14" s="3">
        <f>IF(FWD[[#This Row],[RAD/PACT]]&lt;=2020,0,INDEX(UnitCosts[],MATCH(FWD[[#This Row],[WORK TYPE]],UnitCosts[Work Type],0),2)*VLOOKUP(FWD[[#This Row],[DEVELOPMENT]],Data[],MATCH(FWD[[#This Row],[WORK TYPE]],Data[#Headers],0),FALSE))</f>
        <v>426246.51495378563</v>
      </c>
      <c r="N14" s="3">
        <f t="shared" si="0"/>
        <v>4489338.2945939032</v>
      </c>
    </row>
    <row r="15" spans="1:14" x14ac:dyDescent="0.25">
      <c r="A15" s="9" t="s">
        <v>58</v>
      </c>
      <c r="B15" s="1" t="str">
        <f>VLOOKUP(A15,Data[],2,FALSE)</f>
        <v>MANHATTAN</v>
      </c>
      <c r="C15" s="9" t="s">
        <v>49</v>
      </c>
      <c r="D15" s="9">
        <f>VLOOKUP(FWD[[#This Row],[DEVELOPMENT]],Data[],7,FALSE)</f>
        <v>2193</v>
      </c>
      <c r="E15" s="9" t="str">
        <f>VLOOKUP(FWD[[#This Row],[DEVELOPMENT]],Data[],8,FALSE)</f>
        <v>Zone 1</v>
      </c>
      <c r="F15" s="9" t="str">
        <f>VLOOKUP(FWD[[#This Row],[DEVELOPMENT]],Data[],9,FALSE)</f>
        <v>$</v>
      </c>
      <c r="G15" s="1" t="str">
        <f>IFERROR(VLOOKUP(FWD[[#This Row],[DEVELOPMENT]],Data[],4,FALSE),"")</f>
        <v/>
      </c>
      <c r="H15" s="1" t="str">
        <f ca="1">IF(FWD[[#This Row],[RAD/PACT]]="","",IF((FWD[[#This Row],[RAD/PACT]]-YEAR(TODAY()))&lt;=5,"Yes",""))</f>
        <v/>
      </c>
      <c r="I15" s="1"/>
      <c r="J15" s="1"/>
      <c r="K15" s="1"/>
      <c r="L15" s="1"/>
      <c r="M15" s="3">
        <f>IF(FWD[[#This Row],[RAD/PACT]]&lt;=2020,0,INDEX(UnitCosts[],MATCH(FWD[[#This Row],[WORK TYPE]],UnitCosts[Work Type],0),2)*VLOOKUP(FWD[[#This Row],[DEVELOPMENT]],Data[],MATCH(FWD[[#This Row],[WORK TYPE]],Data[#Headers],0),FALSE))</f>
        <v>3769187.9326356933</v>
      </c>
      <c r="N15" s="3">
        <f t="shared" si="0"/>
        <v>8258526.227229597</v>
      </c>
    </row>
    <row r="16" spans="1:14" x14ac:dyDescent="0.25">
      <c r="A16" s="9" t="s">
        <v>142</v>
      </c>
      <c r="B16" s="1" t="str">
        <f>VLOOKUP(A16,Data[],2,FALSE)</f>
        <v>BROOKLYN</v>
      </c>
      <c r="C16" s="9" t="s">
        <v>49</v>
      </c>
      <c r="D16" s="9">
        <f>VLOOKUP(FWD[[#This Row],[DEVELOPMENT]],Data[],7,FALSE)</f>
        <v>84</v>
      </c>
      <c r="E16" s="9" t="str">
        <f>VLOOKUP(FWD[[#This Row],[DEVELOPMENT]],Data[],8,FALSE)</f>
        <v>Zone 1</v>
      </c>
      <c r="F16" s="9" t="str">
        <f>VLOOKUP(FWD[[#This Row],[DEVELOPMENT]],Data[],9,FALSE)</f>
        <v>$</v>
      </c>
      <c r="G16" s="1" t="str">
        <f>IFERROR(VLOOKUP(FWD[[#This Row],[DEVELOPMENT]],Data[],4,FALSE),"")</f>
        <v/>
      </c>
      <c r="H16" s="1" t="str">
        <f ca="1">IF(FWD[[#This Row],[RAD/PACT]]="","",IF((FWD[[#This Row],[RAD/PACT]]-YEAR(TODAY()))&lt;=5,"Yes",""))</f>
        <v/>
      </c>
      <c r="I16" s="1"/>
      <c r="J16" s="1"/>
      <c r="K16" s="1"/>
      <c r="L16" s="1"/>
      <c r="M16" s="3">
        <f>IF(FWD[[#This Row],[RAD/PACT]]&lt;=2020,0,INDEX(UnitCosts[],MATCH(FWD[[#This Row],[WORK TYPE]],UnitCosts[Work Type],0),2)*VLOOKUP(FWD[[#This Row],[DEVELOPMENT]],Data[],MATCH(FWD[[#This Row],[WORK TYPE]],Data[#Headers],0),FALSE))</f>
        <v>144373.81958112094</v>
      </c>
      <c r="N16" s="3">
        <f t="shared" si="0"/>
        <v>8402900.0468107183</v>
      </c>
    </row>
    <row r="17" spans="1:14" x14ac:dyDescent="0.25">
      <c r="A17" s="9" t="s">
        <v>181</v>
      </c>
      <c r="B17" s="1" t="str">
        <f>VLOOKUP(A17,Data[],2,FALSE)</f>
        <v>BROOKLYN</v>
      </c>
      <c r="C17" s="9" t="s">
        <v>49</v>
      </c>
      <c r="D17" s="9">
        <f>VLOOKUP(FWD[[#This Row],[DEVELOPMENT]],Data[],7,FALSE)</f>
        <v>150</v>
      </c>
      <c r="E17" s="9">
        <f>VLOOKUP(FWD[[#This Row],[DEVELOPMENT]],Data[],8,FALSE)</f>
        <v>0</v>
      </c>
      <c r="F17" s="9">
        <f>VLOOKUP(FWD[[#This Row],[DEVELOPMENT]],Data[],9,FALSE)</f>
        <v>0</v>
      </c>
      <c r="G17" s="1" t="str">
        <f>IFERROR(VLOOKUP(FWD[[#This Row],[DEVELOPMENT]],Data[],4,FALSE),"")</f>
        <v/>
      </c>
      <c r="H17" s="1" t="str">
        <f ca="1">IF(FWD[[#This Row],[RAD/PACT]]="","",IF((FWD[[#This Row],[RAD/PACT]]-YEAR(TODAY()))&lt;=5,"Yes",""))</f>
        <v/>
      </c>
      <c r="I17" s="1"/>
      <c r="J17" s="1"/>
      <c r="K17" s="1"/>
      <c r="L17" s="1"/>
      <c r="M17" s="3">
        <f>IF(FWD[[#This Row],[RAD/PACT]]&lt;=2020,0,INDEX(UnitCosts[],MATCH(FWD[[#This Row],[WORK TYPE]],UnitCosts[Work Type],0),2)*VLOOKUP(FWD[[#This Row],[DEVELOPMENT]],Data[],MATCH(FWD[[#This Row],[WORK TYPE]],Data[#Headers],0),FALSE))</f>
        <v>257810.39210914454</v>
      </c>
      <c r="N17" s="3">
        <f t="shared" si="0"/>
        <v>8660710.4389198627</v>
      </c>
    </row>
    <row r="18" spans="1:14" x14ac:dyDescent="0.25">
      <c r="A18" s="9" t="s">
        <v>119</v>
      </c>
      <c r="B18" s="1" t="str">
        <f>VLOOKUP(A18,Data[],2,FALSE)</f>
        <v>BROOKLYN</v>
      </c>
      <c r="C18" s="9" t="s">
        <v>49</v>
      </c>
      <c r="D18" s="9">
        <f>VLOOKUP(FWD[[#This Row],[DEVELOPMENT]],Data[],7,FALSE)</f>
        <v>509</v>
      </c>
      <c r="E18" s="9" t="str">
        <f>VLOOKUP(FWD[[#This Row],[DEVELOPMENT]],Data[],8,FALSE)</f>
        <v>Zone 3</v>
      </c>
      <c r="F18" s="9" t="str">
        <f>VLOOKUP(FWD[[#This Row],[DEVELOPMENT]],Data[],9,FALSE)</f>
        <v>$$$$</v>
      </c>
      <c r="G18" s="1" t="str">
        <f>IFERROR(VLOOKUP(FWD[[#This Row],[DEVELOPMENT]],Data[],4,FALSE),"")</f>
        <v/>
      </c>
      <c r="H18" s="1" t="str">
        <f ca="1">IF(FWD[[#This Row],[RAD/PACT]]="","",IF((FWD[[#This Row],[RAD/PACT]]-YEAR(TODAY()))&lt;=5,"Yes",""))</f>
        <v/>
      </c>
      <c r="I18" s="1"/>
      <c r="J18" s="1"/>
      <c r="K18" s="1"/>
      <c r="L18" s="1"/>
      <c r="M18" s="3">
        <f>IF(FWD[[#This Row],[RAD/PACT]]&lt;=2020,0,INDEX(UnitCosts[],MATCH(FWD[[#This Row],[WORK TYPE]],UnitCosts[Work Type],0),2)*VLOOKUP(FWD[[#This Row],[DEVELOPMENT]],Data[],MATCH(FWD[[#This Row],[WORK TYPE]],Data[#Headers],0),FALSE))</f>
        <v>874836.59722369723</v>
      </c>
      <c r="N18" s="3">
        <f t="shared" si="0"/>
        <v>9535547.03614356</v>
      </c>
    </row>
    <row r="19" spans="1:14" x14ac:dyDescent="0.25">
      <c r="A19" s="9" t="s">
        <v>72</v>
      </c>
      <c r="B19" s="1" t="str">
        <f>VLOOKUP(A19,Data[],2,FALSE)</f>
        <v>BROOKLYN</v>
      </c>
      <c r="C19" s="9" t="s">
        <v>49</v>
      </c>
      <c r="D19" s="9">
        <f>VLOOKUP(FWD[[#This Row],[DEVELOPMENT]],Data[],7,FALSE)</f>
        <v>425</v>
      </c>
      <c r="E19" s="9" t="str">
        <f>VLOOKUP(FWD[[#This Row],[DEVELOPMENT]],Data[],8,FALSE)</f>
        <v>Zone 3</v>
      </c>
      <c r="F19" s="9" t="str">
        <f>VLOOKUP(FWD[[#This Row],[DEVELOPMENT]],Data[],9,FALSE)</f>
        <v>$$$</v>
      </c>
      <c r="G19" s="1" t="str">
        <f>IFERROR(VLOOKUP(FWD[[#This Row],[DEVELOPMENT]],Data[],4,FALSE),"")</f>
        <v/>
      </c>
      <c r="H19" s="1" t="str">
        <f ca="1">IF(FWD[[#This Row],[RAD/PACT]]="","",IF((FWD[[#This Row],[RAD/PACT]]-YEAR(TODAY()))&lt;=5,"Yes",""))</f>
        <v/>
      </c>
      <c r="I19" s="1"/>
      <c r="J19" s="1"/>
      <c r="K19" s="1"/>
      <c r="L19" s="1"/>
      <c r="M19" s="3">
        <f>IF(FWD[[#This Row],[RAD/PACT]]&lt;=2020,0,INDEX(UnitCosts[],MATCH(FWD[[#This Row],[WORK TYPE]],UnitCosts[Work Type],0),2)*VLOOKUP(FWD[[#This Row],[DEVELOPMENT]],Data[],MATCH(FWD[[#This Row],[WORK TYPE]],Data[#Headers],0),FALSE))</f>
        <v>730462.77764257626</v>
      </c>
      <c r="N19" s="3">
        <f t="shared" si="0"/>
        <v>10266009.813786136</v>
      </c>
    </row>
    <row r="20" spans="1:14" x14ac:dyDescent="0.25">
      <c r="A20" s="9" t="s">
        <v>59</v>
      </c>
      <c r="B20" s="1" t="str">
        <f>VLOOKUP(A20,Data[],2,FALSE)</f>
        <v>MANHATTAN</v>
      </c>
      <c r="C20" s="9" t="s">
        <v>49</v>
      </c>
      <c r="D20" s="9">
        <f>VLOOKUP(FWD[[#This Row],[DEVELOPMENT]],Data[],7,FALSE)</f>
        <v>108</v>
      </c>
      <c r="E20" s="9" t="str">
        <f>VLOOKUP(FWD[[#This Row],[DEVELOPMENT]],Data[],8,FALSE)</f>
        <v>Zone 1</v>
      </c>
      <c r="F20" s="9" t="str">
        <f>VLOOKUP(FWD[[#This Row],[DEVELOPMENT]],Data[],9,FALSE)</f>
        <v>$</v>
      </c>
      <c r="G20" s="1">
        <f>IFERROR(VLOOKUP(FWD[[#This Row],[DEVELOPMENT]],Data[],4,FALSE),"")</f>
        <v>2026</v>
      </c>
      <c r="H20" s="1" t="str">
        <f ca="1">IF(FWD[[#This Row],[RAD/PACT]]="","",IF((FWD[[#This Row],[RAD/PACT]]-YEAR(TODAY()))&lt;=5,"Yes",""))</f>
        <v/>
      </c>
      <c r="I20" s="1"/>
      <c r="J20" s="1"/>
      <c r="K20" s="1"/>
      <c r="L20" s="1"/>
      <c r="M20" s="3">
        <f>IF(FWD[[#This Row],[RAD/PACT]]&lt;=2020,0,INDEX(UnitCosts[],MATCH(FWD[[#This Row],[WORK TYPE]],UnitCosts[Work Type],0),2)*VLOOKUP(FWD[[#This Row],[DEVELOPMENT]],Data[],MATCH(FWD[[#This Row],[WORK TYPE]],Data[#Headers],0),FALSE))</f>
        <v>185623.48231858408</v>
      </c>
      <c r="N20" s="3">
        <f t="shared" si="0"/>
        <v>10451633.29610472</v>
      </c>
    </row>
    <row r="21" spans="1:14" x14ac:dyDescent="0.25">
      <c r="A21" s="9" t="s">
        <v>188</v>
      </c>
      <c r="B21" s="1" t="str">
        <f>VLOOKUP(A21,Data[],2,FALSE)</f>
        <v>BROOKLYN</v>
      </c>
      <c r="C21" s="9" t="s">
        <v>49</v>
      </c>
      <c r="D21" s="9">
        <f>VLOOKUP(FWD[[#This Row],[DEVELOPMENT]],Data[],7,FALSE)</f>
        <v>894</v>
      </c>
      <c r="E21" s="9">
        <f>VLOOKUP(FWD[[#This Row],[DEVELOPMENT]],Data[],8,FALSE)</f>
        <v>0</v>
      </c>
      <c r="F21" s="9">
        <f>VLOOKUP(FWD[[#This Row],[DEVELOPMENT]],Data[],9,FALSE)</f>
        <v>0</v>
      </c>
      <c r="G21" s="1" t="str">
        <f>IFERROR(VLOOKUP(FWD[[#This Row],[DEVELOPMENT]],Data[],4,FALSE),"")</f>
        <v/>
      </c>
      <c r="H21" s="1" t="str">
        <f ca="1">IF(FWD[[#This Row],[RAD/PACT]]="","",IF((FWD[[#This Row],[RAD/PACT]]-YEAR(TODAY()))&lt;=5,"Yes",""))</f>
        <v/>
      </c>
      <c r="I21" s="1"/>
      <c r="J21" s="1"/>
      <c r="K21" s="1"/>
      <c r="L21" s="1"/>
      <c r="M21" s="3">
        <f>IF(FWD[[#This Row],[RAD/PACT]]&lt;=2020,0,INDEX(UnitCosts[],MATCH(FWD[[#This Row],[WORK TYPE]],UnitCosts[Work Type],0),2)*VLOOKUP(FWD[[#This Row],[DEVELOPMENT]],Data[],MATCH(FWD[[#This Row],[WORK TYPE]],Data[#Headers],0),FALSE))</f>
        <v>1536549.9369705014</v>
      </c>
      <c r="N21" s="3">
        <f t="shared" si="0"/>
        <v>11988183.233075222</v>
      </c>
    </row>
    <row r="22" spans="1:14" x14ac:dyDescent="0.25">
      <c r="A22" s="9" t="s">
        <v>26</v>
      </c>
      <c r="B22" s="1" t="str">
        <f>VLOOKUP(A22,Data[],2,FALSE)</f>
        <v>BROOKLYN</v>
      </c>
      <c r="C22" s="9" t="s">
        <v>49</v>
      </c>
      <c r="D22" s="9">
        <f>VLOOKUP(FWD[[#This Row],[DEVELOPMENT]],Data[],7,FALSE)</f>
        <v>1219</v>
      </c>
      <c r="E22" s="9" t="str">
        <f>VLOOKUP(FWD[[#This Row],[DEVELOPMENT]],Data[],8,FALSE)</f>
        <v>Zone 1</v>
      </c>
      <c r="F22" s="9" t="str">
        <f>VLOOKUP(FWD[[#This Row],[DEVELOPMENT]],Data[],9,FALSE)</f>
        <v>$$</v>
      </c>
      <c r="G22" s="1" t="str">
        <f>IFERROR(VLOOKUP(FWD[[#This Row],[DEVELOPMENT]],Data[],4,FALSE),"")</f>
        <v/>
      </c>
      <c r="H22" s="1" t="str">
        <f ca="1">IF(FWD[[#This Row],[RAD/PACT]]="","",IF((FWD[[#This Row],[RAD/PACT]]-YEAR(TODAY()))&lt;=5,"Yes",""))</f>
        <v/>
      </c>
      <c r="I22" s="1"/>
      <c r="J22" s="1"/>
      <c r="K22" s="1"/>
      <c r="L22" s="1"/>
      <c r="M22" s="3">
        <f>IF(FWD[[#This Row],[RAD/PACT]]&lt;=2020,0,INDEX(UnitCosts[],MATCH(FWD[[#This Row],[WORK TYPE]],UnitCosts[Work Type],0),2)*VLOOKUP(FWD[[#This Row],[DEVELOPMENT]],Data[],MATCH(FWD[[#This Row],[WORK TYPE]],Data[#Headers],0),FALSE))</f>
        <v>2095139.119873648</v>
      </c>
      <c r="N22" s="3">
        <f t="shared" si="0"/>
        <v>14083322.352948871</v>
      </c>
    </row>
    <row r="23" spans="1:14" x14ac:dyDescent="0.25">
      <c r="A23" s="9" t="s">
        <v>378</v>
      </c>
      <c r="B23" s="1" t="str">
        <f>VLOOKUP(A23,Data[],2,FALSE)</f>
        <v>BROOKLYN</v>
      </c>
      <c r="C23" s="9" t="s">
        <v>49</v>
      </c>
      <c r="D23" s="9">
        <f>VLOOKUP(FWD[[#This Row],[DEVELOPMENT]],Data[],7,FALSE)</f>
        <v>299</v>
      </c>
      <c r="E23" s="9" t="str">
        <f>VLOOKUP(FWD[[#This Row],[DEVELOPMENT]],Data[],8,FALSE)</f>
        <v>Zone 1</v>
      </c>
      <c r="F23" s="9">
        <f>VLOOKUP(FWD[[#This Row],[DEVELOPMENT]],Data[],9,FALSE)</f>
        <v>0</v>
      </c>
      <c r="G23" s="1" t="str">
        <f>IFERROR(VLOOKUP(FWD[[#This Row],[DEVELOPMENT]],Data[],4,FALSE),"")</f>
        <v/>
      </c>
      <c r="H23" s="1" t="str">
        <f ca="1">IF(FWD[[#This Row],[RAD/PACT]]="","",IF((FWD[[#This Row],[RAD/PACT]]-YEAR(TODAY()))&lt;=5,"Yes",""))</f>
        <v/>
      </c>
      <c r="I23" s="1"/>
      <c r="J23" s="1"/>
      <c r="K23" s="1"/>
      <c r="L23" s="1"/>
      <c r="M23" s="3">
        <f>IF(FWD[[#This Row],[RAD/PACT]]&lt;=2020,0,INDEX(UnitCosts[],MATCH(FWD[[#This Row],[WORK TYPE]],UnitCosts[Work Type],0),2)*VLOOKUP(FWD[[#This Row],[DEVELOPMENT]],Data[],MATCH(FWD[[#This Row],[WORK TYPE]],Data[#Headers],0),FALSE))</f>
        <v>513902.0482708948</v>
      </c>
      <c r="N23" s="3">
        <f t="shared" si="0"/>
        <v>14597224.401219765</v>
      </c>
    </row>
    <row r="24" spans="1:14" x14ac:dyDescent="0.25">
      <c r="A24" s="9" t="s">
        <v>379</v>
      </c>
      <c r="B24" s="1" t="str">
        <f>VLOOKUP(A24,Data[],2,FALSE)</f>
        <v>BROOKLYN</v>
      </c>
      <c r="C24" s="9" t="s">
        <v>49</v>
      </c>
      <c r="D24" s="9">
        <f>VLOOKUP(FWD[[#This Row],[DEVELOPMENT]],Data[],7,FALSE)</f>
        <v>300</v>
      </c>
      <c r="E24" s="9">
        <f>VLOOKUP(FWD[[#This Row],[DEVELOPMENT]],Data[],8,FALSE)</f>
        <v>0</v>
      </c>
      <c r="F24" s="9">
        <f>VLOOKUP(FWD[[#This Row],[DEVELOPMENT]],Data[],9,FALSE)</f>
        <v>0</v>
      </c>
      <c r="G24" s="1" t="str">
        <f>IFERROR(VLOOKUP(FWD[[#This Row],[DEVELOPMENT]],Data[],4,FALSE),"")</f>
        <v/>
      </c>
      <c r="H24" s="1" t="str">
        <f ca="1">IF(FWD[[#This Row],[RAD/PACT]]="","",IF((FWD[[#This Row],[RAD/PACT]]-YEAR(TODAY()))&lt;=5,"Yes",""))</f>
        <v/>
      </c>
      <c r="I24" s="1"/>
      <c r="J24" s="1"/>
      <c r="K24" s="1"/>
      <c r="L24" s="1"/>
      <c r="M24" s="3">
        <f>IF(FWD[[#This Row],[RAD/PACT]]&lt;=2020,0,INDEX(UnitCosts[],MATCH(FWD[[#This Row],[WORK TYPE]],UnitCosts[Work Type],0),2)*VLOOKUP(FWD[[#This Row],[DEVELOPMENT]],Data[],MATCH(FWD[[#This Row],[WORK TYPE]],Data[#Headers],0),FALSE))</f>
        <v>515620.78421828907</v>
      </c>
      <c r="N24" s="3">
        <f t="shared" si="0"/>
        <v>15112845.185438054</v>
      </c>
    </row>
    <row r="25" spans="1:14" x14ac:dyDescent="0.25">
      <c r="A25" s="9" t="s">
        <v>380</v>
      </c>
      <c r="B25" s="1" t="str">
        <f>VLOOKUP(A25,Data[],2,FALSE)</f>
        <v>BROOKLYN</v>
      </c>
      <c r="C25" s="9" t="s">
        <v>49</v>
      </c>
      <c r="D25" s="9">
        <f>VLOOKUP(FWD[[#This Row],[DEVELOPMENT]],Data[],7,FALSE)</f>
        <v>276</v>
      </c>
      <c r="E25" s="9" t="str">
        <f>VLOOKUP(FWD[[#This Row],[DEVELOPMENT]],Data[],8,FALSE)</f>
        <v>Zone 1</v>
      </c>
      <c r="F25" s="9">
        <f>VLOOKUP(FWD[[#This Row],[DEVELOPMENT]],Data[],9,FALSE)</f>
        <v>0</v>
      </c>
      <c r="G25" s="1">
        <f>IFERROR(VLOOKUP(FWD[[#This Row],[DEVELOPMENT]],Data[],4,FALSE),"")</f>
        <v>2019</v>
      </c>
      <c r="H25" s="1" t="str">
        <f ca="1">IF(FWD[[#This Row],[RAD/PACT]]="","",IF((FWD[[#This Row],[RAD/PACT]]-YEAR(TODAY()))&lt;=5,"Yes",""))</f>
        <v>Yes</v>
      </c>
      <c r="I25" s="1"/>
      <c r="J25" s="1"/>
      <c r="K25" s="1"/>
      <c r="L25" s="1"/>
      <c r="M25" s="3">
        <f>IF(FWD[[#This Row],[RAD/PACT]]&lt;=2020,0,INDEX(UnitCosts[],MATCH(FWD[[#This Row],[WORK TYPE]],UnitCosts[Work Type],0),2)*VLOOKUP(FWD[[#This Row],[DEVELOPMENT]],Data[],MATCH(FWD[[#This Row],[WORK TYPE]],Data[#Headers],0),FALSE))</f>
        <v>0</v>
      </c>
      <c r="N25" s="3">
        <f t="shared" si="0"/>
        <v>15112845.185438054</v>
      </c>
    </row>
    <row r="26" spans="1:14" x14ac:dyDescent="0.25">
      <c r="A26" s="9" t="s">
        <v>60</v>
      </c>
      <c r="B26" s="1" t="str">
        <f>VLOOKUP(A26,Data[],2,FALSE)</f>
        <v>MANHATTAN</v>
      </c>
      <c r="C26" s="9" t="s">
        <v>49</v>
      </c>
      <c r="D26" s="9">
        <f>VLOOKUP(FWD[[#This Row],[DEVELOPMENT]],Data[],7,FALSE)</f>
        <v>224</v>
      </c>
      <c r="E26" s="9" t="str">
        <f>VLOOKUP(FWD[[#This Row],[DEVELOPMENT]],Data[],8,FALSE)</f>
        <v>Zone 1</v>
      </c>
      <c r="F26" s="9" t="str">
        <f>VLOOKUP(FWD[[#This Row],[DEVELOPMENT]],Data[],9,FALSE)</f>
        <v>$$</v>
      </c>
      <c r="G26" s="1">
        <f>IFERROR(VLOOKUP(FWD[[#This Row],[DEVELOPMENT]],Data[],4,FALSE),"")</f>
        <v>2026</v>
      </c>
      <c r="H26" s="1" t="str">
        <f ca="1">IF(FWD[[#This Row],[RAD/PACT]]="","",IF((FWD[[#This Row],[RAD/PACT]]-YEAR(TODAY()))&lt;=5,"Yes",""))</f>
        <v/>
      </c>
      <c r="I26" s="1"/>
      <c r="J26" s="1"/>
      <c r="K26" s="1"/>
      <c r="L26" s="1"/>
      <c r="M26" s="3">
        <f>IF(FWD[[#This Row],[RAD/PACT]]&lt;=2020,0,INDEX(UnitCosts[],MATCH(FWD[[#This Row],[WORK TYPE]],UnitCosts[Work Type],0),2)*VLOOKUP(FWD[[#This Row],[DEVELOPMENT]],Data[],MATCH(FWD[[#This Row],[WORK TYPE]],Data[#Headers],0),FALSE))</f>
        <v>384996.85221632256</v>
      </c>
      <c r="N26" s="3">
        <f t="shared" si="0"/>
        <v>15497842.037654376</v>
      </c>
    </row>
    <row r="27" spans="1:14" x14ac:dyDescent="0.25">
      <c r="A27" s="9" t="s">
        <v>205</v>
      </c>
      <c r="B27" s="1" t="str">
        <f>VLOOKUP(A27,Data[],2,FALSE)</f>
        <v>BROOKLYN</v>
      </c>
      <c r="C27" s="9" t="s">
        <v>49</v>
      </c>
      <c r="D27" s="9">
        <f>VLOOKUP(FWD[[#This Row],[DEVELOPMENT]],Data[],7,FALSE)</f>
        <v>700</v>
      </c>
      <c r="E27" s="9">
        <f>VLOOKUP(FWD[[#This Row],[DEVELOPMENT]],Data[],8,FALSE)</f>
        <v>0</v>
      </c>
      <c r="F27" s="9">
        <f>VLOOKUP(FWD[[#This Row],[DEVELOPMENT]],Data[],9,FALSE)</f>
        <v>0</v>
      </c>
      <c r="G27" s="1" t="str">
        <f>IFERROR(VLOOKUP(FWD[[#This Row],[DEVELOPMENT]],Data[],4,FALSE),"")</f>
        <v/>
      </c>
      <c r="H27" s="1" t="str">
        <f ca="1">IF(FWD[[#This Row],[RAD/PACT]]="","",IF((FWD[[#This Row],[RAD/PACT]]-YEAR(TODAY()))&lt;=5,"Yes",""))</f>
        <v/>
      </c>
      <c r="I27" s="1"/>
      <c r="J27" s="1"/>
      <c r="K27" s="1"/>
      <c r="L27" s="1"/>
      <c r="M27" s="3">
        <f>IF(FWD[[#This Row],[RAD/PACT]]&lt;=2020,0,INDEX(UnitCosts[],MATCH(FWD[[#This Row],[WORK TYPE]],UnitCosts[Work Type],0),2)*VLOOKUP(FWD[[#This Row],[DEVELOPMENT]],Data[],MATCH(FWD[[#This Row],[WORK TYPE]],Data[#Headers],0),FALSE))</f>
        <v>1203115.1631760078</v>
      </c>
      <c r="N27" s="3">
        <f t="shared" si="0"/>
        <v>16700957.200830383</v>
      </c>
    </row>
    <row r="28" spans="1:14" x14ac:dyDescent="0.25">
      <c r="A28" s="9" t="s">
        <v>206</v>
      </c>
      <c r="B28" s="1" t="str">
        <f>VLOOKUP(A28,Data[],2,FALSE)</f>
        <v>BROOKLYN</v>
      </c>
      <c r="C28" s="9" t="s">
        <v>49</v>
      </c>
      <c r="D28" s="9">
        <f>VLOOKUP(FWD[[#This Row],[DEVELOPMENT]],Data[],7,FALSE)</f>
        <v>121</v>
      </c>
      <c r="E28" s="9" t="str">
        <f>VLOOKUP(FWD[[#This Row],[DEVELOPMENT]],Data[],8,FALSE)</f>
        <v>Zone 4</v>
      </c>
      <c r="F28" s="9">
        <f>VLOOKUP(FWD[[#This Row],[DEVELOPMENT]],Data[],9,FALSE)</f>
        <v>0</v>
      </c>
      <c r="G28" s="1">
        <f>IFERROR(VLOOKUP(FWD[[#This Row],[DEVELOPMENT]],Data[],4,FALSE),"")</f>
        <v>2025</v>
      </c>
      <c r="H28" s="1" t="str">
        <f ca="1">IF(FWD[[#This Row],[RAD/PACT]]="","",IF((FWD[[#This Row],[RAD/PACT]]-YEAR(TODAY()))&lt;=5,"Yes",""))</f>
        <v/>
      </c>
      <c r="I28" s="1"/>
      <c r="J28" s="1"/>
      <c r="K28" s="1"/>
      <c r="L28" s="1"/>
      <c r="M28" s="3">
        <f>IF(FWD[[#This Row],[RAD/PACT]]&lt;=2020,0,INDEX(UnitCosts[],MATCH(FWD[[#This Row],[WORK TYPE]],UnitCosts[Work Type],0),2)*VLOOKUP(FWD[[#This Row],[DEVELOPMENT]],Data[],MATCH(FWD[[#This Row],[WORK TYPE]],Data[#Headers],0),FALSE))</f>
        <v>207967.04963470993</v>
      </c>
      <c r="N28" s="3">
        <f t="shared" si="0"/>
        <v>16908924.250465091</v>
      </c>
    </row>
    <row r="29" spans="1:14" x14ac:dyDescent="0.25">
      <c r="A29" s="9" t="s">
        <v>218</v>
      </c>
      <c r="B29" s="1" t="str">
        <f>VLOOKUP(A29,Data[],2,FALSE)</f>
        <v>BROOKLYN</v>
      </c>
      <c r="C29" s="9" t="s">
        <v>49</v>
      </c>
      <c r="D29" s="9">
        <f>VLOOKUP(FWD[[#This Row],[DEVELOPMENT]],Data[],7,FALSE)</f>
        <v>1389</v>
      </c>
      <c r="E29" s="9">
        <f>VLOOKUP(FWD[[#This Row],[DEVELOPMENT]],Data[],8,FALSE)</f>
        <v>0</v>
      </c>
      <c r="F29" s="9">
        <f>VLOOKUP(FWD[[#This Row],[DEVELOPMENT]],Data[],9,FALSE)</f>
        <v>0</v>
      </c>
      <c r="G29" s="1">
        <f>IFERROR(VLOOKUP(FWD[[#This Row],[DEVELOPMENT]],Data[],4,FALSE),"")</f>
        <v>2027</v>
      </c>
      <c r="H29" s="1" t="str">
        <f ca="1">IF(FWD[[#This Row],[RAD/PACT]]="","",IF((FWD[[#This Row],[RAD/PACT]]-YEAR(TODAY()))&lt;=5,"Yes",""))</f>
        <v/>
      </c>
      <c r="I29" s="1"/>
      <c r="J29" s="1"/>
      <c r="K29" s="1"/>
      <c r="L29" s="1"/>
      <c r="M29" s="3">
        <f>IF(FWD[[#This Row],[RAD/PACT]]&lt;=2020,0,INDEX(UnitCosts[],MATCH(FWD[[#This Row],[WORK TYPE]],UnitCosts[Work Type],0),2)*VLOOKUP(FWD[[#This Row],[DEVELOPMENT]],Data[],MATCH(FWD[[#This Row],[WORK TYPE]],Data[#Headers],0),FALSE))</f>
        <v>2387324.2309306785</v>
      </c>
      <c r="N29" s="3">
        <f t="shared" si="0"/>
        <v>19296248.48139577</v>
      </c>
    </row>
    <row r="30" spans="1:14" x14ac:dyDescent="0.25">
      <c r="A30" s="9" t="s">
        <v>224</v>
      </c>
      <c r="B30" s="1">
        <f>VLOOKUP(A30,Data[],2,FALSE)</f>
        <v>0</v>
      </c>
      <c r="C30" s="9" t="s">
        <v>49</v>
      </c>
      <c r="D30" s="9">
        <f>VLOOKUP(FWD[[#This Row],[DEVELOPMENT]],Data[],7,FALSE)</f>
        <v>16</v>
      </c>
      <c r="E30" s="9" t="str">
        <f>VLOOKUP(FWD[[#This Row],[DEVELOPMENT]],Data[],8,FALSE)</f>
        <v>Zone 4</v>
      </c>
      <c r="F30" s="9">
        <f>VLOOKUP(FWD[[#This Row],[DEVELOPMENT]],Data[],9,FALSE)</f>
        <v>0</v>
      </c>
      <c r="G30" s="1" t="str">
        <f>IFERROR(VLOOKUP(FWD[[#This Row],[DEVELOPMENT]],Data[],4,FALSE),"")</f>
        <v/>
      </c>
      <c r="H30" s="1" t="str">
        <f ca="1">IF(FWD[[#This Row],[RAD/PACT]]="","",IF((FWD[[#This Row],[RAD/PACT]]-YEAR(TODAY()))&lt;=5,"Yes",""))</f>
        <v/>
      </c>
      <c r="I30" s="1"/>
      <c r="J30" s="1"/>
      <c r="K30" s="1"/>
      <c r="L30" s="1"/>
      <c r="M30" s="3">
        <f>IF(FWD[[#This Row],[RAD/PACT]]&lt;=2020,0,INDEX(UnitCosts[],MATCH(FWD[[#This Row],[WORK TYPE]],UnitCosts[Work Type],0),2)*VLOOKUP(FWD[[#This Row],[DEVELOPMENT]],Data[],MATCH(FWD[[#This Row],[WORK TYPE]],Data[#Headers],0),FALSE))</f>
        <v>27499.775158308752</v>
      </c>
      <c r="N30" s="3">
        <f t="shared" si="0"/>
        <v>19323748.256554078</v>
      </c>
    </row>
    <row r="31" spans="1:14" x14ac:dyDescent="0.25">
      <c r="A31" s="9" t="s">
        <v>231</v>
      </c>
      <c r="B31" s="1" t="str">
        <f>VLOOKUP(A31,Data[],2,FALSE)</f>
        <v>MANHATTAN</v>
      </c>
      <c r="C31" s="9" t="s">
        <v>49</v>
      </c>
      <c r="D31" s="9">
        <f>VLOOKUP(FWD[[#This Row],[DEVELOPMENT]],Data[],7,FALSE)</f>
        <v>126</v>
      </c>
      <c r="E31" s="9" t="str">
        <f>VLOOKUP(FWD[[#This Row],[DEVELOPMENT]],Data[],8,FALSE)</f>
        <v>Zone 1</v>
      </c>
      <c r="F31" s="9" t="str">
        <f>VLOOKUP(FWD[[#This Row],[DEVELOPMENT]],Data[],9,FALSE)</f>
        <v>$</v>
      </c>
      <c r="G31" s="1">
        <f>IFERROR(VLOOKUP(FWD[[#This Row],[DEVELOPMENT]],Data[],4,FALSE),"")</f>
        <v>2026</v>
      </c>
      <c r="H31" s="1" t="str">
        <f ca="1">IF(FWD[[#This Row],[RAD/PACT]]="","",IF((FWD[[#This Row],[RAD/PACT]]-YEAR(TODAY()))&lt;=5,"Yes",""))</f>
        <v/>
      </c>
      <c r="I31" s="1"/>
      <c r="J31" s="1"/>
      <c r="K31" s="1"/>
      <c r="L31" s="1"/>
      <c r="M31" s="3">
        <f>IF(FWD[[#This Row],[RAD/PACT]]&lt;=2020,0,INDEX(UnitCosts[],MATCH(FWD[[#This Row],[WORK TYPE]],UnitCosts[Work Type],0),2)*VLOOKUP(FWD[[#This Row],[DEVELOPMENT]],Data[],MATCH(FWD[[#This Row],[WORK TYPE]],Data[#Headers],0),FALSE))</f>
        <v>216560.72937168143</v>
      </c>
      <c r="N31" s="3">
        <f t="shared" si="0"/>
        <v>19540308.98592576</v>
      </c>
    </row>
    <row r="32" spans="1:14" x14ac:dyDescent="0.25">
      <c r="A32" s="9" t="s">
        <v>61</v>
      </c>
      <c r="B32" s="1" t="str">
        <f>VLOOKUP(A32,Data[],2,FALSE)</f>
        <v>MANHATTAN</v>
      </c>
      <c r="C32" s="9" t="s">
        <v>49</v>
      </c>
      <c r="D32" s="9">
        <f>VLOOKUP(FWD[[#This Row],[DEVELOPMENT]],Data[],7,FALSE)</f>
        <v>472</v>
      </c>
      <c r="E32" s="9" t="str">
        <f>VLOOKUP(FWD[[#This Row],[DEVELOPMENT]],Data[],8,FALSE)</f>
        <v>Zone 1</v>
      </c>
      <c r="F32" s="9" t="str">
        <f>VLOOKUP(FWD[[#This Row],[DEVELOPMENT]],Data[],9,FALSE)</f>
        <v>$</v>
      </c>
      <c r="G32" s="1" t="str">
        <f>IFERROR(VLOOKUP(FWD[[#This Row],[DEVELOPMENT]],Data[],4,FALSE),"")</f>
        <v/>
      </c>
      <c r="H32" s="1" t="str">
        <f ca="1">IF(FWD[[#This Row],[RAD/PACT]]="","",IF((FWD[[#This Row],[RAD/PACT]]-YEAR(TODAY()))&lt;=5,"Yes",""))</f>
        <v/>
      </c>
      <c r="I32" s="1"/>
      <c r="J32" s="1"/>
      <c r="K32" s="1"/>
      <c r="L32" s="1"/>
      <c r="M32" s="3">
        <f>IF(FWD[[#This Row],[RAD/PACT]]&lt;=2020,0,INDEX(UnitCosts[],MATCH(FWD[[#This Row],[WORK TYPE]],UnitCosts[Work Type],0),2)*VLOOKUP(FWD[[#This Row],[DEVELOPMENT]],Data[],MATCH(FWD[[#This Row],[WORK TYPE]],Data[#Headers],0),FALSE))</f>
        <v>811243.36717010813</v>
      </c>
      <c r="N32" s="3">
        <f t="shared" si="0"/>
        <v>20351552.353095867</v>
      </c>
    </row>
    <row r="33" spans="1:14" x14ac:dyDescent="0.25">
      <c r="A33" s="9" t="s">
        <v>246</v>
      </c>
      <c r="B33" s="1" t="str">
        <f>VLOOKUP(A33,Data[],2,FALSE)</f>
        <v>MANHATTAN</v>
      </c>
      <c r="C33" s="9" t="s">
        <v>49</v>
      </c>
      <c r="D33" s="9">
        <f>VLOOKUP(FWD[[#This Row],[DEVELOPMENT]],Data[],7,FALSE)</f>
        <v>149</v>
      </c>
      <c r="E33" s="9" t="str">
        <f>VLOOKUP(FWD[[#This Row],[DEVELOPMENT]],Data[],8,FALSE)</f>
        <v>Zone 1</v>
      </c>
      <c r="F33" s="9" t="str">
        <f>VLOOKUP(FWD[[#This Row],[DEVELOPMENT]],Data[],9,FALSE)</f>
        <v>$$</v>
      </c>
      <c r="G33" s="1" t="str">
        <f>IFERROR(VLOOKUP(FWD[[#This Row],[DEVELOPMENT]],Data[],4,FALSE),"")</f>
        <v/>
      </c>
      <c r="H33" s="1" t="str">
        <f ca="1">IF(FWD[[#This Row],[RAD/PACT]]="","",IF((FWD[[#This Row],[RAD/PACT]]-YEAR(TODAY()))&lt;=5,"Yes",""))</f>
        <v/>
      </c>
      <c r="I33" s="1"/>
      <c r="J33" s="1"/>
      <c r="K33" s="1"/>
      <c r="L33" s="1"/>
      <c r="M33" s="3">
        <f>IF(FWD[[#This Row],[RAD/PACT]]&lt;=2020,0,INDEX(UnitCosts[],MATCH(FWD[[#This Row],[WORK TYPE]],UnitCosts[Work Type],0),2)*VLOOKUP(FWD[[#This Row],[DEVELOPMENT]],Data[],MATCH(FWD[[#This Row],[WORK TYPE]],Data[#Headers],0),FALSE))</f>
        <v>256091.65616175026</v>
      </c>
      <c r="N33" s="3">
        <f t="shared" si="0"/>
        <v>20607644.009257618</v>
      </c>
    </row>
    <row r="34" spans="1:14" x14ac:dyDescent="0.25">
      <c r="A34" s="9" t="s">
        <v>381</v>
      </c>
      <c r="B34" s="1" t="str">
        <f>VLOOKUP(A34,Data[],2,FALSE)</f>
        <v>BROOKLYN</v>
      </c>
      <c r="C34" s="9" t="s">
        <v>49</v>
      </c>
      <c r="D34" s="9">
        <f>VLOOKUP(FWD[[#This Row],[DEVELOPMENT]],Data[],7,FALSE)</f>
        <v>323</v>
      </c>
      <c r="E34" s="9" t="str">
        <f>VLOOKUP(FWD[[#This Row],[DEVELOPMENT]],Data[],8,FALSE)</f>
        <v>Zone 1</v>
      </c>
      <c r="F34" s="9">
        <f>VLOOKUP(FWD[[#This Row],[DEVELOPMENT]],Data[],9,FALSE)</f>
        <v>0</v>
      </c>
      <c r="G34" s="1">
        <f>IFERROR(VLOOKUP(FWD[[#This Row],[DEVELOPMENT]],Data[],4,FALSE),"")</f>
        <v>2019</v>
      </c>
      <c r="H34" s="1" t="str">
        <f ca="1">IF(FWD[[#This Row],[RAD/PACT]]="","",IF((FWD[[#This Row],[RAD/PACT]]-YEAR(TODAY()))&lt;=5,"Yes",""))</f>
        <v>Yes</v>
      </c>
      <c r="I34" s="1"/>
      <c r="J34" s="1"/>
      <c r="K34" s="1"/>
      <c r="L34" s="1"/>
      <c r="M34" s="3">
        <f>IF(FWD[[#This Row],[RAD/PACT]]&lt;=2020,0,INDEX(UnitCosts[],MATCH(FWD[[#This Row],[WORK TYPE]],UnitCosts[Work Type],0),2)*VLOOKUP(FWD[[#This Row],[DEVELOPMENT]],Data[],MATCH(FWD[[#This Row],[WORK TYPE]],Data[#Headers],0),FALSE))</f>
        <v>0</v>
      </c>
      <c r="N34" s="3">
        <f t="shared" si="0"/>
        <v>20607644.009257618</v>
      </c>
    </row>
    <row r="35" spans="1:14" x14ac:dyDescent="0.25">
      <c r="A35" s="9" t="s">
        <v>139</v>
      </c>
      <c r="B35" s="1" t="str">
        <f>VLOOKUP(A35,Data[],2,FALSE)</f>
        <v>BROOKLYN</v>
      </c>
      <c r="C35" s="9" t="s">
        <v>49</v>
      </c>
      <c r="D35" s="9">
        <f>VLOOKUP(FWD[[#This Row],[DEVELOPMENT]],Data[],7,FALSE)</f>
        <v>209</v>
      </c>
      <c r="E35" s="9" t="str">
        <f>VLOOKUP(FWD[[#This Row],[DEVELOPMENT]],Data[],8,FALSE)</f>
        <v>Zone 1</v>
      </c>
      <c r="F35" s="9" t="str">
        <f>VLOOKUP(FWD[[#This Row],[DEVELOPMENT]],Data[],9,FALSE)</f>
        <v>$</v>
      </c>
      <c r="G35" s="1" t="str">
        <f>IFERROR(VLOOKUP(FWD[[#This Row],[DEVELOPMENT]],Data[],4,FALSE),"")</f>
        <v/>
      </c>
      <c r="H35" s="1" t="str">
        <f ca="1">IF(FWD[[#This Row],[RAD/PACT]]="","",IF((FWD[[#This Row],[RAD/PACT]]-YEAR(TODAY()))&lt;=5,"Yes",""))</f>
        <v/>
      </c>
      <c r="I35" s="1"/>
      <c r="J35" s="1"/>
      <c r="K35" s="1"/>
      <c r="L35" s="1"/>
      <c r="M35" s="3">
        <f>IF(FWD[[#This Row],[RAD/PACT]]&lt;=2020,0,INDEX(UnitCosts[],MATCH(FWD[[#This Row],[WORK TYPE]],UnitCosts[Work Type],0),2)*VLOOKUP(FWD[[#This Row],[DEVELOPMENT]],Data[],MATCH(FWD[[#This Row],[WORK TYPE]],Data[#Headers],0),FALSE))</f>
        <v>359215.8130054081</v>
      </c>
      <c r="N35" s="3">
        <f t="shared" si="0"/>
        <v>20966859.822263025</v>
      </c>
    </row>
    <row r="36" spans="1:14" x14ac:dyDescent="0.25">
      <c r="A36" s="9" t="s">
        <v>255</v>
      </c>
      <c r="B36" s="1" t="str">
        <f>VLOOKUP(A36,Data[],2,FALSE)</f>
        <v>BROOKLYN</v>
      </c>
      <c r="C36" s="9" t="s">
        <v>49</v>
      </c>
      <c r="D36" s="9">
        <f>VLOOKUP(FWD[[#This Row],[DEVELOPMENT]],Data[],7,FALSE)</f>
        <v>741</v>
      </c>
      <c r="E36" s="9">
        <f>VLOOKUP(FWD[[#This Row],[DEVELOPMENT]],Data[],8,FALSE)</f>
        <v>0</v>
      </c>
      <c r="F36" s="9">
        <f>VLOOKUP(FWD[[#This Row],[DEVELOPMENT]],Data[],9,FALSE)</f>
        <v>0</v>
      </c>
      <c r="G36" s="1">
        <f>IFERROR(VLOOKUP(FWD[[#This Row],[DEVELOPMENT]],Data[],4,FALSE),"")</f>
        <v>2019</v>
      </c>
      <c r="H36" s="1" t="str">
        <f ca="1">IF(FWD[[#This Row],[RAD/PACT]]="","",IF((FWD[[#This Row],[RAD/PACT]]-YEAR(TODAY()))&lt;=5,"Yes",""))</f>
        <v>Yes</v>
      </c>
      <c r="I36" s="1"/>
      <c r="J36" s="1"/>
      <c r="K36" s="1"/>
      <c r="L36" s="1"/>
      <c r="M36" s="3">
        <f>IF(FWD[[#This Row],[RAD/PACT]]&lt;=2020,0,INDEX(UnitCosts[],MATCH(FWD[[#This Row],[WORK TYPE]],UnitCosts[Work Type],0),2)*VLOOKUP(FWD[[#This Row],[DEVELOPMENT]],Data[],MATCH(FWD[[#This Row],[WORK TYPE]],Data[#Headers],0),FALSE))</f>
        <v>0</v>
      </c>
      <c r="N36" s="3">
        <f t="shared" ref="N36:N67" si="1">IF(I36=I35,(M36+L36)+N35,(M36+L36))</f>
        <v>20966859.822263025</v>
      </c>
    </row>
    <row r="37" spans="1:14" x14ac:dyDescent="0.25">
      <c r="A37" s="9" t="s">
        <v>256</v>
      </c>
      <c r="B37" s="1" t="str">
        <f>VLOOKUP(A37,Data[],2,FALSE)</f>
        <v>BROOKLYN</v>
      </c>
      <c r="C37" s="9" t="s">
        <v>49</v>
      </c>
      <c r="D37" s="9">
        <f>VLOOKUP(FWD[[#This Row],[DEVELOPMENT]],Data[],7,FALSE)</f>
        <v>1830</v>
      </c>
      <c r="E37" s="9">
        <f>VLOOKUP(FWD[[#This Row],[DEVELOPMENT]],Data[],8,FALSE)</f>
        <v>0</v>
      </c>
      <c r="F37" s="9">
        <f>VLOOKUP(FWD[[#This Row],[DEVELOPMENT]],Data[],9,FALSE)</f>
        <v>0</v>
      </c>
      <c r="G37" s="1" t="str">
        <f>IFERROR(VLOOKUP(FWD[[#This Row],[DEVELOPMENT]],Data[],4,FALSE),"")</f>
        <v/>
      </c>
      <c r="H37" s="1" t="str">
        <f ca="1">IF(FWD[[#This Row],[RAD/PACT]]="","",IF((FWD[[#This Row],[RAD/PACT]]-YEAR(TODAY()))&lt;=5,"Yes",""))</f>
        <v/>
      </c>
      <c r="I37" s="1"/>
      <c r="J37" s="1"/>
      <c r="K37" s="1"/>
      <c r="L37" s="1"/>
      <c r="M37" s="3">
        <f>IF(FWD[[#This Row],[RAD/PACT]]&lt;=2020,0,INDEX(UnitCosts[],MATCH(FWD[[#This Row],[WORK TYPE]],UnitCosts[Work Type],0),2)*VLOOKUP(FWD[[#This Row],[DEVELOPMENT]],Data[],MATCH(FWD[[#This Row],[WORK TYPE]],Data[#Headers],0),FALSE))</f>
        <v>3145286.7837315635</v>
      </c>
      <c r="N37" s="3">
        <f t="shared" si="1"/>
        <v>24112146.60599459</v>
      </c>
    </row>
    <row r="38" spans="1:14" x14ac:dyDescent="0.25">
      <c r="A38" s="9" t="s">
        <v>84</v>
      </c>
      <c r="B38" s="1" t="str">
        <f>VLOOKUP(A38,Data[],2,FALSE)</f>
        <v>BROOKLYN</v>
      </c>
      <c r="C38" s="9" t="s">
        <v>49</v>
      </c>
      <c r="D38" s="9">
        <f>VLOOKUP(FWD[[#This Row],[DEVELOPMENT]],Data[],7,FALSE)</f>
        <v>1154</v>
      </c>
      <c r="E38" s="9" t="str">
        <f>VLOOKUP(FWD[[#This Row],[DEVELOPMENT]],Data[],8,FALSE)</f>
        <v>Zone 3</v>
      </c>
      <c r="F38" s="9" t="str">
        <f>VLOOKUP(FWD[[#This Row],[DEVELOPMENT]],Data[],9,FALSE)</f>
        <v>$</v>
      </c>
      <c r="G38" s="1" t="str">
        <f>IFERROR(VLOOKUP(FWD[[#This Row],[DEVELOPMENT]],Data[],4,FALSE),"")</f>
        <v/>
      </c>
      <c r="H38" s="1" t="str">
        <f ca="1">IF(FWD[[#This Row],[RAD/PACT]]="","",IF((FWD[[#This Row],[RAD/PACT]]-YEAR(TODAY()))&lt;=5,"Yes",""))</f>
        <v/>
      </c>
      <c r="I38" s="1"/>
      <c r="J38" s="1"/>
      <c r="K38" s="1"/>
      <c r="L38" s="1"/>
      <c r="M38" s="3">
        <f>IF(FWD[[#This Row],[RAD/PACT]]&lt;=2020,0,INDEX(UnitCosts[],MATCH(FWD[[#This Row],[WORK TYPE]],UnitCosts[Work Type],0),2)*VLOOKUP(FWD[[#This Row],[DEVELOPMENT]],Data[],MATCH(FWD[[#This Row],[WORK TYPE]],Data[#Headers],0),FALSE))</f>
        <v>1983421.2832930188</v>
      </c>
      <c r="N38" s="3">
        <f t="shared" si="1"/>
        <v>26095567.88928761</v>
      </c>
    </row>
    <row r="39" spans="1:14" x14ac:dyDescent="0.25">
      <c r="A39" s="9" t="s">
        <v>259</v>
      </c>
      <c r="B39" s="1" t="str">
        <f>VLOOKUP(A39,Data[],2,FALSE)</f>
        <v>BROOKLYN</v>
      </c>
      <c r="C39" s="9" t="s">
        <v>49</v>
      </c>
      <c r="D39" s="9">
        <f>VLOOKUP(FWD[[#This Row],[DEVELOPMENT]],Data[],7,FALSE)</f>
        <v>182</v>
      </c>
      <c r="E39" s="9" t="str">
        <f>VLOOKUP(FWD[[#This Row],[DEVELOPMENT]],Data[],8,FALSE)</f>
        <v>Zone 4</v>
      </c>
      <c r="F39" s="9">
        <f>VLOOKUP(FWD[[#This Row],[DEVELOPMENT]],Data[],9,FALSE)</f>
        <v>0</v>
      </c>
      <c r="G39" s="1" t="str">
        <f>IFERROR(VLOOKUP(FWD[[#This Row],[DEVELOPMENT]],Data[],4,FALSE),"")</f>
        <v/>
      </c>
      <c r="H39" s="1" t="str">
        <f ca="1">IF(FWD[[#This Row],[RAD/PACT]]="","",IF((FWD[[#This Row],[RAD/PACT]]-YEAR(TODAY()))&lt;=5,"Yes",""))</f>
        <v/>
      </c>
      <c r="I39" s="1"/>
      <c r="J39" s="1"/>
      <c r="K39" s="1"/>
      <c r="L39" s="1"/>
      <c r="M39" s="3">
        <f>IF(FWD[[#This Row],[RAD/PACT]]&lt;=2020,0,INDEX(UnitCosts[],MATCH(FWD[[#This Row],[WORK TYPE]],UnitCosts[Work Type],0),2)*VLOOKUP(FWD[[#This Row],[DEVELOPMENT]],Data[],MATCH(FWD[[#This Row],[WORK TYPE]],Data[#Headers],0),FALSE))</f>
        <v>312809.94242576207</v>
      </c>
      <c r="N39" s="3">
        <f t="shared" si="1"/>
        <v>26408377.831713371</v>
      </c>
    </row>
    <row r="40" spans="1:14" x14ac:dyDescent="0.25">
      <c r="A40" s="9" t="s">
        <v>36</v>
      </c>
      <c r="B40" s="1" t="str">
        <f>VLOOKUP(A40,Data[],2,FALSE)</f>
        <v>MANHATTAN</v>
      </c>
      <c r="C40" s="9" t="s">
        <v>49</v>
      </c>
      <c r="D40" s="9">
        <f>VLOOKUP(FWD[[#This Row],[DEVELOPMENT]],Data[],7,FALSE)</f>
        <v>1091</v>
      </c>
      <c r="E40" s="9" t="str">
        <f>VLOOKUP(FWD[[#This Row],[DEVELOPMENT]],Data[],8,FALSE)</f>
        <v>Zone 1</v>
      </c>
      <c r="F40" s="9" t="str">
        <f>VLOOKUP(FWD[[#This Row],[DEVELOPMENT]],Data[],9,FALSE)</f>
        <v>$$</v>
      </c>
      <c r="G40" s="1" t="str">
        <f>IFERROR(VLOOKUP(FWD[[#This Row],[DEVELOPMENT]],Data[],4,FALSE),"")</f>
        <v/>
      </c>
      <c r="H40" s="1" t="str">
        <f ca="1">IF(FWD[[#This Row],[RAD/PACT]]="","",IF((FWD[[#This Row],[RAD/PACT]]-YEAR(TODAY()))&lt;=5,"Yes",""))</f>
        <v/>
      </c>
      <c r="I40" s="1"/>
      <c r="J40" s="1"/>
      <c r="K40" s="1"/>
      <c r="L40" s="1"/>
      <c r="M40" s="3">
        <f>IF(FWD[[#This Row],[RAD/PACT]]&lt;=2020,0,INDEX(UnitCosts[],MATCH(FWD[[#This Row],[WORK TYPE]],UnitCosts[Work Type],0),2)*VLOOKUP(FWD[[#This Row],[DEVELOPMENT]],Data[],MATCH(FWD[[#This Row],[WORK TYPE]],Data[#Headers],0),FALSE))</f>
        <v>1875140.9186071779</v>
      </c>
      <c r="N40" s="3">
        <f t="shared" si="1"/>
        <v>28283518.75032055</v>
      </c>
    </row>
    <row r="41" spans="1:14" x14ac:dyDescent="0.25">
      <c r="A41" s="9" t="s">
        <v>103</v>
      </c>
      <c r="B41" s="1" t="str">
        <f>VLOOKUP(A41,Data[],2,FALSE)</f>
        <v>MANHATTAN</v>
      </c>
      <c r="C41" s="9" t="s">
        <v>49</v>
      </c>
      <c r="D41" s="9">
        <f>VLOOKUP(FWD[[#This Row],[DEVELOPMENT]],Data[],7,FALSE)</f>
        <v>149</v>
      </c>
      <c r="E41" s="9" t="str">
        <f>VLOOKUP(FWD[[#This Row],[DEVELOPMENT]],Data[],8,FALSE)</f>
        <v>Zone 1</v>
      </c>
      <c r="F41" s="9" t="str">
        <f>VLOOKUP(FWD[[#This Row],[DEVELOPMENT]],Data[],9,FALSE)</f>
        <v>$</v>
      </c>
      <c r="G41" s="1" t="str">
        <f>IFERROR(VLOOKUP(FWD[[#This Row],[DEVELOPMENT]],Data[],4,FALSE),"")</f>
        <v/>
      </c>
      <c r="H41" s="1" t="str">
        <f ca="1">IF(FWD[[#This Row],[RAD/PACT]]="","",IF((FWD[[#This Row],[RAD/PACT]]-YEAR(TODAY()))&lt;=5,"Yes",""))</f>
        <v/>
      </c>
      <c r="I41" s="1"/>
      <c r="J41" s="1"/>
      <c r="K41" s="1"/>
      <c r="L41" s="1"/>
      <c r="M41" s="3">
        <f>IF(FWD[[#This Row],[RAD/PACT]]&lt;=2020,0,INDEX(UnitCosts[],MATCH(FWD[[#This Row],[WORK TYPE]],UnitCosts[Work Type],0),2)*VLOOKUP(FWD[[#This Row],[DEVELOPMENT]],Data[],MATCH(FWD[[#This Row],[WORK TYPE]],Data[#Headers],0),FALSE))</f>
        <v>256091.65616175026</v>
      </c>
      <c r="N41" s="3">
        <f t="shared" si="1"/>
        <v>28539610.406482302</v>
      </c>
    </row>
    <row r="42" spans="1:14" x14ac:dyDescent="0.25">
      <c r="A42" s="9" t="s">
        <v>37</v>
      </c>
      <c r="B42" s="1" t="str">
        <f>VLOOKUP(A42,Data[],2,FALSE)</f>
        <v>BROOKLYN</v>
      </c>
      <c r="C42" s="9" t="s">
        <v>49</v>
      </c>
      <c r="D42" s="9">
        <f>VLOOKUP(FWD[[#This Row],[DEVELOPMENT]],Data[],7,FALSE)</f>
        <v>882</v>
      </c>
      <c r="E42" s="9" t="str">
        <f>VLOOKUP(FWD[[#This Row],[DEVELOPMENT]],Data[],8,FALSE)</f>
        <v>Zone 1</v>
      </c>
      <c r="F42" s="9" t="str">
        <f>VLOOKUP(FWD[[#This Row],[DEVELOPMENT]],Data[],9,FALSE)</f>
        <v>$$$</v>
      </c>
      <c r="G42" s="1" t="str">
        <f>IFERROR(VLOOKUP(FWD[[#This Row],[DEVELOPMENT]],Data[],4,FALSE),"")</f>
        <v/>
      </c>
      <c r="H42" s="1" t="str">
        <f ca="1">IF(FWD[[#This Row],[RAD/PACT]]="","",IF((FWD[[#This Row],[RAD/PACT]]-YEAR(TODAY()))&lt;=5,"Yes",""))</f>
        <v/>
      </c>
      <c r="I42" s="1"/>
      <c r="J42" s="1"/>
      <c r="K42" s="1"/>
      <c r="L42" s="1"/>
      <c r="M42" s="3">
        <f>IF(FWD[[#This Row],[RAD/PACT]]&lt;=2020,0,INDEX(UnitCosts[],MATCH(FWD[[#This Row],[WORK TYPE]],UnitCosts[Work Type],0),2)*VLOOKUP(FWD[[#This Row],[DEVELOPMENT]],Data[],MATCH(FWD[[#This Row],[WORK TYPE]],Data[#Headers],0),FALSE))</f>
        <v>1515925.1056017699</v>
      </c>
      <c r="N42" s="3">
        <f t="shared" si="1"/>
        <v>30055535.512084071</v>
      </c>
    </row>
    <row r="43" spans="1:14" x14ac:dyDescent="0.25">
      <c r="A43" s="9" t="s">
        <v>382</v>
      </c>
      <c r="B43" s="1" t="str">
        <f>VLOOKUP(A43,Data[],2,FALSE)</f>
        <v>MANHATTAN</v>
      </c>
      <c r="C43" s="9" t="s">
        <v>49</v>
      </c>
      <c r="D43" s="9">
        <f>VLOOKUP(FWD[[#This Row],[DEVELOPMENT]],Data[],7,FALSE)</f>
        <v>95</v>
      </c>
      <c r="E43" s="9">
        <f>VLOOKUP(FWD[[#This Row],[DEVELOPMENT]],Data[],8,FALSE)</f>
        <v>0</v>
      </c>
      <c r="F43" s="9">
        <f>VLOOKUP(FWD[[#This Row],[DEVELOPMENT]],Data[],9,FALSE)</f>
        <v>0</v>
      </c>
      <c r="G43" s="1" t="str">
        <f>IFERROR(VLOOKUP(FWD[[#This Row],[DEVELOPMENT]],Data[],4,FALSE),"")</f>
        <v/>
      </c>
      <c r="H43" s="1" t="str">
        <f ca="1">IF(FWD[[#This Row],[RAD/PACT]]="","",IF((FWD[[#This Row],[RAD/PACT]]-YEAR(TODAY()))&lt;=5,"Yes",""))</f>
        <v/>
      </c>
      <c r="I43" s="1"/>
      <c r="J43" s="1"/>
      <c r="K43" s="1"/>
      <c r="L43" s="1"/>
      <c r="M43" s="3">
        <f>IF(FWD[[#This Row],[RAD/PACT]]&lt;=2020,0,INDEX(UnitCosts[],MATCH(FWD[[#This Row],[WORK TYPE]],UnitCosts[Work Type],0),2)*VLOOKUP(FWD[[#This Row],[DEVELOPMENT]],Data[],MATCH(FWD[[#This Row],[WORK TYPE]],Data[#Headers],0),FALSE))</f>
        <v>163279.9150024582</v>
      </c>
      <c r="N43" s="3">
        <f t="shared" si="1"/>
        <v>30218815.427086528</v>
      </c>
    </row>
    <row r="44" spans="1:14" x14ac:dyDescent="0.25">
      <c r="A44" s="9" t="s">
        <v>62</v>
      </c>
      <c r="B44" s="1" t="str">
        <f>VLOOKUP(A44,Data[],2,FALSE)</f>
        <v>MANHATTAN</v>
      </c>
      <c r="C44" s="9" t="s">
        <v>49</v>
      </c>
      <c r="D44" s="9">
        <f>VLOOKUP(FWD[[#This Row],[DEVELOPMENT]],Data[],7,FALSE)</f>
        <v>189</v>
      </c>
      <c r="E44" s="9" t="str">
        <f>VLOOKUP(FWD[[#This Row],[DEVELOPMENT]],Data[],8,FALSE)</f>
        <v>Zone 1</v>
      </c>
      <c r="F44" s="9" t="str">
        <f>VLOOKUP(FWD[[#This Row],[DEVELOPMENT]],Data[],9,FALSE)</f>
        <v>$$</v>
      </c>
      <c r="G44" s="1" t="str">
        <f>IFERROR(VLOOKUP(FWD[[#This Row],[DEVELOPMENT]],Data[],4,FALSE),"")</f>
        <v/>
      </c>
      <c r="H44" s="1" t="str">
        <f ca="1">IF(FWD[[#This Row],[RAD/PACT]]="","",IF((FWD[[#This Row],[RAD/PACT]]-YEAR(TODAY()))&lt;=5,"Yes",""))</f>
        <v/>
      </c>
      <c r="I44" s="1"/>
      <c r="J44" s="1"/>
      <c r="K44" s="1"/>
      <c r="L44" s="1"/>
      <c r="M44" s="3">
        <f>IF(FWD[[#This Row],[RAD/PACT]]&lt;=2020,0,INDEX(UnitCosts[],MATCH(FWD[[#This Row],[WORK TYPE]],UnitCosts[Work Type],0),2)*VLOOKUP(FWD[[#This Row],[DEVELOPMENT]],Data[],MATCH(FWD[[#This Row],[WORK TYPE]],Data[#Headers],0),FALSE))</f>
        <v>324841.09405752213</v>
      </c>
      <c r="N44" s="3">
        <f t="shared" si="1"/>
        <v>30543656.521144051</v>
      </c>
    </row>
    <row r="45" spans="1:14" x14ac:dyDescent="0.25">
      <c r="A45" s="9" t="s">
        <v>63</v>
      </c>
      <c r="B45" s="1" t="str">
        <f>VLOOKUP(A45,Data[],2,FALSE)</f>
        <v>MANHATTAN</v>
      </c>
      <c r="C45" s="9" t="s">
        <v>49</v>
      </c>
      <c r="D45" s="9">
        <f>VLOOKUP(FWD[[#This Row],[DEVELOPMENT]],Data[],7,FALSE)</f>
        <v>188</v>
      </c>
      <c r="E45" s="9" t="str">
        <f>VLOOKUP(FWD[[#This Row],[DEVELOPMENT]],Data[],8,FALSE)</f>
        <v>Zone 1</v>
      </c>
      <c r="F45" s="9" t="str">
        <f>VLOOKUP(FWD[[#This Row],[DEVELOPMENT]],Data[],9,FALSE)</f>
        <v>$</v>
      </c>
      <c r="G45" s="1">
        <f>IFERROR(VLOOKUP(FWD[[#This Row],[DEVELOPMENT]],Data[],4,FALSE),"")</f>
        <v>2026</v>
      </c>
      <c r="H45" s="1" t="str">
        <f ca="1">IF(FWD[[#This Row],[RAD/PACT]]="","",IF((FWD[[#This Row],[RAD/PACT]]-YEAR(TODAY()))&lt;=5,"Yes",""))</f>
        <v/>
      </c>
      <c r="I45" s="1"/>
      <c r="J45" s="1"/>
      <c r="K45" s="1"/>
      <c r="L45" s="1"/>
      <c r="M45" s="3">
        <f>IF(FWD[[#This Row],[RAD/PACT]]&lt;=2020,0,INDEX(UnitCosts[],MATCH(FWD[[#This Row],[WORK TYPE]],UnitCosts[Work Type],0),2)*VLOOKUP(FWD[[#This Row],[DEVELOPMENT]],Data[],MATCH(FWD[[#This Row],[WORK TYPE]],Data[#Headers],0),FALSE))</f>
        <v>323122.35811012785</v>
      </c>
      <c r="N45" s="3">
        <f t="shared" si="1"/>
        <v>30866778.879254177</v>
      </c>
    </row>
    <row r="46" spans="1:14" x14ac:dyDescent="0.25">
      <c r="A46" s="9" t="s">
        <v>267</v>
      </c>
      <c r="B46" s="1" t="str">
        <f>VLOOKUP(A46,Data[],2,FALSE)</f>
        <v>MANHATTAN</v>
      </c>
      <c r="C46" s="9" t="s">
        <v>49</v>
      </c>
      <c r="D46" s="9">
        <f>VLOOKUP(FWD[[#This Row],[DEVELOPMENT]],Data[],7,FALSE)</f>
        <v>56</v>
      </c>
      <c r="E46" s="9" t="str">
        <f>VLOOKUP(FWD[[#This Row],[DEVELOPMENT]],Data[],8,FALSE)</f>
        <v>Zone 1</v>
      </c>
      <c r="F46" s="9" t="str">
        <f>VLOOKUP(FWD[[#This Row],[DEVELOPMENT]],Data[],9,FALSE)</f>
        <v>$</v>
      </c>
      <c r="G46" s="1" t="str">
        <f>IFERROR(VLOOKUP(FWD[[#This Row],[DEVELOPMENT]],Data[],4,FALSE),"")</f>
        <v/>
      </c>
      <c r="H46" s="1" t="str">
        <f ca="1">IF(FWD[[#This Row],[RAD/PACT]]="","",IF((FWD[[#This Row],[RAD/PACT]]-YEAR(TODAY()))&lt;=5,"Yes",""))</f>
        <v/>
      </c>
      <c r="I46" s="1"/>
      <c r="J46" s="1"/>
      <c r="K46" s="1"/>
      <c r="L46" s="1"/>
      <c r="M46" s="3">
        <f>IF(FWD[[#This Row],[RAD/PACT]]&lt;=2020,0,INDEX(UnitCosts[],MATCH(FWD[[#This Row],[WORK TYPE]],UnitCosts[Work Type],0),2)*VLOOKUP(FWD[[#This Row],[DEVELOPMENT]],Data[],MATCH(FWD[[#This Row],[WORK TYPE]],Data[#Headers],0),FALSE))</f>
        <v>96249.213054080639</v>
      </c>
      <c r="N46" s="3">
        <f t="shared" si="1"/>
        <v>30963028.092308257</v>
      </c>
    </row>
    <row r="47" spans="1:14" x14ac:dyDescent="0.25">
      <c r="A47" s="9" t="s">
        <v>64</v>
      </c>
      <c r="B47" s="1" t="str">
        <f>VLOOKUP(A47,Data[],2,FALSE)</f>
        <v>MANHATTAN</v>
      </c>
      <c r="C47" s="9" t="s">
        <v>49</v>
      </c>
      <c r="D47" s="9">
        <f>VLOOKUP(FWD[[#This Row],[DEVELOPMENT]],Data[],7,FALSE)</f>
        <v>55</v>
      </c>
      <c r="E47" s="9" t="str">
        <f>VLOOKUP(FWD[[#This Row],[DEVELOPMENT]],Data[],8,FALSE)</f>
        <v>Zone 1</v>
      </c>
      <c r="F47" s="9" t="str">
        <f>VLOOKUP(FWD[[#This Row],[DEVELOPMENT]],Data[],9,FALSE)</f>
        <v>$$</v>
      </c>
      <c r="G47" s="1">
        <f>IFERROR(VLOOKUP(FWD[[#This Row],[DEVELOPMENT]],Data[],4,FALSE),"")</f>
        <v>2026</v>
      </c>
      <c r="H47" s="1" t="str">
        <f ca="1">IF(FWD[[#This Row],[RAD/PACT]]="","",IF((FWD[[#This Row],[RAD/PACT]]-YEAR(TODAY()))&lt;=5,"Yes",""))</f>
        <v/>
      </c>
      <c r="I47" s="1"/>
      <c r="J47" s="1"/>
      <c r="K47" s="1"/>
      <c r="L47" s="1"/>
      <c r="M47" s="3">
        <f>IF(FWD[[#This Row],[RAD/PACT]]&lt;=2020,0,INDEX(UnitCosts[],MATCH(FWD[[#This Row],[WORK TYPE]],UnitCosts[Work Type],0),2)*VLOOKUP(FWD[[#This Row],[DEVELOPMENT]],Data[],MATCH(FWD[[#This Row],[WORK TYPE]],Data[#Headers],0),FALSE))</f>
        <v>94530.477106686332</v>
      </c>
      <c r="N47" s="3">
        <f t="shared" si="1"/>
        <v>31057558.569414943</v>
      </c>
    </row>
    <row r="48" spans="1:14" x14ac:dyDescent="0.25">
      <c r="A48" s="9" t="s">
        <v>38</v>
      </c>
      <c r="B48" s="1" t="str">
        <f>VLOOKUP(A48,Data[],2,FALSE)</f>
        <v>BROOKLYN</v>
      </c>
      <c r="C48" s="9" t="s">
        <v>49</v>
      </c>
      <c r="D48" s="9">
        <f>VLOOKUP(FWD[[#This Row],[DEVELOPMENT]],Data[],7,FALSE)</f>
        <v>1716</v>
      </c>
      <c r="E48" s="9" t="str">
        <f>VLOOKUP(FWD[[#This Row],[DEVELOPMENT]],Data[],8,FALSE)</f>
        <v>Zone 1</v>
      </c>
      <c r="F48" s="9" t="str">
        <f>VLOOKUP(FWD[[#This Row],[DEVELOPMENT]],Data[],9,FALSE)</f>
        <v>$$</v>
      </c>
      <c r="G48" s="1">
        <f>IFERROR(VLOOKUP(FWD[[#This Row],[DEVELOPMENT]],Data[],4,FALSE),"")</f>
        <v>2027</v>
      </c>
      <c r="H48" s="1" t="str">
        <f ca="1">IF(FWD[[#This Row],[RAD/PACT]]="","",IF((FWD[[#This Row],[RAD/PACT]]-YEAR(TODAY()))&lt;=5,"Yes",""))</f>
        <v/>
      </c>
      <c r="I48" s="1"/>
      <c r="J48" s="1"/>
      <c r="K48" s="1"/>
      <c r="L48" s="1"/>
      <c r="M48" s="3">
        <f>IF(FWD[[#This Row],[RAD/PACT]]&lt;=2020,0,INDEX(UnitCosts[],MATCH(FWD[[#This Row],[WORK TYPE]],UnitCosts[Work Type],0),2)*VLOOKUP(FWD[[#This Row],[DEVELOPMENT]],Data[],MATCH(FWD[[#This Row],[WORK TYPE]],Data[#Headers],0),FALSE))</f>
        <v>2949350.8857286135</v>
      </c>
      <c r="N48" s="3">
        <f t="shared" si="1"/>
        <v>34006909.455143556</v>
      </c>
    </row>
    <row r="49" spans="1:14" x14ac:dyDescent="0.25">
      <c r="A49" s="9" t="s">
        <v>282</v>
      </c>
      <c r="B49" s="1" t="str">
        <f>VLOOKUP(A49,Data[],2,FALSE)</f>
        <v>BROOKLYN</v>
      </c>
      <c r="C49" s="9" t="s">
        <v>49</v>
      </c>
      <c r="D49" s="9">
        <f>VLOOKUP(FWD[[#This Row],[DEVELOPMENT]],Data[],7,FALSE)</f>
        <v>238</v>
      </c>
      <c r="E49" s="9">
        <f>VLOOKUP(FWD[[#This Row],[DEVELOPMENT]],Data[],8,FALSE)</f>
        <v>0</v>
      </c>
      <c r="F49" s="9">
        <f>VLOOKUP(FWD[[#This Row],[DEVELOPMENT]],Data[],9,FALSE)</f>
        <v>0</v>
      </c>
      <c r="G49" s="1" t="str">
        <f>IFERROR(VLOOKUP(FWD[[#This Row],[DEVELOPMENT]],Data[],4,FALSE),"")</f>
        <v/>
      </c>
      <c r="H49" s="1" t="str">
        <f ca="1">IF(FWD[[#This Row],[RAD/PACT]]="","",IF((FWD[[#This Row],[RAD/PACT]]-YEAR(TODAY()))&lt;=5,"Yes",""))</f>
        <v/>
      </c>
      <c r="I49" s="1"/>
      <c r="J49" s="1"/>
      <c r="K49" s="1"/>
      <c r="L49" s="1"/>
      <c r="M49" s="3">
        <f>IF(FWD[[#This Row],[RAD/PACT]]&lt;=2020,0,INDEX(UnitCosts[],MATCH(FWD[[#This Row],[WORK TYPE]],UnitCosts[Work Type],0),2)*VLOOKUP(FWD[[#This Row],[DEVELOPMENT]],Data[],MATCH(FWD[[#This Row],[WORK TYPE]],Data[#Headers],0),FALSE))</f>
        <v>409059.15547984268</v>
      </c>
      <c r="N49" s="3">
        <f t="shared" si="1"/>
        <v>34415968.610623397</v>
      </c>
    </row>
    <row r="50" spans="1:14" x14ac:dyDescent="0.25">
      <c r="A50" s="9" t="s">
        <v>283</v>
      </c>
      <c r="B50" s="1" t="str">
        <f>VLOOKUP(A50,Data[],2,FALSE)</f>
        <v>BROOKLYN</v>
      </c>
      <c r="C50" s="9" t="s">
        <v>49</v>
      </c>
      <c r="D50" s="9">
        <f>VLOOKUP(FWD[[#This Row],[DEVELOPMENT]],Data[],7,FALSE)</f>
        <v>125</v>
      </c>
      <c r="E50" s="9">
        <f>VLOOKUP(FWD[[#This Row],[DEVELOPMENT]],Data[],8,FALSE)</f>
        <v>0</v>
      </c>
      <c r="F50" s="9">
        <f>VLOOKUP(FWD[[#This Row],[DEVELOPMENT]],Data[],9,FALSE)</f>
        <v>0</v>
      </c>
      <c r="G50" s="1">
        <f>IFERROR(VLOOKUP(FWD[[#This Row],[DEVELOPMENT]],Data[],4,FALSE),"")</f>
        <v>2025</v>
      </c>
      <c r="H50" s="1" t="str">
        <f ca="1">IF(FWD[[#This Row],[RAD/PACT]]="","",IF((FWD[[#This Row],[RAD/PACT]]-YEAR(TODAY()))&lt;=5,"Yes",""))</f>
        <v/>
      </c>
      <c r="I50" s="1"/>
      <c r="J50" s="1"/>
      <c r="K50" s="1"/>
      <c r="L50" s="1"/>
      <c r="M50" s="3">
        <f>IF(FWD[[#This Row],[RAD/PACT]]&lt;=2020,0,INDEX(UnitCosts[],MATCH(FWD[[#This Row],[WORK TYPE]],UnitCosts[Work Type],0),2)*VLOOKUP(FWD[[#This Row],[DEVELOPMENT]],Data[],MATCH(FWD[[#This Row],[WORK TYPE]],Data[#Headers],0),FALSE))</f>
        <v>214841.99342428712</v>
      </c>
      <c r="N50" s="3">
        <f t="shared" si="1"/>
        <v>34630810.604047686</v>
      </c>
    </row>
    <row r="51" spans="1:14" x14ac:dyDescent="0.25">
      <c r="A51" s="9" t="s">
        <v>383</v>
      </c>
      <c r="B51" s="1" t="str">
        <f>VLOOKUP(A51,Data[],2,FALSE)</f>
        <v>BROOKLYN</v>
      </c>
      <c r="C51" s="9" t="s">
        <v>49</v>
      </c>
      <c r="D51" s="9">
        <f>VLOOKUP(FWD[[#This Row],[DEVELOPMENT]],Data[],7,FALSE)</f>
        <v>113</v>
      </c>
      <c r="E51" s="9">
        <f>VLOOKUP(FWD[[#This Row],[DEVELOPMENT]],Data[],8,FALSE)</f>
        <v>0</v>
      </c>
      <c r="F51" s="9">
        <f>VLOOKUP(FWD[[#This Row],[DEVELOPMENT]],Data[],9,FALSE)</f>
        <v>0</v>
      </c>
      <c r="G51" s="1">
        <f>IFERROR(VLOOKUP(FWD[[#This Row],[DEVELOPMENT]],Data[],4,FALSE),"")</f>
        <v>2019</v>
      </c>
      <c r="H51" s="1" t="str">
        <f ca="1">IF(FWD[[#This Row],[RAD/PACT]]="","",IF((FWD[[#This Row],[RAD/PACT]]-YEAR(TODAY()))&lt;=5,"Yes",""))</f>
        <v>Yes</v>
      </c>
      <c r="I51" s="1"/>
      <c r="J51" s="1"/>
      <c r="K51" s="1"/>
      <c r="L51" s="1"/>
      <c r="M51" s="3">
        <f>IF(FWD[[#This Row],[RAD/PACT]]&lt;=2020,0,INDEX(UnitCosts[],MATCH(FWD[[#This Row],[WORK TYPE]],UnitCosts[Work Type],0),2)*VLOOKUP(FWD[[#This Row],[DEVELOPMENT]],Data[],MATCH(FWD[[#This Row],[WORK TYPE]],Data[#Headers],0),FALSE))</f>
        <v>0</v>
      </c>
      <c r="N51" s="3">
        <f t="shared" si="1"/>
        <v>34630810.604047686</v>
      </c>
    </row>
    <row r="52" spans="1:14" x14ac:dyDescent="0.25">
      <c r="A52" s="9" t="s">
        <v>285</v>
      </c>
      <c r="B52" s="1" t="str">
        <f>VLOOKUP(A52,Data[],2,FALSE)</f>
        <v>BROOKLYN</v>
      </c>
      <c r="C52" s="9" t="s">
        <v>49</v>
      </c>
      <c r="D52" s="9">
        <f>VLOOKUP(FWD[[#This Row],[DEVELOPMENT]],Data[],7,FALSE)</f>
        <v>134</v>
      </c>
      <c r="E52" s="9">
        <f>VLOOKUP(FWD[[#This Row],[DEVELOPMENT]],Data[],8,FALSE)</f>
        <v>0</v>
      </c>
      <c r="F52" s="9">
        <f>VLOOKUP(FWD[[#This Row],[DEVELOPMENT]],Data[],9,FALSE)</f>
        <v>0</v>
      </c>
      <c r="G52" s="1">
        <f>IFERROR(VLOOKUP(FWD[[#This Row],[DEVELOPMENT]],Data[],4,FALSE),"")</f>
        <v>2025</v>
      </c>
      <c r="H52" s="1" t="str">
        <f ca="1">IF(FWD[[#This Row],[RAD/PACT]]="","",IF((FWD[[#This Row],[RAD/PACT]]-YEAR(TODAY()))&lt;=5,"Yes",""))</f>
        <v/>
      </c>
      <c r="I52" s="1"/>
      <c r="J52" s="1"/>
      <c r="K52" s="1"/>
      <c r="L52" s="1"/>
      <c r="M52" s="3">
        <f>IF(FWD[[#This Row],[RAD/PACT]]&lt;=2020,0,INDEX(UnitCosts[],MATCH(FWD[[#This Row],[WORK TYPE]],UnitCosts[Work Type],0),2)*VLOOKUP(FWD[[#This Row],[DEVELOPMENT]],Data[],MATCH(FWD[[#This Row],[WORK TYPE]],Data[#Headers],0),FALSE))</f>
        <v>230310.6169508358</v>
      </c>
      <c r="N52" s="3">
        <f t="shared" si="1"/>
        <v>34861121.220998518</v>
      </c>
    </row>
    <row r="53" spans="1:14" x14ac:dyDescent="0.25">
      <c r="A53" s="9" t="s">
        <v>55</v>
      </c>
      <c r="B53" s="1" t="str">
        <f>VLOOKUP(A53,Data[],2,FALSE)</f>
        <v>MANHATTAN</v>
      </c>
      <c r="C53" s="9" t="s">
        <v>49</v>
      </c>
      <c r="D53" s="9">
        <f>VLOOKUP(FWD[[#This Row],[DEVELOPMENT]],Data[],7,FALSE)</f>
        <v>1191</v>
      </c>
      <c r="E53" s="9" t="str">
        <f>VLOOKUP(FWD[[#This Row],[DEVELOPMENT]],Data[],8,FALSE)</f>
        <v>Zone 1</v>
      </c>
      <c r="F53" s="9" t="str">
        <f>VLOOKUP(FWD[[#This Row],[DEVELOPMENT]],Data[],9,FALSE)</f>
        <v>$</v>
      </c>
      <c r="G53" s="1" t="str">
        <f>IFERROR(VLOOKUP(FWD[[#This Row],[DEVELOPMENT]],Data[],4,FALSE),"")</f>
        <v/>
      </c>
      <c r="H53" s="1" t="str">
        <f ca="1">IF(FWD[[#This Row],[RAD/PACT]]="","",IF((FWD[[#This Row],[RAD/PACT]]-YEAR(TODAY()))&lt;=5,"Yes",""))</f>
        <v/>
      </c>
      <c r="I53" s="1"/>
      <c r="J53" s="1"/>
      <c r="K53" s="1"/>
      <c r="L53" s="1"/>
      <c r="M53" s="3">
        <f>IF(FWD[[#This Row],[RAD/PACT]]&lt;=2020,0,INDEX(UnitCosts[],MATCH(FWD[[#This Row],[WORK TYPE]],UnitCosts[Work Type],0),2)*VLOOKUP(FWD[[#This Row],[DEVELOPMENT]],Data[],MATCH(FWD[[#This Row],[WORK TYPE]],Data[#Headers],0),FALSE))</f>
        <v>2047014.5133466078</v>
      </c>
      <c r="N53" s="3">
        <f t="shared" si="1"/>
        <v>36908135.734345123</v>
      </c>
    </row>
    <row r="54" spans="1:14" x14ac:dyDescent="0.25">
      <c r="A54" s="9" t="s">
        <v>104</v>
      </c>
      <c r="B54" s="1" t="str">
        <f>VLOOKUP(A54,Data[],2,FALSE)</f>
        <v>MANHATTAN</v>
      </c>
      <c r="C54" s="9" t="s">
        <v>49</v>
      </c>
      <c r="D54" s="9">
        <f>VLOOKUP(FWD[[#This Row],[DEVELOPMENT]],Data[],7,FALSE)</f>
        <v>577</v>
      </c>
      <c r="E54" s="9" t="str">
        <f>VLOOKUP(FWD[[#This Row],[DEVELOPMENT]],Data[],8,FALSE)</f>
        <v>Zone 1</v>
      </c>
      <c r="F54" s="9" t="str">
        <f>VLOOKUP(FWD[[#This Row],[DEVELOPMENT]],Data[],9,FALSE)</f>
        <v>$$</v>
      </c>
      <c r="G54" s="1" t="str">
        <f>IFERROR(VLOOKUP(FWD[[#This Row],[DEVELOPMENT]],Data[],4,FALSE),"")</f>
        <v/>
      </c>
      <c r="H54" s="1" t="str">
        <f ca="1">IF(FWD[[#This Row],[RAD/PACT]]="","",IF((FWD[[#This Row],[RAD/PACT]]-YEAR(TODAY()))&lt;=5,"Yes",""))</f>
        <v/>
      </c>
      <c r="I54" s="1"/>
      <c r="J54" s="1"/>
      <c r="K54" s="1"/>
      <c r="L54" s="1"/>
      <c r="M54" s="3">
        <f>IF(FWD[[#This Row],[RAD/PACT]]&lt;=2020,0,INDEX(UnitCosts[],MATCH(FWD[[#This Row],[WORK TYPE]],UnitCosts[Work Type],0),2)*VLOOKUP(FWD[[#This Row],[DEVELOPMENT]],Data[],MATCH(FWD[[#This Row],[WORK TYPE]],Data[#Headers],0),FALSE))</f>
        <v>991710.64164650941</v>
      </c>
      <c r="N54" s="3">
        <f t="shared" si="1"/>
        <v>37899846.375991635</v>
      </c>
    </row>
    <row r="55" spans="1:14" x14ac:dyDescent="0.25">
      <c r="A55" s="9" t="s">
        <v>42</v>
      </c>
      <c r="B55" s="1" t="str">
        <f>VLOOKUP(A55,Data[],2,FALSE)</f>
        <v>BROOKLYN</v>
      </c>
      <c r="C55" s="9" t="s">
        <v>49</v>
      </c>
      <c r="D55" s="9">
        <f>VLOOKUP(FWD[[#This Row],[DEVELOPMENT]],Data[],7,FALSE)</f>
        <v>761</v>
      </c>
      <c r="E55" s="9" t="str">
        <f>VLOOKUP(FWD[[#This Row],[DEVELOPMENT]],Data[],8,FALSE)</f>
        <v>Zone 1</v>
      </c>
      <c r="F55" s="9" t="str">
        <f>VLOOKUP(FWD[[#This Row],[DEVELOPMENT]],Data[],9,FALSE)</f>
        <v>$</v>
      </c>
      <c r="G55" s="1" t="str">
        <f>IFERROR(VLOOKUP(FWD[[#This Row],[DEVELOPMENT]],Data[],4,FALSE),"")</f>
        <v/>
      </c>
      <c r="H55" s="1" t="str">
        <f ca="1">IF(FWD[[#This Row],[RAD/PACT]]="","",IF((FWD[[#This Row],[RAD/PACT]]-YEAR(TODAY()))&lt;=5,"Yes",""))</f>
        <v/>
      </c>
      <c r="I55" s="1"/>
      <c r="J55" s="1"/>
      <c r="K55" s="1"/>
      <c r="L55" s="1"/>
      <c r="M55" s="3">
        <f>IF(FWD[[#This Row],[RAD/PACT]]&lt;=2020,0,INDEX(UnitCosts[],MATCH(FWD[[#This Row],[WORK TYPE]],UnitCosts[Work Type],0),2)*VLOOKUP(FWD[[#This Row],[DEVELOPMENT]],Data[],MATCH(FWD[[#This Row],[WORK TYPE]],Data[#Headers],0),FALSE))</f>
        <v>1307958.0559670599</v>
      </c>
      <c r="N55" s="3">
        <f t="shared" si="1"/>
        <v>39207804.431958698</v>
      </c>
    </row>
    <row r="56" spans="1:14" x14ac:dyDescent="0.25">
      <c r="A56" s="9" t="s">
        <v>148</v>
      </c>
      <c r="B56" s="1" t="str">
        <f>VLOOKUP(A56,Data[],2,FALSE)</f>
        <v>BROOKLYN</v>
      </c>
      <c r="C56" s="9" t="s">
        <v>49</v>
      </c>
      <c r="D56" s="9">
        <f>VLOOKUP(FWD[[#This Row],[DEVELOPMENT]],Data[],7,FALSE)</f>
        <v>342</v>
      </c>
      <c r="E56" s="9" t="str">
        <f>VLOOKUP(FWD[[#This Row],[DEVELOPMENT]],Data[],8,FALSE)</f>
        <v>Zone 1</v>
      </c>
      <c r="F56" s="9" t="str">
        <f>VLOOKUP(FWD[[#This Row],[DEVELOPMENT]],Data[],9,FALSE)</f>
        <v>$</v>
      </c>
      <c r="G56" s="1" t="str">
        <f>IFERROR(VLOOKUP(FWD[[#This Row],[DEVELOPMENT]],Data[],4,FALSE),"")</f>
        <v/>
      </c>
      <c r="H56" s="1" t="str">
        <f ca="1">IF(FWD[[#This Row],[RAD/PACT]]="","",IF((FWD[[#This Row],[RAD/PACT]]-YEAR(TODAY()))&lt;=5,"Yes",""))</f>
        <v/>
      </c>
      <c r="I56" s="1"/>
      <c r="J56" s="1"/>
      <c r="K56" s="1"/>
      <c r="L56" s="1"/>
      <c r="M56" s="3">
        <f>IF(FWD[[#This Row],[RAD/PACT]]&lt;=2020,0,INDEX(UnitCosts[],MATCH(FWD[[#This Row],[WORK TYPE]],UnitCosts[Work Type],0),2)*VLOOKUP(FWD[[#This Row],[DEVELOPMENT]],Data[],MATCH(FWD[[#This Row],[WORK TYPE]],Data[#Headers],0),FALSE))</f>
        <v>587807.69400884956</v>
      </c>
      <c r="N56" s="3">
        <f t="shared" si="1"/>
        <v>39795612.125967547</v>
      </c>
    </row>
    <row r="57" spans="1:14" x14ac:dyDescent="0.25">
      <c r="A57" s="9" t="s">
        <v>43</v>
      </c>
      <c r="B57" s="1" t="str">
        <f>VLOOKUP(A57,Data[],2,FALSE)</f>
        <v>MANHATTAN</v>
      </c>
      <c r="C57" s="9" t="s">
        <v>49</v>
      </c>
      <c r="D57" s="9">
        <f>VLOOKUP(FWD[[#This Row],[DEVELOPMENT]],Data[],7,FALSE)</f>
        <v>721</v>
      </c>
      <c r="E57" s="9" t="str">
        <f>VLOOKUP(FWD[[#This Row],[DEVELOPMENT]],Data[],8,FALSE)</f>
        <v>Zone 1</v>
      </c>
      <c r="F57" s="9" t="str">
        <f>VLOOKUP(FWD[[#This Row],[DEVELOPMENT]],Data[],9,FALSE)</f>
        <v>$</v>
      </c>
      <c r="G57" s="1" t="str">
        <f>IFERROR(VLOOKUP(FWD[[#This Row],[DEVELOPMENT]],Data[],4,FALSE),"")</f>
        <v/>
      </c>
      <c r="H57" s="1" t="str">
        <f ca="1">IF(FWD[[#This Row],[RAD/PACT]]="","",IF((FWD[[#This Row],[RAD/PACT]]-YEAR(TODAY()))&lt;=5,"Yes",""))</f>
        <v/>
      </c>
      <c r="I57" s="1"/>
      <c r="J57" s="1"/>
      <c r="K57" s="1"/>
      <c r="L57" s="1"/>
      <c r="M57" s="3">
        <f>IF(FWD[[#This Row],[RAD/PACT]]&lt;=2020,0,INDEX(UnitCosts[],MATCH(FWD[[#This Row],[WORK TYPE]],UnitCosts[Work Type],0),2)*VLOOKUP(FWD[[#This Row],[DEVELOPMENT]],Data[],MATCH(FWD[[#This Row],[WORK TYPE]],Data[#Headers],0),FALSE))</f>
        <v>1239208.6180712881</v>
      </c>
      <c r="N57" s="3">
        <f t="shared" si="1"/>
        <v>41034820.744038835</v>
      </c>
    </row>
    <row r="58" spans="1:14" x14ac:dyDescent="0.25">
      <c r="A58" s="9" t="s">
        <v>309</v>
      </c>
      <c r="B58" s="1" t="str">
        <f>VLOOKUP(A58,Data[],2,FALSE)</f>
        <v>BROOKLYN</v>
      </c>
      <c r="C58" s="9" t="s">
        <v>49</v>
      </c>
      <c r="D58" s="9">
        <f>VLOOKUP(FWD[[#This Row],[DEVELOPMENT]],Data[],7,FALSE)</f>
        <v>125</v>
      </c>
      <c r="E58" s="9">
        <f>VLOOKUP(FWD[[#This Row],[DEVELOPMENT]],Data[],8,FALSE)</f>
        <v>0</v>
      </c>
      <c r="F58" s="9">
        <f>VLOOKUP(FWD[[#This Row],[DEVELOPMENT]],Data[],9,FALSE)</f>
        <v>0</v>
      </c>
      <c r="G58" s="1" t="str">
        <f>IFERROR(VLOOKUP(FWD[[#This Row],[DEVELOPMENT]],Data[],4,FALSE),"")</f>
        <v/>
      </c>
      <c r="H58" s="1" t="str">
        <f ca="1">IF(FWD[[#This Row],[RAD/PACT]]="","",IF((FWD[[#This Row],[RAD/PACT]]-YEAR(TODAY()))&lt;=5,"Yes",""))</f>
        <v/>
      </c>
      <c r="I58" s="1"/>
      <c r="J58" s="1"/>
      <c r="K58" s="1"/>
      <c r="L58" s="1"/>
      <c r="M58" s="3">
        <f>IF(FWD[[#This Row],[RAD/PACT]]&lt;=2020,0,INDEX(UnitCosts[],MATCH(FWD[[#This Row],[WORK TYPE]],UnitCosts[Work Type],0),2)*VLOOKUP(FWD[[#This Row],[DEVELOPMENT]],Data[],MATCH(FWD[[#This Row],[WORK TYPE]],Data[#Headers],0),FALSE))</f>
        <v>214841.99342428712</v>
      </c>
      <c r="N58" s="3">
        <f t="shared" si="1"/>
        <v>41249662.737463124</v>
      </c>
    </row>
    <row r="59" spans="1:14" x14ac:dyDescent="0.25">
      <c r="A59" s="9" t="s">
        <v>65</v>
      </c>
      <c r="B59" s="1" t="str">
        <f>VLOOKUP(A59,Data[],2,FALSE)</f>
        <v>MANHATTAN</v>
      </c>
      <c r="C59" s="9" t="s">
        <v>49</v>
      </c>
      <c r="D59" s="9">
        <f>VLOOKUP(FWD[[#This Row],[DEVELOPMENT]],Data[],7,FALSE)</f>
        <v>360</v>
      </c>
      <c r="E59" s="9" t="str">
        <f>VLOOKUP(FWD[[#This Row],[DEVELOPMENT]],Data[],8,FALSE)</f>
        <v>Zone 1</v>
      </c>
      <c r="F59" s="9" t="str">
        <f>VLOOKUP(FWD[[#This Row],[DEVELOPMENT]],Data[],9,FALSE)</f>
        <v>$</v>
      </c>
      <c r="G59" s="1" t="str">
        <f>IFERROR(VLOOKUP(FWD[[#This Row],[DEVELOPMENT]],Data[],4,FALSE),"")</f>
        <v/>
      </c>
      <c r="H59" s="1" t="str">
        <f ca="1">IF(FWD[[#This Row],[RAD/PACT]]="","",IF((FWD[[#This Row],[RAD/PACT]]-YEAR(TODAY()))&lt;=5,"Yes",""))</f>
        <v/>
      </c>
      <c r="I59" s="1"/>
      <c r="J59" s="1"/>
      <c r="K59" s="1"/>
      <c r="L59" s="1"/>
      <c r="M59" s="3">
        <f>IF(FWD[[#This Row],[RAD/PACT]]&lt;=2020,0,INDEX(UnitCosts[],MATCH(FWD[[#This Row],[WORK TYPE]],UnitCosts[Work Type],0),2)*VLOOKUP(FWD[[#This Row],[DEVELOPMENT]],Data[],MATCH(FWD[[#This Row],[WORK TYPE]],Data[#Headers],0),FALSE))</f>
        <v>618744.94106194691</v>
      </c>
      <c r="N59" s="3">
        <f t="shared" si="1"/>
        <v>41868407.678525068</v>
      </c>
    </row>
    <row r="60" spans="1:14" x14ac:dyDescent="0.25">
      <c r="A60" s="9" t="s">
        <v>44</v>
      </c>
      <c r="B60" s="1" t="str">
        <f>VLOOKUP(A60,Data[],2,FALSE)</f>
        <v>MANHATTAN</v>
      </c>
      <c r="C60" s="9" t="s">
        <v>49</v>
      </c>
      <c r="D60" s="9">
        <f>VLOOKUP(FWD[[#This Row],[DEVELOPMENT]],Data[],7,FALSE)</f>
        <v>1934</v>
      </c>
      <c r="E60" s="9" t="str">
        <f>VLOOKUP(FWD[[#This Row],[DEVELOPMENT]],Data[],8,FALSE)</f>
        <v>Zone 1</v>
      </c>
      <c r="F60" s="9" t="str">
        <f>VLOOKUP(FWD[[#This Row],[DEVELOPMENT]],Data[],9,FALSE)</f>
        <v>$</v>
      </c>
      <c r="G60" s="1" t="str">
        <f>IFERROR(VLOOKUP(FWD[[#This Row],[DEVELOPMENT]],Data[],4,FALSE),"")</f>
        <v/>
      </c>
      <c r="H60" s="1" t="str">
        <f ca="1">IF(FWD[[#This Row],[RAD/PACT]]="","",IF((FWD[[#This Row],[RAD/PACT]]-YEAR(TODAY()))&lt;=5,"Yes",""))</f>
        <v/>
      </c>
      <c r="I60" s="1"/>
      <c r="J60" s="1"/>
      <c r="K60" s="1"/>
      <c r="L60" s="1"/>
      <c r="M60" s="3">
        <f>IF(FWD[[#This Row],[RAD/PACT]]&lt;=2020,0,INDEX(UnitCosts[],MATCH(FWD[[#This Row],[WORK TYPE]],UnitCosts[Work Type],0),2)*VLOOKUP(FWD[[#This Row],[DEVELOPMENT]],Data[],MATCH(FWD[[#This Row],[WORK TYPE]],Data[#Headers],0),FALSE))</f>
        <v>3324035.3222605702</v>
      </c>
      <c r="N60" s="3">
        <f t="shared" si="1"/>
        <v>45192443.000785641</v>
      </c>
    </row>
    <row r="61" spans="1:14" x14ac:dyDescent="0.25">
      <c r="A61" s="9" t="s">
        <v>318</v>
      </c>
      <c r="B61" s="1" t="str">
        <f>VLOOKUP(A61,Data[],2,FALSE)</f>
        <v>MANHATTAN</v>
      </c>
      <c r="C61" s="9" t="s">
        <v>49</v>
      </c>
      <c r="D61" s="9">
        <f>VLOOKUP(FWD[[#This Row],[DEVELOPMENT]],Data[],7,FALSE)</f>
        <v>13</v>
      </c>
      <c r="E61" s="9">
        <f>VLOOKUP(FWD[[#This Row],[DEVELOPMENT]],Data[],8,FALSE)</f>
        <v>0</v>
      </c>
      <c r="F61" s="9">
        <f>VLOOKUP(FWD[[#This Row],[DEVELOPMENT]],Data[],9,FALSE)</f>
        <v>0</v>
      </c>
      <c r="G61" s="1" t="str">
        <f>IFERROR(VLOOKUP(FWD[[#This Row],[DEVELOPMENT]],Data[],4,FALSE),"")</f>
        <v/>
      </c>
      <c r="H61" s="1" t="str">
        <f ca="1">IF(FWD[[#This Row],[RAD/PACT]]="","",IF((FWD[[#This Row],[RAD/PACT]]-YEAR(TODAY()))&lt;=5,"Yes",""))</f>
        <v/>
      </c>
      <c r="I61" s="1"/>
      <c r="J61" s="1"/>
      <c r="K61" s="1"/>
      <c r="L61" s="1"/>
      <c r="M61" s="3">
        <f>IF(FWD[[#This Row],[RAD/PACT]]&lt;=2020,0,INDEX(UnitCosts[],MATCH(FWD[[#This Row],[WORK TYPE]],UnitCosts[Work Type],0),2)*VLOOKUP(FWD[[#This Row],[DEVELOPMENT]],Data[],MATCH(FWD[[#This Row],[WORK TYPE]],Data[#Headers],0),FALSE))</f>
        <v>22343.56731612586</v>
      </c>
      <c r="N61" s="3">
        <f t="shared" si="1"/>
        <v>45214786.568101764</v>
      </c>
    </row>
    <row r="62" spans="1:14" x14ac:dyDescent="0.25">
      <c r="A62" s="9" t="s">
        <v>320</v>
      </c>
      <c r="B62" s="1" t="str">
        <f>VLOOKUP(A62,Data[],2,FALSE)</f>
        <v>BROOKLYN</v>
      </c>
      <c r="C62" s="9" t="s">
        <v>49</v>
      </c>
      <c r="D62" s="9">
        <f>VLOOKUP(FWD[[#This Row],[DEVELOPMENT]],Data[],7,FALSE)</f>
        <v>83</v>
      </c>
      <c r="E62" s="9">
        <f>VLOOKUP(FWD[[#This Row],[DEVELOPMENT]],Data[],8,FALSE)</f>
        <v>0</v>
      </c>
      <c r="F62" s="9">
        <f>VLOOKUP(FWD[[#This Row],[DEVELOPMENT]],Data[],9,FALSE)</f>
        <v>0</v>
      </c>
      <c r="G62" s="1">
        <f>IFERROR(VLOOKUP(FWD[[#This Row],[DEVELOPMENT]],Data[],4,FALSE),"")</f>
        <v>2025</v>
      </c>
      <c r="H62" s="1" t="str">
        <f ca="1">IF(FWD[[#This Row],[RAD/PACT]]="","",IF((FWD[[#This Row],[RAD/PACT]]-YEAR(TODAY()))&lt;=5,"Yes",""))</f>
        <v/>
      </c>
      <c r="I62" s="1"/>
      <c r="J62" s="1"/>
      <c r="K62" s="1"/>
      <c r="L62" s="1"/>
      <c r="M62" s="3">
        <f>IF(FWD[[#This Row],[RAD/PACT]]&lt;=2020,0,INDEX(UnitCosts[],MATCH(FWD[[#This Row],[WORK TYPE]],UnitCosts[Work Type],0),2)*VLOOKUP(FWD[[#This Row],[DEVELOPMENT]],Data[],MATCH(FWD[[#This Row],[WORK TYPE]],Data[#Headers],0),FALSE))</f>
        <v>142655.08363372664</v>
      </c>
      <c r="N62" s="3">
        <f t="shared" si="1"/>
        <v>45357441.651735492</v>
      </c>
    </row>
    <row r="63" spans="1:14" x14ac:dyDescent="0.25">
      <c r="A63" s="9" t="s">
        <v>321</v>
      </c>
      <c r="B63" s="1" t="str">
        <f>VLOOKUP(A63,Data[],2,FALSE)</f>
        <v>BROOKLYN</v>
      </c>
      <c r="C63" s="9" t="s">
        <v>49</v>
      </c>
      <c r="D63" s="9">
        <f>VLOOKUP(FWD[[#This Row],[DEVELOPMENT]],Data[],7,FALSE)</f>
        <v>125</v>
      </c>
      <c r="E63" s="9">
        <f>VLOOKUP(FWD[[#This Row],[DEVELOPMENT]],Data[],8,FALSE)</f>
        <v>0</v>
      </c>
      <c r="F63" s="9">
        <f>VLOOKUP(FWD[[#This Row],[DEVELOPMENT]],Data[],9,FALSE)</f>
        <v>0</v>
      </c>
      <c r="G63" s="1">
        <f>IFERROR(VLOOKUP(FWD[[#This Row],[DEVELOPMENT]],Data[],4,FALSE),"")</f>
        <v>2025</v>
      </c>
      <c r="H63" s="1" t="str">
        <f ca="1">IF(FWD[[#This Row],[RAD/PACT]]="","",IF((FWD[[#This Row],[RAD/PACT]]-YEAR(TODAY()))&lt;=5,"Yes",""))</f>
        <v/>
      </c>
      <c r="I63" s="1"/>
      <c r="J63" s="1"/>
      <c r="K63" s="1"/>
      <c r="L63" s="1"/>
      <c r="M63" s="3">
        <f>IF(FWD[[#This Row],[RAD/PACT]]&lt;=2020,0,INDEX(UnitCosts[],MATCH(FWD[[#This Row],[WORK TYPE]],UnitCosts[Work Type],0),2)*VLOOKUP(FWD[[#This Row],[DEVELOPMENT]],Data[],MATCH(FWD[[#This Row],[WORK TYPE]],Data[#Headers],0),FALSE))</f>
        <v>214841.99342428712</v>
      </c>
      <c r="N63" s="3">
        <f t="shared" si="1"/>
        <v>45572283.645159781</v>
      </c>
    </row>
    <row r="64" spans="1:14" x14ac:dyDescent="0.25">
      <c r="A64" s="9" t="s">
        <v>322</v>
      </c>
      <c r="B64" s="1" t="str">
        <f>VLOOKUP(A64,Data[],2,FALSE)</f>
        <v>MANHATTAN</v>
      </c>
      <c r="C64" s="9" t="s">
        <v>49</v>
      </c>
      <c r="D64" s="9">
        <f>VLOOKUP(FWD[[#This Row],[DEVELOPMENT]],Data[],7,FALSE)</f>
        <v>267</v>
      </c>
      <c r="E64" s="9">
        <f>VLOOKUP(FWD[[#This Row],[DEVELOPMENT]],Data[],8,FALSE)</f>
        <v>0</v>
      </c>
      <c r="F64" s="9">
        <f>VLOOKUP(FWD[[#This Row],[DEVELOPMENT]],Data[],9,FALSE)</f>
        <v>0</v>
      </c>
      <c r="G64" s="1" t="str">
        <f>IFERROR(VLOOKUP(FWD[[#This Row],[DEVELOPMENT]],Data[],4,FALSE),"")</f>
        <v/>
      </c>
      <c r="H64" s="1" t="str">
        <f ca="1">IF(FWD[[#This Row],[RAD/PACT]]="","",IF((FWD[[#This Row],[RAD/PACT]]-YEAR(TODAY()))&lt;=5,"Yes",""))</f>
        <v/>
      </c>
      <c r="I64" s="1"/>
      <c r="J64" s="1"/>
      <c r="K64" s="1"/>
      <c r="L64" s="1"/>
      <c r="M64" s="3">
        <f>IF(FWD[[#This Row],[RAD/PACT]]&lt;=2020,0,INDEX(UnitCosts[],MATCH(FWD[[#This Row],[WORK TYPE]],UnitCosts[Work Type],0),2)*VLOOKUP(FWD[[#This Row],[DEVELOPMENT]],Data[],MATCH(FWD[[#This Row],[WORK TYPE]],Data[#Headers],0),FALSE))</f>
        <v>458902.49795427732</v>
      </c>
      <c r="N64" s="3">
        <f t="shared" si="1"/>
        <v>46031186.14311406</v>
      </c>
    </row>
    <row r="65" spans="1:14" x14ac:dyDescent="0.25">
      <c r="A65" s="9" t="s">
        <v>323</v>
      </c>
      <c r="B65" s="1" t="str">
        <f>VLOOKUP(A65,Data[],2,FALSE)</f>
        <v>BROOKLYN</v>
      </c>
      <c r="C65" s="9" t="s">
        <v>49</v>
      </c>
      <c r="D65" s="9">
        <f>VLOOKUP(FWD[[#This Row],[DEVELOPMENT]],Data[],7,FALSE)</f>
        <v>329</v>
      </c>
      <c r="E65" s="9">
        <f>VLOOKUP(FWD[[#This Row],[DEVELOPMENT]],Data[],8,FALSE)</f>
        <v>0</v>
      </c>
      <c r="F65" s="9">
        <f>VLOOKUP(FWD[[#This Row],[DEVELOPMENT]],Data[],9,FALSE)</f>
        <v>0</v>
      </c>
      <c r="G65" s="1" t="str">
        <f>IFERROR(VLOOKUP(FWD[[#This Row],[DEVELOPMENT]],Data[],4,FALSE),"")</f>
        <v/>
      </c>
      <c r="H65" s="1" t="str">
        <f ca="1">IF(FWD[[#This Row],[RAD/PACT]]="","",IF((FWD[[#This Row],[RAD/PACT]]-YEAR(TODAY()))&lt;=5,"Yes",""))</f>
        <v/>
      </c>
      <c r="I65" s="1"/>
      <c r="J65" s="1"/>
      <c r="K65" s="1"/>
      <c r="L65" s="1"/>
      <c r="M65" s="3">
        <f>IF(FWD[[#This Row],[RAD/PACT]]&lt;=2020,0,INDEX(UnitCosts[],MATCH(FWD[[#This Row],[WORK TYPE]],UnitCosts[Work Type],0),2)*VLOOKUP(FWD[[#This Row],[DEVELOPMENT]],Data[],MATCH(FWD[[#This Row],[WORK TYPE]],Data[#Headers],0),FALSE))</f>
        <v>565464.12669272372</v>
      </c>
      <c r="N65" s="3">
        <f t="shared" si="1"/>
        <v>46596650.269806787</v>
      </c>
    </row>
    <row r="66" spans="1:14" x14ac:dyDescent="0.25">
      <c r="A66" s="9" t="s">
        <v>324</v>
      </c>
      <c r="B66" s="1" t="str">
        <f>VLOOKUP(A66,Data[],2,FALSE)</f>
        <v>BROOKLYN</v>
      </c>
      <c r="C66" s="9" t="s">
        <v>49</v>
      </c>
      <c r="D66" s="9">
        <f>VLOOKUP(FWD[[#This Row],[DEVELOPMENT]],Data[],7,FALSE)</f>
        <v>150</v>
      </c>
      <c r="E66" s="9">
        <f>VLOOKUP(FWD[[#This Row],[DEVELOPMENT]],Data[],8,FALSE)</f>
        <v>0</v>
      </c>
      <c r="F66" s="9">
        <f>VLOOKUP(FWD[[#This Row],[DEVELOPMENT]],Data[],9,FALSE)</f>
        <v>0</v>
      </c>
      <c r="G66" s="1" t="str">
        <f>IFERROR(VLOOKUP(FWD[[#This Row],[DEVELOPMENT]],Data[],4,FALSE),"")</f>
        <v/>
      </c>
      <c r="H66" s="1" t="str">
        <f ca="1">IF(FWD[[#This Row],[RAD/PACT]]="","",IF((FWD[[#This Row],[RAD/PACT]]-YEAR(TODAY()))&lt;=5,"Yes",""))</f>
        <v/>
      </c>
      <c r="I66" s="1"/>
      <c r="J66" s="1"/>
      <c r="K66" s="1"/>
      <c r="L66" s="1"/>
      <c r="M66" s="3">
        <f>IF(FWD[[#This Row],[RAD/PACT]]&lt;=2020,0,INDEX(UnitCosts[],MATCH(FWD[[#This Row],[WORK TYPE]],UnitCosts[Work Type],0),2)*VLOOKUP(FWD[[#This Row],[DEVELOPMENT]],Data[],MATCH(FWD[[#This Row],[WORK TYPE]],Data[#Headers],0),FALSE))</f>
        <v>257810.39210914454</v>
      </c>
      <c r="N66" s="3">
        <f t="shared" si="1"/>
        <v>46854460.661915936</v>
      </c>
    </row>
    <row r="67" spans="1:14" x14ac:dyDescent="0.25">
      <c r="A67" s="9" t="s">
        <v>45</v>
      </c>
      <c r="B67" s="1" t="str">
        <f>VLOOKUP(A67,Data[],2,FALSE)</f>
        <v>BROOKLYN</v>
      </c>
      <c r="C67" s="9" t="s">
        <v>49</v>
      </c>
      <c r="D67" s="9">
        <f>VLOOKUP(FWD[[#This Row],[DEVELOPMENT]],Data[],7,FALSE)</f>
        <v>1098</v>
      </c>
      <c r="E67" s="9" t="str">
        <f>VLOOKUP(FWD[[#This Row],[DEVELOPMENT]],Data[],8,FALSE)</f>
        <v>Zone 1</v>
      </c>
      <c r="F67" s="9" t="str">
        <f>VLOOKUP(FWD[[#This Row],[DEVELOPMENT]],Data[],9,FALSE)</f>
        <v>$</v>
      </c>
      <c r="G67" s="1" t="str">
        <f>IFERROR(VLOOKUP(FWD[[#This Row],[DEVELOPMENT]],Data[],4,FALSE),"")</f>
        <v/>
      </c>
      <c r="H67" s="1" t="str">
        <f ca="1">IF(FWD[[#This Row],[RAD/PACT]]="","",IF((FWD[[#This Row],[RAD/PACT]]-YEAR(TODAY()))&lt;=5,"Yes",""))</f>
        <v/>
      </c>
      <c r="I67" s="1"/>
      <c r="J67" s="1"/>
      <c r="K67" s="1"/>
      <c r="L67" s="1"/>
      <c r="M67" s="3">
        <f>IF(FWD[[#This Row],[RAD/PACT]]&lt;=2020,0,INDEX(UnitCosts[],MATCH(FWD[[#This Row],[WORK TYPE]],UnitCosts[Work Type],0),2)*VLOOKUP(FWD[[#This Row],[DEVELOPMENT]],Data[],MATCH(FWD[[#This Row],[WORK TYPE]],Data[#Headers],0),FALSE))</f>
        <v>1887172.0702389381</v>
      </c>
      <c r="N67" s="3">
        <f t="shared" si="1"/>
        <v>48741632.732154876</v>
      </c>
    </row>
    <row r="68" spans="1:14" x14ac:dyDescent="0.25">
      <c r="A68" s="9" t="s">
        <v>328</v>
      </c>
      <c r="B68" s="1" t="str">
        <f>VLOOKUP(A68,Data[],2,FALSE)</f>
        <v>BROOKLYN</v>
      </c>
      <c r="C68" s="9" t="s">
        <v>49</v>
      </c>
      <c r="D68" s="9">
        <f>VLOOKUP(FWD[[#This Row],[DEVELOPMENT]],Data[],7,FALSE)</f>
        <v>525</v>
      </c>
      <c r="E68" s="9">
        <f>VLOOKUP(FWD[[#This Row],[DEVELOPMENT]],Data[],8,FALSE)</f>
        <v>0</v>
      </c>
      <c r="F68" s="9">
        <f>VLOOKUP(FWD[[#This Row],[DEVELOPMENT]],Data[],9,FALSE)</f>
        <v>0</v>
      </c>
      <c r="G68" s="1" t="str">
        <f>IFERROR(VLOOKUP(FWD[[#This Row],[DEVELOPMENT]],Data[],4,FALSE),"")</f>
        <v/>
      </c>
      <c r="H68" s="1" t="str">
        <f ca="1">IF(FWD[[#This Row],[RAD/PACT]]="","",IF((FWD[[#This Row],[RAD/PACT]]-YEAR(TODAY()))&lt;=5,"Yes",""))</f>
        <v/>
      </c>
      <c r="I68" s="1"/>
      <c r="J68" s="1"/>
      <c r="K68" s="1"/>
      <c r="L68" s="1"/>
      <c r="M68" s="3">
        <f>IF(FWD[[#This Row],[RAD/PACT]]&lt;=2020,0,INDEX(UnitCosts[],MATCH(FWD[[#This Row],[WORK TYPE]],UnitCosts[Work Type],0),2)*VLOOKUP(FWD[[#This Row],[DEVELOPMENT]],Data[],MATCH(FWD[[#This Row],[WORK TYPE]],Data[#Headers],0),FALSE))</f>
        <v>902336.37238200591</v>
      </c>
      <c r="N68" s="3">
        <f t="shared" ref="N68:N76" si="2">IF(I68=I67,(M68+L68)+N67,(M68+L68))</f>
        <v>49643969.104536884</v>
      </c>
    </row>
    <row r="69" spans="1:14" x14ac:dyDescent="0.25">
      <c r="A69" s="9" t="s">
        <v>46</v>
      </c>
      <c r="B69" s="1" t="str">
        <f>VLOOKUP(A69,Data[],2,FALSE)</f>
        <v>BROOKLYN</v>
      </c>
      <c r="C69" s="9" t="s">
        <v>49</v>
      </c>
      <c r="D69" s="9">
        <f>VLOOKUP(FWD[[#This Row],[DEVELOPMENT]],Data[],7,FALSE)</f>
        <v>1045</v>
      </c>
      <c r="E69" s="9" t="str">
        <f>VLOOKUP(FWD[[#This Row],[DEVELOPMENT]],Data[],8,FALSE)</f>
        <v>Zone 1</v>
      </c>
      <c r="F69" s="9" t="str">
        <f>VLOOKUP(FWD[[#This Row],[DEVELOPMENT]],Data[],9,FALSE)</f>
        <v>$</v>
      </c>
      <c r="G69" s="1" t="str">
        <f>IFERROR(VLOOKUP(FWD[[#This Row],[DEVELOPMENT]],Data[],4,FALSE),"")</f>
        <v/>
      </c>
      <c r="H69" s="1" t="str">
        <f ca="1">IF(FWD[[#This Row],[RAD/PACT]]="","",IF((FWD[[#This Row],[RAD/PACT]]-YEAR(TODAY()))&lt;=5,"Yes",""))</f>
        <v/>
      </c>
      <c r="I69" s="1"/>
      <c r="J69" s="1"/>
      <c r="K69" s="1"/>
      <c r="L69" s="1"/>
      <c r="M69" s="3">
        <f>IF(FWD[[#This Row],[RAD/PACT]]&lt;=2020,0,INDEX(UnitCosts[],MATCH(FWD[[#This Row],[WORK TYPE]],UnitCosts[Work Type],0),2)*VLOOKUP(FWD[[#This Row],[DEVELOPMENT]],Data[],MATCH(FWD[[#This Row],[WORK TYPE]],Data[#Headers],0),FALSE))</f>
        <v>1796079.0650270404</v>
      </c>
      <c r="N69" s="3">
        <f t="shared" si="2"/>
        <v>51440048.169563927</v>
      </c>
    </row>
    <row r="70" spans="1:14" x14ac:dyDescent="0.25">
      <c r="A70" s="9" t="s">
        <v>56</v>
      </c>
      <c r="B70" s="1" t="str">
        <f>VLOOKUP(A70,Data[],2,FALSE)</f>
        <v>MANHATTAN</v>
      </c>
      <c r="C70" s="9" t="s">
        <v>49</v>
      </c>
      <c r="D70" s="9">
        <f>VLOOKUP(FWD[[#This Row],[DEVELOPMENT]],Data[],7,FALSE)</f>
        <v>1527</v>
      </c>
      <c r="E70" s="9" t="str">
        <f>VLOOKUP(FWD[[#This Row],[DEVELOPMENT]],Data[],8,FALSE)</f>
        <v>Zone 1</v>
      </c>
      <c r="F70" s="9" t="str">
        <f>VLOOKUP(FWD[[#This Row],[DEVELOPMENT]],Data[],9,FALSE)</f>
        <v>$$</v>
      </c>
      <c r="G70" s="1" t="str">
        <f>IFERROR(VLOOKUP(FWD[[#This Row],[DEVELOPMENT]],Data[],4,FALSE),"")</f>
        <v/>
      </c>
      <c r="H70" s="1" t="str">
        <f ca="1">IF(FWD[[#This Row],[RAD/PACT]]="","",IF((FWD[[#This Row],[RAD/PACT]]-YEAR(TODAY()))&lt;=5,"Yes",""))</f>
        <v/>
      </c>
      <c r="I70" s="1"/>
      <c r="J70" s="1"/>
      <c r="K70" s="1"/>
      <c r="L70" s="1"/>
      <c r="M70" s="3">
        <f>IF(FWD[[#This Row],[RAD/PACT]]&lt;=2020,0,INDEX(UnitCosts[],MATCH(FWD[[#This Row],[WORK TYPE]],UnitCosts[Work Type],0),2)*VLOOKUP(FWD[[#This Row],[DEVELOPMENT]],Data[],MATCH(FWD[[#This Row],[WORK TYPE]],Data[#Headers],0),FALSE))</f>
        <v>2624509.7916710917</v>
      </c>
      <c r="N70" s="3">
        <f t="shared" si="2"/>
        <v>54064557.961235017</v>
      </c>
    </row>
    <row r="71" spans="1:14" x14ac:dyDescent="0.25">
      <c r="A71" s="9" t="s">
        <v>108</v>
      </c>
      <c r="B71" s="1" t="str">
        <f>VLOOKUP(A71,Data[],2,FALSE)</f>
        <v>MANHATTAN</v>
      </c>
      <c r="C71" s="9" t="s">
        <v>49</v>
      </c>
      <c r="D71" s="9">
        <f>VLOOKUP(FWD[[#This Row],[DEVELOPMENT]],Data[],7,FALSE)</f>
        <v>240</v>
      </c>
      <c r="E71" s="9" t="str">
        <f>VLOOKUP(FWD[[#This Row],[DEVELOPMENT]],Data[],8,FALSE)</f>
        <v>Zone 1</v>
      </c>
      <c r="F71" s="9" t="str">
        <f>VLOOKUP(FWD[[#This Row],[DEVELOPMENT]],Data[],9,FALSE)</f>
        <v>$</v>
      </c>
      <c r="G71" s="1" t="str">
        <f>IFERROR(VLOOKUP(FWD[[#This Row],[DEVELOPMENT]],Data[],4,FALSE),"")</f>
        <v/>
      </c>
      <c r="H71" s="1" t="str">
        <f ca="1">IF(FWD[[#This Row],[RAD/PACT]]="","",IF((FWD[[#This Row],[RAD/PACT]]-YEAR(TODAY()))&lt;=5,"Yes",""))</f>
        <v/>
      </c>
      <c r="I71" s="1"/>
      <c r="J71" s="1"/>
      <c r="K71" s="1"/>
      <c r="L71" s="1"/>
      <c r="M71" s="3">
        <f>IF(FWD[[#This Row],[RAD/PACT]]&lt;=2020,0,INDEX(UnitCosts[],MATCH(FWD[[#This Row],[WORK TYPE]],UnitCosts[Work Type],0),2)*VLOOKUP(FWD[[#This Row],[DEVELOPMENT]],Data[],MATCH(FWD[[#This Row],[WORK TYPE]],Data[#Headers],0),FALSE))</f>
        <v>412496.62737463129</v>
      </c>
      <c r="N71" s="3">
        <f t="shared" si="2"/>
        <v>54477054.588609651</v>
      </c>
    </row>
    <row r="72" spans="1:14" x14ac:dyDescent="0.25">
      <c r="A72" s="9" t="s">
        <v>66</v>
      </c>
      <c r="B72" s="1" t="str">
        <f>VLOOKUP(A72,Data[],2,FALSE)</f>
        <v>MANHATTAN</v>
      </c>
      <c r="C72" s="9" t="s">
        <v>49</v>
      </c>
      <c r="D72" s="9">
        <f>VLOOKUP(FWD[[#This Row],[DEVELOPMENT]],Data[],7,FALSE)</f>
        <v>1861</v>
      </c>
      <c r="E72" s="9" t="str">
        <f>VLOOKUP(FWD[[#This Row],[DEVELOPMENT]],Data[],8,FALSE)</f>
        <v>Zone 1</v>
      </c>
      <c r="F72" s="9" t="str">
        <f>VLOOKUP(FWD[[#This Row],[DEVELOPMENT]],Data[],9,FALSE)</f>
        <v>$</v>
      </c>
      <c r="G72" s="1" t="str">
        <f>IFERROR(VLOOKUP(FWD[[#This Row],[DEVELOPMENT]],Data[],4,FALSE),"")</f>
        <v/>
      </c>
      <c r="H72" s="1" t="str">
        <f ca="1">IF(FWD[[#This Row],[RAD/PACT]]="","",IF((FWD[[#This Row],[RAD/PACT]]-YEAR(TODAY()))&lt;=5,"Yes",""))</f>
        <v/>
      </c>
      <c r="I72" s="1"/>
      <c r="J72" s="1"/>
      <c r="K72" s="1"/>
      <c r="L72" s="1"/>
      <c r="M72" s="3">
        <f>IF(FWD[[#This Row],[RAD/PACT]]&lt;=2020,0,INDEX(UnitCosts[],MATCH(FWD[[#This Row],[WORK TYPE]],UnitCosts[Work Type],0),2)*VLOOKUP(FWD[[#This Row],[DEVELOPMENT]],Data[],MATCH(FWD[[#This Row],[WORK TYPE]],Data[#Headers],0),FALSE))</f>
        <v>3198567.5981007866</v>
      </c>
      <c r="N72" s="3">
        <f t="shared" si="2"/>
        <v>57675622.18671044</v>
      </c>
    </row>
    <row r="73" spans="1:14" x14ac:dyDescent="0.25">
      <c r="A73" s="9" t="s">
        <v>345</v>
      </c>
      <c r="B73" s="1" t="str">
        <f>VLOOKUP(A73,Data[],2,FALSE)</f>
        <v>BROOKLYN</v>
      </c>
      <c r="C73" s="9" t="s">
        <v>49</v>
      </c>
      <c r="D73" s="9">
        <f>VLOOKUP(FWD[[#This Row],[DEVELOPMENT]],Data[],7,FALSE)</f>
        <v>256</v>
      </c>
      <c r="E73" s="9">
        <f>VLOOKUP(FWD[[#This Row],[DEVELOPMENT]],Data[],8,FALSE)</f>
        <v>0</v>
      </c>
      <c r="F73" s="9">
        <f>VLOOKUP(FWD[[#This Row],[DEVELOPMENT]],Data[],9,FALSE)</f>
        <v>0</v>
      </c>
      <c r="G73" s="1">
        <f>IFERROR(VLOOKUP(FWD[[#This Row],[DEVELOPMENT]],Data[],4,FALSE),"")</f>
        <v>2019</v>
      </c>
      <c r="H73" s="1" t="str">
        <f ca="1">IF(FWD[[#This Row],[RAD/PACT]]="","",IF((FWD[[#This Row],[RAD/PACT]]-YEAR(TODAY()))&lt;=5,"Yes",""))</f>
        <v>Yes</v>
      </c>
      <c r="I73" s="1"/>
      <c r="J73" s="1"/>
      <c r="K73" s="1"/>
      <c r="L73" s="1"/>
      <c r="M73" s="3">
        <f>IF(FWD[[#This Row],[RAD/PACT]]&lt;=2020,0,INDEX(UnitCosts[],MATCH(FWD[[#This Row],[WORK TYPE]],UnitCosts[Work Type],0),2)*VLOOKUP(FWD[[#This Row],[DEVELOPMENT]],Data[],MATCH(FWD[[#This Row],[WORK TYPE]],Data[#Headers],0),FALSE))</f>
        <v>0</v>
      </c>
      <c r="N73" s="3">
        <f t="shared" si="2"/>
        <v>57675622.18671044</v>
      </c>
    </row>
    <row r="74" spans="1:14" x14ac:dyDescent="0.25">
      <c r="A74" s="9" t="s">
        <v>351</v>
      </c>
      <c r="B74" s="1" t="str">
        <f>VLOOKUP(A74,Data[],2,FALSE)</f>
        <v>BROOKLYN</v>
      </c>
      <c r="C74" s="9" t="s">
        <v>49</v>
      </c>
      <c r="D74" s="9">
        <f>VLOOKUP(FWD[[#This Row],[DEVELOPMENT]],Data[],7,FALSE)</f>
        <v>1651</v>
      </c>
      <c r="E74" s="9">
        <f>VLOOKUP(FWD[[#This Row],[DEVELOPMENT]],Data[],8,FALSE)</f>
        <v>0</v>
      </c>
      <c r="F74" s="9">
        <f>VLOOKUP(FWD[[#This Row],[DEVELOPMENT]],Data[],9,FALSE)</f>
        <v>0</v>
      </c>
      <c r="G74" s="1" t="str">
        <f>IFERROR(VLOOKUP(FWD[[#This Row],[DEVELOPMENT]],Data[],4,FALSE),"")</f>
        <v/>
      </c>
      <c r="H74" s="1" t="str">
        <f ca="1">IF(FWD[[#This Row],[RAD/PACT]]="","",IF((FWD[[#This Row],[RAD/PACT]]-YEAR(TODAY()))&lt;=5,"Yes",""))</f>
        <v/>
      </c>
      <c r="I74" s="1"/>
      <c r="J74" s="1"/>
      <c r="K74" s="1"/>
      <c r="L74" s="1"/>
      <c r="M74" s="3">
        <f>IF(FWD[[#This Row],[RAD/PACT]]&lt;=2020,0,INDEX(UnitCosts[],MATCH(FWD[[#This Row],[WORK TYPE]],UnitCosts[Work Type],0),2)*VLOOKUP(FWD[[#This Row],[DEVELOPMENT]],Data[],MATCH(FWD[[#This Row],[WORK TYPE]],Data[#Headers],0),FALSE))</f>
        <v>2837633.0491479845</v>
      </c>
      <c r="N74" s="3">
        <f t="shared" si="2"/>
        <v>60513255.235858425</v>
      </c>
    </row>
    <row r="75" spans="1:14" x14ac:dyDescent="0.25">
      <c r="A75" s="9" t="s">
        <v>352</v>
      </c>
      <c r="B75" s="1" t="str">
        <f>VLOOKUP(A75,Data[],2,FALSE)</f>
        <v>BROOKLYN</v>
      </c>
      <c r="C75" s="9" t="s">
        <v>49</v>
      </c>
      <c r="D75" s="9">
        <f>VLOOKUP(FWD[[#This Row],[DEVELOPMENT]],Data[],7,FALSE)</f>
        <v>577</v>
      </c>
      <c r="E75" s="9">
        <f>VLOOKUP(FWD[[#This Row],[DEVELOPMENT]],Data[],8,FALSE)</f>
        <v>0</v>
      </c>
      <c r="F75" s="9">
        <f>VLOOKUP(FWD[[#This Row],[DEVELOPMENT]],Data[],9,FALSE)</f>
        <v>0</v>
      </c>
      <c r="G75" s="1">
        <f>IFERROR(VLOOKUP(FWD[[#This Row],[DEVELOPMENT]],Data[],4,FALSE),"")</f>
        <v>2019</v>
      </c>
      <c r="H75" s="1" t="str">
        <f ca="1">IF(FWD[[#This Row],[RAD/PACT]]="","",IF((FWD[[#This Row],[RAD/PACT]]-YEAR(TODAY()))&lt;=5,"Yes",""))</f>
        <v>Yes</v>
      </c>
      <c r="I75" s="1"/>
      <c r="J75" s="1"/>
      <c r="K75" s="1"/>
      <c r="L75" s="1"/>
      <c r="M75" s="3">
        <f>IF(FWD[[#This Row],[RAD/PACT]]&lt;=2020,0,INDEX(UnitCosts[],MATCH(FWD[[#This Row],[WORK TYPE]],UnitCosts[Work Type],0),2)*VLOOKUP(FWD[[#This Row],[DEVELOPMENT]],Data[],MATCH(FWD[[#This Row],[WORK TYPE]],Data[#Headers],0),FALSE))</f>
        <v>0</v>
      </c>
      <c r="N75" s="3">
        <f t="shared" si="2"/>
        <v>60513255.235858425</v>
      </c>
    </row>
    <row r="76" spans="1:14" x14ac:dyDescent="0.25">
      <c r="A76" s="9" t="s">
        <v>353</v>
      </c>
      <c r="B76" s="1" t="str">
        <f>VLOOKUP(A76,Data[],2,FALSE)</f>
        <v>BROOKLYN</v>
      </c>
      <c r="C76" s="9" t="s">
        <v>49</v>
      </c>
      <c r="D76" s="9">
        <f>VLOOKUP(FWD[[#This Row],[DEVELOPMENT]],Data[],7,FALSE)</f>
        <v>1627</v>
      </c>
      <c r="E76" s="9">
        <f>VLOOKUP(FWD[[#This Row],[DEVELOPMENT]],Data[],8,FALSE)</f>
        <v>0</v>
      </c>
      <c r="F76" s="9">
        <f>VLOOKUP(FWD[[#This Row],[DEVELOPMENT]],Data[],9,FALSE)</f>
        <v>0</v>
      </c>
      <c r="G76" s="1">
        <f>IFERROR(VLOOKUP(FWD[[#This Row],[DEVELOPMENT]],Data[],4,FALSE),"")</f>
        <v>2020</v>
      </c>
      <c r="H76" s="1" t="str">
        <f ca="1">IF(FWD[[#This Row],[RAD/PACT]]="","",IF((FWD[[#This Row],[RAD/PACT]]-YEAR(TODAY()))&lt;=5,"Yes",""))</f>
        <v>Yes</v>
      </c>
      <c r="I76" s="1"/>
      <c r="J76" s="1"/>
      <c r="K76" s="1"/>
      <c r="L76" s="1"/>
      <c r="M76" s="3">
        <f>IF(FWD[[#This Row],[RAD/PACT]]&lt;=2020,0,INDEX(UnitCosts[],MATCH(FWD[[#This Row],[WORK TYPE]],UnitCosts[Work Type],0),2)*VLOOKUP(FWD[[#This Row],[DEVELOPMENT]],Data[],MATCH(FWD[[#This Row],[WORK TYPE]],Data[#Headers],0),FALSE))</f>
        <v>0</v>
      </c>
      <c r="N76" s="3">
        <f t="shared" si="2"/>
        <v>60513255.235858425</v>
      </c>
    </row>
  </sheetData>
  <conditionalFormatting sqref="A13:K13 A48:L68 A47:K47 A70:L76 A69:K69 A4:M6 A3:N3 A7:L12 A14:L46 M7:M76">
    <cfRule type="containsErrors" dxfId="46" priority="8">
      <formula>ISERROR(A3)</formula>
    </cfRule>
  </conditionalFormatting>
  <conditionalFormatting sqref="N3">
    <cfRule type="expression" dxfId="45" priority="7">
      <formula>N3&gt;N4</formula>
    </cfRule>
  </conditionalFormatting>
  <conditionalFormatting sqref="N4:N76">
    <cfRule type="containsErrors" dxfId="44" priority="5">
      <formula>ISERROR(N4)</formula>
    </cfRule>
  </conditionalFormatting>
  <conditionalFormatting sqref="N4:N76">
    <cfRule type="expression" dxfId="43" priority="4">
      <formula>N4&gt;N5</formula>
    </cfRule>
  </conditionalFormatting>
  <conditionalFormatting sqref="L13">
    <cfRule type="containsErrors" dxfId="42" priority="3">
      <formula>ISERROR(L13)</formula>
    </cfRule>
  </conditionalFormatting>
  <conditionalFormatting sqref="L47">
    <cfRule type="containsErrors" dxfId="41" priority="2">
      <formula>ISERROR(L47)</formula>
    </cfRule>
  </conditionalFormatting>
  <conditionalFormatting sqref="L69">
    <cfRule type="containsErrors" dxfId="40" priority="1">
      <formula>ISERROR(L69)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3A8F-4324-400E-AB5A-C64B8054C34B}">
  <dimension ref="A1:N324"/>
  <sheetViews>
    <sheetView topLeftCell="B121" workbookViewId="0">
      <selection activeCell="M132" sqref="M132"/>
    </sheetView>
  </sheetViews>
  <sheetFormatPr defaultRowHeight="15" x14ac:dyDescent="0.25"/>
  <cols>
    <col min="1" max="1" width="57" bestFit="1" customWidth="1"/>
    <col min="2" max="2" width="14.7109375" bestFit="1" customWidth="1"/>
    <col min="3" max="3" width="19.5703125" bestFit="1" customWidth="1"/>
    <col min="4" max="4" width="17" bestFit="1" customWidth="1"/>
    <col min="5" max="5" width="7" bestFit="1" customWidth="1"/>
    <col min="6" max="6" width="15" bestFit="1" customWidth="1"/>
    <col min="7" max="7" width="12.42578125" bestFit="1" customWidth="1"/>
    <col min="8" max="8" width="22.28515625" bestFit="1" customWidth="1"/>
    <col min="9" max="9" width="17.85546875" bestFit="1" customWidth="1"/>
    <col min="10" max="10" width="14.140625" bestFit="1" customWidth="1"/>
    <col min="11" max="11" width="12.5703125" bestFit="1" customWidth="1"/>
    <col min="12" max="12" width="14.28515625" bestFit="1" customWidth="1"/>
    <col min="13" max="13" width="15.28515625" bestFit="1" customWidth="1"/>
    <col min="14" max="14" width="19.140625" bestFit="1" customWidth="1"/>
  </cols>
  <sheetData>
    <row r="1" spans="1:14" x14ac:dyDescent="0.25">
      <c r="L1" s="5">
        <f>SUM(EHD[COST])</f>
        <v>1311334.68</v>
      </c>
      <c r="M1" s="5">
        <f>SUM(EHD[ESTIMATE])</f>
        <v>19035247.359999988</v>
      </c>
      <c r="N1" s="5">
        <f>SUM(L1:M1)</f>
        <v>20346582.039999988</v>
      </c>
    </row>
    <row r="3" spans="1:14" x14ac:dyDescent="0.25">
      <c r="A3" s="120" t="s">
        <v>7</v>
      </c>
      <c r="B3" s="120" t="s">
        <v>5</v>
      </c>
      <c r="C3" s="120" t="s">
        <v>11</v>
      </c>
      <c r="D3" s="120" t="s">
        <v>384</v>
      </c>
      <c r="E3" s="120" t="s">
        <v>8</v>
      </c>
      <c r="F3" s="120" t="s">
        <v>9</v>
      </c>
      <c r="G3" s="120" t="s">
        <v>10</v>
      </c>
      <c r="H3" s="120" t="s">
        <v>152</v>
      </c>
      <c r="I3" s="120" t="s">
        <v>17</v>
      </c>
      <c r="J3" s="120" t="s">
        <v>18</v>
      </c>
      <c r="K3" s="120" t="s">
        <v>19</v>
      </c>
      <c r="L3" s="120" t="s">
        <v>21</v>
      </c>
      <c r="M3" s="120" t="s">
        <v>375</v>
      </c>
      <c r="N3" s="121" t="s">
        <v>376</v>
      </c>
    </row>
    <row r="4" spans="1:14" x14ac:dyDescent="0.25">
      <c r="A4" s="127" t="s">
        <v>71</v>
      </c>
      <c r="B4" s="117" t="str">
        <f>VLOOKUP(A4,Data[],2,FALSE)</f>
        <v>MANHATTAN</v>
      </c>
      <c r="C4" s="118" t="s">
        <v>27</v>
      </c>
      <c r="D4" s="118">
        <f>VLOOKUP(EHD[[#This Row],[DEVELOPMENT]],Data[],27,FALSE)</f>
        <v>1</v>
      </c>
      <c r="E4" s="117" t="str">
        <f>VLOOKUP(EHD[[#This Row],[DEVELOPMENT]],Data[],8,FALSE)</f>
        <v>Zone 3</v>
      </c>
      <c r="F4" s="117" t="str">
        <f>VLOOKUP(EHD[[#This Row],[DEVELOPMENT]],Data[],9,FALSE)</f>
        <v>$$</v>
      </c>
      <c r="G4" s="117">
        <f>IFERROR(VLOOKUP(EHD[[#This Row],[DEVELOPMENT]],Data[],4,FALSE),"")</f>
        <v>2020</v>
      </c>
      <c r="H4" s="117" t="str">
        <f ca="1">IF(EHD[[#This Row],[RAD/PACT]]="","",IF((EHD[[#This Row],[RAD/PACT]]-YEAR(TODAY()))&lt;=5,"Yes",""))</f>
        <v>Yes</v>
      </c>
      <c r="I4" s="117">
        <v>2019</v>
      </c>
      <c r="J4" s="117">
        <v>2019</v>
      </c>
      <c r="K4" s="117" t="s">
        <v>20</v>
      </c>
      <c r="L4" s="117"/>
      <c r="M4" s="123"/>
      <c r="N4" s="124">
        <f t="shared" ref="N4:N67" si="0">IF(I4=I3,(M4+L4)+N3,(M4+L4))</f>
        <v>0</v>
      </c>
    </row>
    <row r="5" spans="1:14" x14ac:dyDescent="0.25">
      <c r="A5" s="13" t="s">
        <v>89</v>
      </c>
      <c r="B5" s="1" t="str">
        <f>VLOOKUP(A5,Data[],2,FALSE)</f>
        <v>MANHATTAN</v>
      </c>
      <c r="C5" s="9" t="s">
        <v>27</v>
      </c>
      <c r="D5" s="9">
        <f>VLOOKUP(EHD[[#This Row],[DEVELOPMENT]],Data[],27,FALSE)</f>
        <v>1</v>
      </c>
      <c r="E5" s="1" t="str">
        <f>VLOOKUP(EHD[[#This Row],[DEVELOPMENT]],Data[],8,FALSE)</f>
        <v>Zone 3</v>
      </c>
      <c r="F5" s="1" t="str">
        <f>VLOOKUP(EHD[[#This Row],[DEVELOPMENT]],Data[],9,FALSE)</f>
        <v>$$</v>
      </c>
      <c r="G5" s="1">
        <f>IFERROR(VLOOKUP(EHD[[#This Row],[DEVELOPMENT]],Data[],4,FALSE),"")</f>
        <v>2020</v>
      </c>
      <c r="H5" s="1" t="str">
        <f ca="1">IF(EHD[[#This Row],[RAD/PACT]]="","",IF((EHD[[#This Row],[RAD/PACT]]-YEAR(TODAY()))&lt;=5,"Yes",""))</f>
        <v>Yes</v>
      </c>
      <c r="I5" s="1">
        <v>2019</v>
      </c>
      <c r="J5" s="1">
        <v>2019</v>
      </c>
      <c r="K5" s="1" t="s">
        <v>20</v>
      </c>
      <c r="L5" s="1"/>
      <c r="M5" s="63"/>
      <c r="N5" s="113">
        <f t="shared" si="0"/>
        <v>0</v>
      </c>
    </row>
    <row r="6" spans="1:14" x14ac:dyDescent="0.25">
      <c r="A6" s="83" t="s">
        <v>48</v>
      </c>
      <c r="B6" s="1" t="str">
        <f>VLOOKUP(A6,Data[],2,FALSE)</f>
        <v>MANHATTAN</v>
      </c>
      <c r="C6" s="9" t="s">
        <v>27</v>
      </c>
      <c r="D6" s="9">
        <f>VLOOKUP(EHD[[#This Row],[DEVELOPMENT]],Data[],27,FALSE)</f>
        <v>1</v>
      </c>
      <c r="E6" s="1" t="str">
        <f>VLOOKUP(EHD[[#This Row],[DEVELOPMENT]],Data[],8,FALSE)</f>
        <v>Zone 1</v>
      </c>
      <c r="F6" s="1" t="str">
        <f>VLOOKUP(EHD[[#This Row],[DEVELOPMENT]],Data[],9,FALSE)</f>
        <v>$</v>
      </c>
      <c r="G6" s="1" t="str">
        <f>IFERROR(VLOOKUP(EHD[[#This Row],[DEVELOPMENT]],Data[],4,FALSE),"")</f>
        <v/>
      </c>
      <c r="H6" s="1" t="str">
        <f ca="1">IF(EHD[[#This Row],[RAD/PACT]]="","",IF((EHD[[#This Row],[RAD/PACT]]-YEAR(TODAY()))&lt;=5,"Yes",""))</f>
        <v/>
      </c>
      <c r="I6" s="1">
        <v>2019</v>
      </c>
      <c r="J6" s="1">
        <v>2019</v>
      </c>
      <c r="K6" s="1" t="s">
        <v>20</v>
      </c>
      <c r="L6" s="52"/>
      <c r="M6" s="63"/>
      <c r="N6" s="113">
        <f t="shared" si="0"/>
        <v>0</v>
      </c>
    </row>
    <row r="7" spans="1:14" x14ac:dyDescent="0.25">
      <c r="A7" s="83" t="s">
        <v>103</v>
      </c>
      <c r="B7" s="1" t="str">
        <f>VLOOKUP(A7,Data[],2,FALSE)</f>
        <v>MANHATTAN</v>
      </c>
      <c r="C7" s="9" t="s">
        <v>27</v>
      </c>
      <c r="D7" s="9">
        <f>VLOOKUP(EHD[[#This Row],[DEVELOPMENT]],Data[],27,FALSE)</f>
        <v>1</v>
      </c>
      <c r="E7" s="1" t="str">
        <f>VLOOKUP(EHD[[#This Row],[DEVELOPMENT]],Data[],8,FALSE)</f>
        <v>Zone 1</v>
      </c>
      <c r="F7" s="1" t="str">
        <f>VLOOKUP(EHD[[#This Row],[DEVELOPMENT]],Data[],9,FALSE)</f>
        <v>$</v>
      </c>
      <c r="G7" s="1" t="str">
        <f>IFERROR(VLOOKUP(EHD[[#This Row],[DEVELOPMENT]],Data[],4,FALSE),"")</f>
        <v/>
      </c>
      <c r="H7" s="1" t="str">
        <f ca="1">IF(EHD[[#This Row],[RAD/PACT]]="","",IF((EHD[[#This Row],[RAD/PACT]]-YEAR(TODAY()))&lt;=5,"Yes",""))</f>
        <v/>
      </c>
      <c r="I7" s="1">
        <v>2019</v>
      </c>
      <c r="J7" s="1">
        <v>2019</v>
      </c>
      <c r="K7" s="1" t="s">
        <v>20</v>
      </c>
      <c r="L7" s="1"/>
      <c r="M7" s="63"/>
      <c r="N7" s="113">
        <f t="shared" si="0"/>
        <v>0</v>
      </c>
    </row>
    <row r="8" spans="1:14" x14ac:dyDescent="0.25">
      <c r="A8" s="83" t="s">
        <v>50</v>
      </c>
      <c r="B8" s="1" t="str">
        <f>VLOOKUP(A8,Data[],2,FALSE)</f>
        <v>MANHATTAN</v>
      </c>
      <c r="C8" s="9" t="s">
        <v>27</v>
      </c>
      <c r="D8" s="9">
        <f>VLOOKUP(EHD[[#This Row],[DEVELOPMENT]],Data[],27,FALSE)</f>
        <v>1</v>
      </c>
      <c r="E8" s="1" t="str">
        <f>VLOOKUP(EHD[[#This Row],[DEVELOPMENT]],Data[],8,FALSE)</f>
        <v>Zone 1</v>
      </c>
      <c r="F8" s="1" t="str">
        <f>VLOOKUP(EHD[[#This Row],[DEVELOPMENT]],Data[],9,FALSE)</f>
        <v>$</v>
      </c>
      <c r="G8" s="1" t="str">
        <f>IFERROR(VLOOKUP(EHD[[#This Row],[DEVELOPMENT]],Data[],4,FALSE),"")</f>
        <v/>
      </c>
      <c r="H8" s="1" t="str">
        <f ca="1">IF(EHD[[#This Row],[RAD/PACT]]="","",IF((EHD[[#This Row],[RAD/PACT]]-YEAR(TODAY()))&lt;=5,"Yes",""))</f>
        <v/>
      </c>
      <c r="I8" s="1">
        <v>2019</v>
      </c>
      <c r="J8" s="1">
        <v>2019</v>
      </c>
      <c r="K8" s="1" t="s">
        <v>20</v>
      </c>
      <c r="L8" s="1"/>
      <c r="M8" s="63"/>
      <c r="N8" s="113">
        <f t="shared" si="0"/>
        <v>0</v>
      </c>
    </row>
    <row r="9" spans="1:14" x14ac:dyDescent="0.25">
      <c r="A9" s="83" t="s">
        <v>138</v>
      </c>
      <c r="B9" s="1" t="str">
        <f>VLOOKUP(A9,Data[],2,FALSE)</f>
        <v>BRONX</v>
      </c>
      <c r="C9" s="9" t="s">
        <v>27</v>
      </c>
      <c r="D9" s="9">
        <f>VLOOKUP(EHD[[#This Row],[DEVELOPMENT]],Data[],27,FALSE)</f>
        <v>1</v>
      </c>
      <c r="E9" s="1" t="str">
        <f>VLOOKUP(EHD[[#This Row],[DEVELOPMENT]],Data[],8,FALSE)</f>
        <v>Zone 1</v>
      </c>
      <c r="F9" s="1" t="str">
        <f>VLOOKUP(EHD[[#This Row],[DEVELOPMENT]],Data[],9,FALSE)</f>
        <v>$</v>
      </c>
      <c r="G9" s="1" t="str">
        <f>IFERROR(VLOOKUP(EHD[[#This Row],[DEVELOPMENT]],Data[],4,FALSE),"")</f>
        <v/>
      </c>
      <c r="H9" s="1" t="str">
        <f ca="1">IF(EHD[[#This Row],[RAD/PACT]]="","",IF((EHD[[#This Row],[RAD/PACT]]-YEAR(TODAY()))&lt;=5,"Yes",""))</f>
        <v/>
      </c>
      <c r="I9" s="1">
        <v>2019</v>
      </c>
      <c r="J9" s="1">
        <v>2019</v>
      </c>
      <c r="K9" s="1" t="s">
        <v>20</v>
      </c>
      <c r="L9" s="1"/>
      <c r="M9" s="63"/>
      <c r="N9" s="113">
        <f t="shared" si="0"/>
        <v>0</v>
      </c>
    </row>
    <row r="10" spans="1:14" x14ac:dyDescent="0.25">
      <c r="A10" s="13" t="s">
        <v>74</v>
      </c>
      <c r="B10" s="1" t="str">
        <f>VLOOKUP(A10,Data[],2,FALSE)</f>
        <v>MANHATTAN</v>
      </c>
      <c r="C10" s="9" t="s">
        <v>27</v>
      </c>
      <c r="D10" s="9">
        <f>VLOOKUP(EHD[[#This Row],[DEVELOPMENT]],Data[],27,FALSE)</f>
        <v>1</v>
      </c>
      <c r="E10" s="1" t="str">
        <f>VLOOKUP(EHD[[#This Row],[DEVELOPMENT]],Data[],8,FALSE)</f>
        <v>Zone 2</v>
      </c>
      <c r="F10" s="1" t="str">
        <f>VLOOKUP(EHD[[#This Row],[DEVELOPMENT]],Data[],9,FALSE)</f>
        <v>$</v>
      </c>
      <c r="G10" s="1">
        <f>IFERROR(VLOOKUP(EHD[[#This Row],[DEVELOPMENT]],Data[],4,FALSE),"")</f>
        <v>2026</v>
      </c>
      <c r="H10" s="1" t="str">
        <f ca="1">IF(EHD[[#This Row],[RAD/PACT]]="","",IF((EHD[[#This Row],[RAD/PACT]]-YEAR(TODAY()))&lt;=5,"Yes",""))</f>
        <v/>
      </c>
      <c r="I10" s="1">
        <v>2019</v>
      </c>
      <c r="J10" s="1">
        <v>2019</v>
      </c>
      <c r="K10" s="1" t="s">
        <v>20</v>
      </c>
      <c r="L10" s="1"/>
      <c r="M10" s="63"/>
      <c r="N10" s="113">
        <f t="shared" si="0"/>
        <v>0</v>
      </c>
    </row>
    <row r="11" spans="1:14" x14ac:dyDescent="0.25">
      <c r="A11" s="13" t="s">
        <v>126</v>
      </c>
      <c r="B11" s="1" t="str">
        <f>VLOOKUP(A11,Data[],2,FALSE)</f>
        <v>MANHATTAN</v>
      </c>
      <c r="C11" s="9" t="s">
        <v>27</v>
      </c>
      <c r="D11" s="9">
        <f>VLOOKUP(EHD[[#This Row],[DEVELOPMENT]],Data[],27,FALSE)</f>
        <v>1</v>
      </c>
      <c r="E11" s="1" t="str">
        <f>VLOOKUP(EHD[[#This Row],[DEVELOPMENT]],Data[],8,FALSE)</f>
        <v>Zone 2</v>
      </c>
      <c r="F11" s="1" t="str">
        <f>VLOOKUP(EHD[[#This Row],[DEVELOPMENT]],Data[],9,FALSE)</f>
        <v>$</v>
      </c>
      <c r="G11" s="1" t="str">
        <f>IFERROR(VLOOKUP(EHD[[#This Row],[DEVELOPMENT]],Data[],4,FALSE),"")</f>
        <v/>
      </c>
      <c r="H11" s="1" t="str">
        <f ca="1">IF(EHD[[#This Row],[RAD/PACT]]="","",IF((EHD[[#This Row],[RAD/PACT]]-YEAR(TODAY()))&lt;=5,"Yes",""))</f>
        <v/>
      </c>
      <c r="I11" s="1">
        <v>2019</v>
      </c>
      <c r="J11" s="1">
        <v>2019</v>
      </c>
      <c r="K11" s="1" t="s">
        <v>20</v>
      </c>
      <c r="L11" s="1"/>
      <c r="M11" s="63"/>
      <c r="N11" s="113">
        <f t="shared" si="0"/>
        <v>0</v>
      </c>
    </row>
    <row r="12" spans="1:14" x14ac:dyDescent="0.25">
      <c r="A12" s="13" t="s">
        <v>102</v>
      </c>
      <c r="B12" s="1" t="str">
        <f>VLOOKUP(A12,Data[],2,FALSE)</f>
        <v>MANHATTAN</v>
      </c>
      <c r="C12" s="9" t="s">
        <v>27</v>
      </c>
      <c r="D12" s="9">
        <f>VLOOKUP(EHD[[#This Row],[DEVELOPMENT]],Data[],27,FALSE)</f>
        <v>2</v>
      </c>
      <c r="E12" s="1" t="str">
        <f>VLOOKUP(EHD[[#This Row],[DEVELOPMENT]],Data[],8,FALSE)</f>
        <v>Zone 2</v>
      </c>
      <c r="F12" s="1" t="str">
        <f>VLOOKUP(EHD[[#This Row],[DEVELOPMENT]],Data[],9,FALSE)</f>
        <v>$</v>
      </c>
      <c r="G12" s="1" t="str">
        <f>IFERROR(VLOOKUP(EHD[[#This Row],[DEVELOPMENT]],Data[],4,FALSE),"")</f>
        <v/>
      </c>
      <c r="H12" s="1" t="str">
        <f ca="1">IF(EHD[[#This Row],[RAD/PACT]]="","",IF((EHD[[#This Row],[RAD/PACT]]-YEAR(TODAY()))&lt;=5,"Yes",""))</f>
        <v/>
      </c>
      <c r="I12" s="1">
        <v>2019</v>
      </c>
      <c r="J12" s="1">
        <v>2019</v>
      </c>
      <c r="K12" s="1" t="s">
        <v>20</v>
      </c>
      <c r="L12" s="1"/>
      <c r="M12" s="63"/>
      <c r="N12" s="113">
        <f t="shared" si="0"/>
        <v>0</v>
      </c>
    </row>
    <row r="13" spans="1:14" x14ac:dyDescent="0.25">
      <c r="A13" s="13" t="s">
        <v>98</v>
      </c>
      <c r="B13" s="1" t="str">
        <f>VLOOKUP(A13,Data[],2,FALSE)</f>
        <v>BRONX</v>
      </c>
      <c r="C13" s="9" t="s">
        <v>27</v>
      </c>
      <c r="D13" s="9">
        <f>VLOOKUP(EHD[[#This Row],[DEVELOPMENT]],Data[],27,FALSE)</f>
        <v>1</v>
      </c>
      <c r="E13" s="1" t="str">
        <f>VLOOKUP(EHD[[#This Row],[DEVELOPMENT]],Data[],8,FALSE)</f>
        <v>Zone 3</v>
      </c>
      <c r="F13" s="1" t="str">
        <f>VLOOKUP(EHD[[#This Row],[DEVELOPMENT]],Data[],9,FALSE)</f>
        <v>$</v>
      </c>
      <c r="G13" s="1">
        <f>IFERROR(VLOOKUP(EHD[[#This Row],[DEVELOPMENT]],Data[],4,FALSE),"")</f>
        <v>2026</v>
      </c>
      <c r="H13" s="1" t="str">
        <f ca="1">IF(EHD[[#This Row],[RAD/PACT]]="","",IF((EHD[[#This Row],[RAD/PACT]]-YEAR(TODAY()))&lt;=5,"Yes",""))</f>
        <v/>
      </c>
      <c r="I13" s="1">
        <v>2019</v>
      </c>
      <c r="J13" s="1">
        <v>2019</v>
      </c>
      <c r="K13" s="1" t="s">
        <v>20</v>
      </c>
      <c r="L13" s="1"/>
      <c r="M13" s="63"/>
      <c r="N13" s="113">
        <f t="shared" si="0"/>
        <v>0</v>
      </c>
    </row>
    <row r="14" spans="1:14" x14ac:dyDescent="0.25">
      <c r="A14" s="13" t="s">
        <v>183</v>
      </c>
      <c r="B14" s="1" t="str">
        <f>VLOOKUP(A14,Data[],2,FALSE)</f>
        <v>BRONX</v>
      </c>
      <c r="C14" s="9" t="s">
        <v>27</v>
      </c>
      <c r="D14" s="9">
        <f>VLOOKUP(EHD[[#This Row],[DEVELOPMENT]],Data[],27,FALSE)</f>
        <v>1</v>
      </c>
      <c r="E14" s="1">
        <f>VLOOKUP(EHD[[#This Row],[DEVELOPMENT]],Data[],8,FALSE)</f>
        <v>0</v>
      </c>
      <c r="F14" s="1">
        <f>VLOOKUP(EHD[[#This Row],[DEVELOPMENT]],Data[],9,FALSE)</f>
        <v>0</v>
      </c>
      <c r="G14" s="1">
        <f>IFERROR(VLOOKUP(EHD[[#This Row],[DEVELOPMENT]],Data[],4,FALSE),"")</f>
        <v>2022</v>
      </c>
      <c r="H14" s="1" t="str">
        <f ca="1">IF(EHD[[#This Row],[RAD/PACT]]="","",IF((EHD[[#This Row],[RAD/PACT]]-YEAR(TODAY()))&lt;=5,"Yes",""))</f>
        <v>Yes</v>
      </c>
      <c r="I14" s="1">
        <v>2019</v>
      </c>
      <c r="J14" s="1">
        <v>2019</v>
      </c>
      <c r="K14" s="1" t="s">
        <v>20</v>
      </c>
      <c r="L14" s="1"/>
      <c r="M14" s="63"/>
      <c r="N14" s="113">
        <f t="shared" si="0"/>
        <v>0</v>
      </c>
    </row>
    <row r="15" spans="1:14" x14ac:dyDescent="0.25">
      <c r="A15" s="13" t="s">
        <v>189</v>
      </c>
      <c r="B15" s="1" t="str">
        <f>VLOOKUP(A15,Data[],2,FALSE)</f>
        <v>BRONX</v>
      </c>
      <c r="C15" s="9" t="s">
        <v>27</v>
      </c>
      <c r="D15" s="9">
        <f>VLOOKUP(EHD[[#This Row],[DEVELOPMENT]],Data[],27,FALSE)</f>
        <v>2</v>
      </c>
      <c r="E15" s="1">
        <f>VLOOKUP(EHD[[#This Row],[DEVELOPMENT]],Data[],8,FALSE)</f>
        <v>0</v>
      </c>
      <c r="F15" s="1">
        <f>VLOOKUP(EHD[[#This Row],[DEVELOPMENT]],Data[],9,FALSE)</f>
        <v>0</v>
      </c>
      <c r="G15" s="1" t="str">
        <f>IFERROR(VLOOKUP(EHD[[#This Row],[DEVELOPMENT]],Data[],4,FALSE),"")</f>
        <v/>
      </c>
      <c r="H15" s="1" t="str">
        <f ca="1">IF(EHD[[#This Row],[RAD/PACT]]="","",IF((EHD[[#This Row],[RAD/PACT]]-YEAR(TODAY()))&lt;=5,"Yes",""))</f>
        <v/>
      </c>
      <c r="I15" s="1">
        <v>2019</v>
      </c>
      <c r="J15" s="1">
        <v>2019</v>
      </c>
      <c r="K15" s="1" t="s">
        <v>20</v>
      </c>
      <c r="L15" s="1"/>
      <c r="M15" s="63"/>
      <c r="N15" s="113">
        <f t="shared" si="0"/>
        <v>0</v>
      </c>
    </row>
    <row r="16" spans="1:14" x14ac:dyDescent="0.25">
      <c r="A16" s="13" t="s">
        <v>190</v>
      </c>
      <c r="B16" s="1" t="str">
        <f>VLOOKUP(A16,Data[],2,FALSE)</f>
        <v>BROOKLYN</v>
      </c>
      <c r="C16" s="9" t="s">
        <v>27</v>
      </c>
      <c r="D16" s="9">
        <f>VLOOKUP(EHD[[#This Row],[DEVELOPMENT]],Data[],27,FALSE)</f>
        <v>2</v>
      </c>
      <c r="E16" s="1">
        <f>VLOOKUP(EHD[[#This Row],[DEVELOPMENT]],Data[],8,FALSE)</f>
        <v>0</v>
      </c>
      <c r="F16" s="1">
        <f>VLOOKUP(EHD[[#This Row],[DEVELOPMENT]],Data[],9,FALSE)</f>
        <v>0</v>
      </c>
      <c r="G16" s="1" t="str">
        <f>IFERROR(VLOOKUP(EHD[[#This Row],[DEVELOPMENT]],Data[],4,FALSE),"")</f>
        <v/>
      </c>
      <c r="H16" s="1" t="str">
        <f ca="1">IF(EHD[[#This Row],[RAD/PACT]]="","",IF((EHD[[#This Row],[RAD/PACT]]-YEAR(TODAY()))&lt;=5,"Yes",""))</f>
        <v/>
      </c>
      <c r="I16" s="1">
        <v>2019</v>
      </c>
      <c r="J16" s="1">
        <v>2019</v>
      </c>
      <c r="K16" s="1" t="s">
        <v>20</v>
      </c>
      <c r="L16" s="1"/>
      <c r="M16" s="63"/>
      <c r="N16" s="113">
        <f t="shared" si="0"/>
        <v>0</v>
      </c>
    </row>
    <row r="17" spans="1:14" x14ac:dyDescent="0.25">
      <c r="A17" s="13" t="s">
        <v>195</v>
      </c>
      <c r="B17" s="1" t="str">
        <f>VLOOKUP(A17,Data[],2,FALSE)</f>
        <v>STATEN ISLAND</v>
      </c>
      <c r="C17" s="9" t="s">
        <v>27</v>
      </c>
      <c r="D17" s="9">
        <f>VLOOKUP(EHD[[#This Row],[DEVELOPMENT]],Data[],27,FALSE)</f>
        <v>4</v>
      </c>
      <c r="E17" s="1">
        <f>VLOOKUP(EHD[[#This Row],[DEVELOPMENT]],Data[],8,FALSE)</f>
        <v>0</v>
      </c>
      <c r="F17" s="1">
        <f>VLOOKUP(EHD[[#This Row],[DEVELOPMENT]],Data[],9,FALSE)</f>
        <v>0</v>
      </c>
      <c r="G17" s="1" t="str">
        <f>IFERROR(VLOOKUP(EHD[[#This Row],[DEVELOPMENT]],Data[],4,FALSE),"")</f>
        <v/>
      </c>
      <c r="H17" s="1" t="str">
        <f ca="1">IF(EHD[[#This Row],[RAD/PACT]]="","",IF((EHD[[#This Row],[RAD/PACT]]-YEAR(TODAY()))&lt;=5,"Yes",""))</f>
        <v/>
      </c>
      <c r="I17" s="1">
        <v>2019</v>
      </c>
      <c r="J17" s="1">
        <v>2019</v>
      </c>
      <c r="K17" s="1" t="s">
        <v>20</v>
      </c>
      <c r="L17" s="1"/>
      <c r="M17" s="63"/>
      <c r="N17" s="113">
        <f t="shared" si="0"/>
        <v>0</v>
      </c>
    </row>
    <row r="18" spans="1:14" x14ac:dyDescent="0.25">
      <c r="A18" s="13" t="s">
        <v>204</v>
      </c>
      <c r="B18" s="1" t="str">
        <f>VLOOKUP(A18,Data[],2,FALSE)</f>
        <v>QUEENS</v>
      </c>
      <c r="C18" s="9" t="s">
        <v>27</v>
      </c>
      <c r="D18" s="9">
        <f>VLOOKUP(EHD[[#This Row],[DEVELOPMENT]],Data[],27,FALSE)</f>
        <v>1</v>
      </c>
      <c r="E18" s="1">
        <f>VLOOKUP(EHD[[#This Row],[DEVELOPMENT]],Data[],8,FALSE)</f>
        <v>0</v>
      </c>
      <c r="F18" s="1">
        <f>VLOOKUP(EHD[[#This Row],[DEVELOPMENT]],Data[],9,FALSE)</f>
        <v>0</v>
      </c>
      <c r="G18" s="1" t="str">
        <f>IFERROR(VLOOKUP(EHD[[#This Row],[DEVELOPMENT]],Data[],4,FALSE),"")</f>
        <v/>
      </c>
      <c r="H18" s="1" t="str">
        <f ca="1">IF(EHD[[#This Row],[RAD/PACT]]="","",IF((EHD[[#This Row],[RAD/PACT]]-YEAR(TODAY()))&lt;=5,"Yes",""))</f>
        <v/>
      </c>
      <c r="I18" s="1">
        <v>2019</v>
      </c>
      <c r="J18" s="1">
        <v>2019</v>
      </c>
      <c r="K18" s="1" t="s">
        <v>20</v>
      </c>
      <c r="L18" s="1"/>
      <c r="M18" s="63"/>
      <c r="N18" s="113">
        <f t="shared" si="0"/>
        <v>0</v>
      </c>
    </row>
    <row r="19" spans="1:14" x14ac:dyDescent="0.25">
      <c r="A19" s="13" t="s">
        <v>241</v>
      </c>
      <c r="B19" s="1" t="str">
        <f>VLOOKUP(A19,Data[],2,FALSE)</f>
        <v>BROOKLYN</v>
      </c>
      <c r="C19" s="9" t="s">
        <v>27</v>
      </c>
      <c r="D19" s="9">
        <f>VLOOKUP(EHD[[#This Row],[DEVELOPMENT]],Data[],27,FALSE)</f>
        <v>3</v>
      </c>
      <c r="E19" s="1">
        <f>VLOOKUP(EHD[[#This Row],[DEVELOPMENT]],Data[],8,FALSE)</f>
        <v>0</v>
      </c>
      <c r="F19" s="1">
        <f>VLOOKUP(EHD[[#This Row],[DEVELOPMENT]],Data[],9,FALSE)</f>
        <v>0</v>
      </c>
      <c r="G19" s="1" t="str">
        <f>IFERROR(VLOOKUP(EHD[[#This Row],[DEVELOPMENT]],Data[],4,FALSE),"")</f>
        <v/>
      </c>
      <c r="H19" s="1" t="str">
        <f ca="1">IF(EHD[[#This Row],[RAD/PACT]]="","",IF((EHD[[#This Row],[RAD/PACT]]-YEAR(TODAY()))&lt;=5,"Yes",""))</f>
        <v/>
      </c>
      <c r="I19" s="1">
        <v>2019</v>
      </c>
      <c r="J19" s="1">
        <v>2019</v>
      </c>
      <c r="K19" s="1" t="s">
        <v>20</v>
      </c>
      <c r="L19" s="1"/>
      <c r="M19" s="63"/>
      <c r="N19" s="113">
        <f t="shared" si="0"/>
        <v>0</v>
      </c>
    </row>
    <row r="20" spans="1:14" x14ac:dyDescent="0.25">
      <c r="A20" s="13" t="s">
        <v>257</v>
      </c>
      <c r="B20" s="1" t="str">
        <f>VLOOKUP(A20,Data[],2,FALSE)</f>
        <v>QUEENS</v>
      </c>
      <c r="C20" s="9" t="s">
        <v>27</v>
      </c>
      <c r="D20" s="9">
        <f>VLOOKUP(EHD[[#This Row],[DEVELOPMENT]],Data[],27,FALSE)</f>
        <v>2</v>
      </c>
      <c r="E20" s="1">
        <f>VLOOKUP(EHD[[#This Row],[DEVELOPMENT]],Data[],8,FALSE)</f>
        <v>0</v>
      </c>
      <c r="F20" s="1">
        <f>VLOOKUP(EHD[[#This Row],[DEVELOPMENT]],Data[],9,FALSE)</f>
        <v>0</v>
      </c>
      <c r="G20" s="1" t="str">
        <f>IFERROR(VLOOKUP(EHD[[#This Row],[DEVELOPMENT]],Data[],4,FALSE),"")</f>
        <v/>
      </c>
      <c r="H20" s="1" t="str">
        <f ca="1">IF(EHD[[#This Row],[RAD/PACT]]="","",IF((EHD[[#This Row],[RAD/PACT]]-YEAR(TODAY()))&lt;=5,"Yes",""))</f>
        <v/>
      </c>
      <c r="I20" s="1">
        <v>2019</v>
      </c>
      <c r="J20" s="1">
        <v>2019</v>
      </c>
      <c r="K20" s="1" t="s">
        <v>20</v>
      </c>
      <c r="L20" s="1"/>
      <c r="M20" s="63"/>
      <c r="N20" s="113">
        <f t="shared" si="0"/>
        <v>0</v>
      </c>
    </row>
    <row r="21" spans="1:14" x14ac:dyDescent="0.25">
      <c r="A21" s="13" t="s">
        <v>274</v>
      </c>
      <c r="B21" s="1" t="str">
        <f>VLOOKUP(A21,Data[],2,FALSE)</f>
        <v>BRONX</v>
      </c>
      <c r="C21" s="9" t="s">
        <v>27</v>
      </c>
      <c r="D21" s="9">
        <f>VLOOKUP(EHD[[#This Row],[DEVELOPMENT]],Data[],27,FALSE)</f>
        <v>1</v>
      </c>
      <c r="E21" s="1">
        <f>VLOOKUP(EHD[[#This Row],[DEVELOPMENT]],Data[],8,FALSE)</f>
        <v>0</v>
      </c>
      <c r="F21" s="1">
        <f>VLOOKUP(EHD[[#This Row],[DEVELOPMENT]],Data[],9,FALSE)</f>
        <v>0</v>
      </c>
      <c r="G21" s="1">
        <f>IFERROR(VLOOKUP(EHD[[#This Row],[DEVELOPMENT]],Data[],4,FALSE),"")</f>
        <v>2026</v>
      </c>
      <c r="H21" s="1" t="str">
        <f ca="1">IF(EHD[[#This Row],[RAD/PACT]]="","",IF((EHD[[#This Row],[RAD/PACT]]-YEAR(TODAY()))&lt;=5,"Yes",""))</f>
        <v/>
      </c>
      <c r="I21" s="1">
        <v>2019</v>
      </c>
      <c r="J21" s="1">
        <v>2019</v>
      </c>
      <c r="K21" s="1" t="s">
        <v>20</v>
      </c>
      <c r="L21" s="1"/>
      <c r="M21" s="63"/>
      <c r="N21" s="113">
        <f t="shared" si="0"/>
        <v>0</v>
      </c>
    </row>
    <row r="22" spans="1:14" x14ac:dyDescent="0.25">
      <c r="A22" s="13" t="s">
        <v>279</v>
      </c>
      <c r="B22" s="1" t="str">
        <f>VLOOKUP(A22,Data[],2,FALSE)</f>
        <v>STATEN ISLAND</v>
      </c>
      <c r="C22" s="9" t="s">
        <v>27</v>
      </c>
      <c r="D22" s="9">
        <f>VLOOKUP(EHD[[#This Row],[DEVELOPMENT]],Data[],27,FALSE)</f>
        <v>2</v>
      </c>
      <c r="E22" s="1">
        <f>VLOOKUP(EHD[[#This Row],[DEVELOPMENT]],Data[],8,FALSE)</f>
        <v>0</v>
      </c>
      <c r="F22" s="1">
        <f>VLOOKUP(EHD[[#This Row],[DEVELOPMENT]],Data[],9,FALSE)</f>
        <v>0</v>
      </c>
      <c r="G22" s="1" t="str">
        <f>IFERROR(VLOOKUP(EHD[[#This Row],[DEVELOPMENT]],Data[],4,FALSE),"")</f>
        <v/>
      </c>
      <c r="H22" s="1" t="str">
        <f ca="1">IF(EHD[[#This Row],[RAD/PACT]]="","",IF((EHD[[#This Row],[RAD/PACT]]-YEAR(TODAY()))&lt;=5,"Yes",""))</f>
        <v/>
      </c>
      <c r="I22" s="1">
        <v>2019</v>
      </c>
      <c r="J22" s="1">
        <v>2019</v>
      </c>
      <c r="K22" s="1" t="s">
        <v>20</v>
      </c>
      <c r="L22" s="1"/>
      <c r="M22" s="63"/>
      <c r="N22" s="113">
        <f t="shared" si="0"/>
        <v>0</v>
      </c>
    </row>
    <row r="23" spans="1:14" x14ac:dyDescent="0.25">
      <c r="A23" s="13" t="s">
        <v>292</v>
      </c>
      <c r="B23" s="1" t="str">
        <f>VLOOKUP(A23,Data[],2,FALSE)</f>
        <v>BRONX</v>
      </c>
      <c r="C23" s="9" t="s">
        <v>27</v>
      </c>
      <c r="D23" s="9">
        <f>VLOOKUP(EHD[[#This Row],[DEVELOPMENT]],Data[],27,FALSE)</f>
        <v>3</v>
      </c>
      <c r="E23" s="1">
        <f>VLOOKUP(EHD[[#This Row],[DEVELOPMENT]],Data[],8,FALSE)</f>
        <v>0</v>
      </c>
      <c r="F23" s="1">
        <f>VLOOKUP(EHD[[#This Row],[DEVELOPMENT]],Data[],9,FALSE)</f>
        <v>0</v>
      </c>
      <c r="G23" s="1">
        <f>IFERROR(VLOOKUP(EHD[[#This Row],[DEVELOPMENT]],Data[],4,FALSE),"")</f>
        <v>2022</v>
      </c>
      <c r="H23" s="1" t="str">
        <f ca="1">IF(EHD[[#This Row],[RAD/PACT]]="","",IF((EHD[[#This Row],[RAD/PACT]]-YEAR(TODAY()))&lt;=5,"Yes",""))</f>
        <v>Yes</v>
      </c>
      <c r="I23" s="1">
        <v>2019</v>
      </c>
      <c r="J23" s="1">
        <v>2019</v>
      </c>
      <c r="K23" s="1" t="s">
        <v>20</v>
      </c>
      <c r="L23" s="1"/>
      <c r="M23" s="63"/>
      <c r="N23" s="113">
        <f t="shared" si="0"/>
        <v>0</v>
      </c>
    </row>
    <row r="24" spans="1:14" x14ac:dyDescent="0.25">
      <c r="A24" s="13" t="s">
        <v>301</v>
      </c>
      <c r="B24" s="1" t="str">
        <f>VLOOKUP(A24,Data[],2,FALSE)</f>
        <v>BROOKLYN</v>
      </c>
      <c r="C24" s="9" t="s">
        <v>27</v>
      </c>
      <c r="D24" s="9">
        <f>VLOOKUP(EHD[[#This Row],[DEVELOPMENT]],Data[],27,FALSE)</f>
        <v>1</v>
      </c>
      <c r="E24" s="1">
        <f>VLOOKUP(EHD[[#This Row],[DEVELOPMENT]],Data[],8,FALSE)</f>
        <v>0</v>
      </c>
      <c r="F24" s="1">
        <f>VLOOKUP(EHD[[#This Row],[DEVELOPMENT]],Data[],9,FALSE)</f>
        <v>0</v>
      </c>
      <c r="G24" s="1">
        <f>IFERROR(VLOOKUP(EHD[[#This Row],[DEVELOPMENT]],Data[],4,FALSE),"")</f>
        <v>2021</v>
      </c>
      <c r="H24" s="1" t="str">
        <f ca="1">IF(EHD[[#This Row],[RAD/PACT]]="","",IF((EHD[[#This Row],[RAD/PACT]]-YEAR(TODAY()))&lt;=5,"Yes",""))</f>
        <v>Yes</v>
      </c>
      <c r="I24" s="1">
        <v>2019</v>
      </c>
      <c r="J24" s="1">
        <v>2019</v>
      </c>
      <c r="K24" s="1" t="s">
        <v>20</v>
      </c>
      <c r="L24" s="1"/>
      <c r="M24" s="63"/>
      <c r="N24" s="113">
        <f t="shared" si="0"/>
        <v>0</v>
      </c>
    </row>
    <row r="25" spans="1:14" x14ac:dyDescent="0.25">
      <c r="A25" s="13" t="s">
        <v>303</v>
      </c>
      <c r="B25" s="1" t="str">
        <f>VLOOKUP(A25,Data[],2,FALSE)</f>
        <v>MANHATTAN</v>
      </c>
      <c r="C25" s="9" t="s">
        <v>27</v>
      </c>
      <c r="D25" s="9">
        <f>VLOOKUP(EHD[[#This Row],[DEVELOPMENT]],Data[],27,FALSE)</f>
        <v>1</v>
      </c>
      <c r="E25" s="1">
        <f>VLOOKUP(EHD[[#This Row],[DEVELOPMENT]],Data[],8,FALSE)</f>
        <v>0</v>
      </c>
      <c r="F25" s="1">
        <f>VLOOKUP(EHD[[#This Row],[DEVELOPMENT]],Data[],9,FALSE)</f>
        <v>0</v>
      </c>
      <c r="G25" s="1" t="str">
        <f>IFERROR(VLOOKUP(EHD[[#This Row],[DEVELOPMENT]],Data[],4,FALSE),"")</f>
        <v/>
      </c>
      <c r="H25" s="1" t="str">
        <f ca="1">IF(EHD[[#This Row],[RAD/PACT]]="","",IF((EHD[[#This Row],[RAD/PACT]]-YEAR(TODAY()))&lt;=5,"Yes",""))</f>
        <v/>
      </c>
      <c r="I25" s="1">
        <v>2019</v>
      </c>
      <c r="J25" s="1">
        <v>2019</v>
      </c>
      <c r="K25" s="1" t="s">
        <v>20</v>
      </c>
      <c r="L25" s="1"/>
      <c r="M25" s="63"/>
      <c r="N25" s="113">
        <f t="shared" si="0"/>
        <v>0</v>
      </c>
    </row>
    <row r="26" spans="1:14" x14ac:dyDescent="0.25">
      <c r="A26" s="13" t="s">
        <v>312</v>
      </c>
      <c r="B26" s="1" t="str">
        <f>VLOOKUP(A26,Data[],2,FALSE)</f>
        <v>QUEENS</v>
      </c>
      <c r="C26" s="9" t="s">
        <v>27</v>
      </c>
      <c r="D26" s="9">
        <f>VLOOKUP(EHD[[#This Row],[DEVELOPMENT]],Data[],27,FALSE)</f>
        <v>1</v>
      </c>
      <c r="E26" s="1">
        <f>VLOOKUP(EHD[[#This Row],[DEVELOPMENT]],Data[],8,FALSE)</f>
        <v>0</v>
      </c>
      <c r="F26" s="1">
        <f>VLOOKUP(EHD[[#This Row],[DEVELOPMENT]],Data[],9,FALSE)</f>
        <v>0</v>
      </c>
      <c r="G26" s="1" t="str">
        <f>IFERROR(VLOOKUP(EHD[[#This Row],[DEVELOPMENT]],Data[],4,FALSE),"")</f>
        <v/>
      </c>
      <c r="H26" s="1" t="str">
        <f ca="1">IF(EHD[[#This Row],[RAD/PACT]]="","",IF((EHD[[#This Row],[RAD/PACT]]-YEAR(TODAY()))&lt;=5,"Yes",""))</f>
        <v/>
      </c>
      <c r="I26" s="1">
        <v>2019</v>
      </c>
      <c r="J26" s="1">
        <v>2019</v>
      </c>
      <c r="K26" s="1" t="s">
        <v>20</v>
      </c>
      <c r="L26" s="1"/>
      <c r="M26" s="63"/>
      <c r="N26" s="113">
        <f t="shared" si="0"/>
        <v>0</v>
      </c>
    </row>
    <row r="27" spans="1:14" x14ac:dyDescent="0.25">
      <c r="A27" s="83" t="s">
        <v>324</v>
      </c>
      <c r="B27" s="1" t="str">
        <f>VLOOKUP(A27,Data[],2,FALSE)</f>
        <v>BROOKLYN</v>
      </c>
      <c r="C27" s="9" t="s">
        <v>27</v>
      </c>
      <c r="D27" s="9">
        <f>VLOOKUP(EHD[[#This Row],[DEVELOPMENT]],Data[],27,FALSE)</f>
        <v>1</v>
      </c>
      <c r="E27" s="1">
        <f>VLOOKUP(EHD[[#This Row],[DEVELOPMENT]],Data[],8,FALSE)</f>
        <v>0</v>
      </c>
      <c r="F27" s="1">
        <f>VLOOKUP(EHD[[#This Row],[DEVELOPMENT]],Data[],9,FALSE)</f>
        <v>0</v>
      </c>
      <c r="G27" s="1" t="str">
        <f>IFERROR(VLOOKUP(EHD[[#This Row],[DEVELOPMENT]],Data[],4,FALSE),"")</f>
        <v/>
      </c>
      <c r="H27" s="1" t="str">
        <f ca="1">IF(EHD[[#This Row],[RAD/PACT]]="","",IF((EHD[[#This Row],[RAD/PACT]]-YEAR(TODAY()))&lt;=5,"Yes",""))</f>
        <v/>
      </c>
      <c r="I27" s="1">
        <v>2019</v>
      </c>
      <c r="J27" s="1">
        <v>2019</v>
      </c>
      <c r="K27" s="1" t="s">
        <v>20</v>
      </c>
      <c r="L27" s="1"/>
      <c r="M27" s="63"/>
      <c r="N27" s="113">
        <f t="shared" si="0"/>
        <v>0</v>
      </c>
    </row>
    <row r="28" spans="1:14" x14ac:dyDescent="0.25">
      <c r="A28" s="13" t="s">
        <v>339</v>
      </c>
      <c r="B28" s="1" t="str">
        <f>VLOOKUP(A28,Data[],2,FALSE)</f>
        <v>BROOKLYN</v>
      </c>
      <c r="C28" s="9" t="s">
        <v>27</v>
      </c>
      <c r="D28" s="9">
        <f>VLOOKUP(EHD[[#This Row],[DEVELOPMENT]],Data[],27,FALSE)</f>
        <v>2</v>
      </c>
      <c r="E28" s="1">
        <f>VLOOKUP(EHD[[#This Row],[DEVELOPMENT]],Data[],8,FALSE)</f>
        <v>0</v>
      </c>
      <c r="F28" s="1">
        <f>VLOOKUP(EHD[[#This Row],[DEVELOPMENT]],Data[],9,FALSE)</f>
        <v>0</v>
      </c>
      <c r="G28" s="1" t="str">
        <f>IFERROR(VLOOKUP(EHD[[#This Row],[DEVELOPMENT]],Data[],4,FALSE),"")</f>
        <v/>
      </c>
      <c r="H28" s="1" t="str">
        <f ca="1">IF(EHD[[#This Row],[RAD/PACT]]="","",IF((EHD[[#This Row],[RAD/PACT]]-YEAR(TODAY()))&lt;=5,"Yes",""))</f>
        <v/>
      </c>
      <c r="I28" s="1">
        <v>2019</v>
      </c>
      <c r="J28" s="1">
        <v>2019</v>
      </c>
      <c r="K28" s="1" t="s">
        <v>20</v>
      </c>
      <c r="L28" s="1"/>
      <c r="M28" s="63"/>
      <c r="N28" s="113">
        <f t="shared" si="0"/>
        <v>0</v>
      </c>
    </row>
    <row r="29" spans="1:14" x14ac:dyDescent="0.25">
      <c r="A29" s="13" t="s">
        <v>356</v>
      </c>
      <c r="B29" s="1" t="str">
        <f>VLOOKUP(A29,Data[],2,FALSE)</f>
        <v>BROOKLYN</v>
      </c>
      <c r="C29" s="9" t="s">
        <v>27</v>
      </c>
      <c r="D29" s="9">
        <f>VLOOKUP(EHD[[#This Row],[DEVELOPMENT]],Data[],27,FALSE)</f>
        <v>2</v>
      </c>
      <c r="E29" s="1">
        <f>VLOOKUP(EHD[[#This Row],[DEVELOPMENT]],Data[],8,FALSE)</f>
        <v>0</v>
      </c>
      <c r="F29" s="1">
        <f>VLOOKUP(EHD[[#This Row],[DEVELOPMENT]],Data[],9,FALSE)</f>
        <v>0</v>
      </c>
      <c r="G29" s="1" t="str">
        <f>IFERROR(VLOOKUP(EHD[[#This Row],[DEVELOPMENT]],Data[],4,FALSE),"")</f>
        <v/>
      </c>
      <c r="H29" s="1" t="str">
        <f ca="1">IF(EHD[[#This Row],[RAD/PACT]]="","",IF((EHD[[#This Row],[RAD/PACT]]-YEAR(TODAY()))&lt;=5,"Yes",""))</f>
        <v/>
      </c>
      <c r="I29" s="1">
        <v>2019</v>
      </c>
      <c r="J29" s="1">
        <v>2019</v>
      </c>
      <c r="K29" s="1" t="s">
        <v>20</v>
      </c>
      <c r="L29" s="1"/>
      <c r="M29" s="63"/>
      <c r="N29" s="113">
        <f t="shared" si="0"/>
        <v>0</v>
      </c>
    </row>
    <row r="30" spans="1:14" x14ac:dyDescent="0.25">
      <c r="A30" s="13" t="s">
        <v>259</v>
      </c>
      <c r="B30" s="1" t="str">
        <f>VLOOKUP(A30,Data[],2,FALSE)</f>
        <v>BROOKLYN</v>
      </c>
      <c r="C30" s="9" t="s">
        <v>27</v>
      </c>
      <c r="D30" s="9">
        <f>VLOOKUP(EHD[[#This Row],[DEVELOPMENT]],Data[],27,FALSE)</f>
        <v>2</v>
      </c>
      <c r="E30" s="1" t="str">
        <f>VLOOKUP(EHD[[#This Row],[DEVELOPMENT]],Data[],8,FALSE)</f>
        <v>Zone 4</v>
      </c>
      <c r="F30" s="1">
        <f>VLOOKUP(EHD[[#This Row],[DEVELOPMENT]],Data[],9,FALSE)</f>
        <v>0</v>
      </c>
      <c r="G30" s="1" t="str">
        <f>IFERROR(VLOOKUP(EHD[[#This Row],[DEVELOPMENT]],Data[],4,FALSE),"")</f>
        <v/>
      </c>
      <c r="H30" s="1" t="str">
        <f ca="1">IF(EHD[[#This Row],[RAD/PACT]]="","",IF((EHD[[#This Row],[RAD/PACT]]-YEAR(TODAY()))&lt;=5,"Yes",""))</f>
        <v/>
      </c>
      <c r="I30" s="1">
        <v>2019</v>
      </c>
      <c r="J30" s="1">
        <v>2019</v>
      </c>
      <c r="K30" s="1" t="s">
        <v>20</v>
      </c>
      <c r="L30" s="1"/>
      <c r="M30" s="63"/>
      <c r="N30" s="113">
        <f t="shared" si="0"/>
        <v>0</v>
      </c>
    </row>
    <row r="31" spans="1:14" x14ac:dyDescent="0.25">
      <c r="A31" s="83" t="s">
        <v>37</v>
      </c>
      <c r="B31" s="1" t="str">
        <f>VLOOKUP(A31,Data[],2,FALSE)</f>
        <v>BROOKLYN</v>
      </c>
      <c r="C31" s="9" t="s">
        <v>27</v>
      </c>
      <c r="D31" s="9">
        <f>VLOOKUP(EHD[[#This Row],[DEVELOPMENT]],Data[],27,FALSE)</f>
        <v>7</v>
      </c>
      <c r="E31" s="1" t="str">
        <f>VLOOKUP(EHD[[#This Row],[DEVELOPMENT]],Data[],8,FALSE)</f>
        <v>Zone 1</v>
      </c>
      <c r="F31" s="1" t="str">
        <f>VLOOKUP(EHD[[#This Row],[DEVELOPMENT]],Data[],9,FALSE)</f>
        <v>$$$</v>
      </c>
      <c r="G31" s="1" t="str">
        <f>IFERROR(VLOOKUP(EHD[[#This Row],[DEVELOPMENT]],Data[],4,FALSE),"")</f>
        <v/>
      </c>
      <c r="H31" s="1" t="str">
        <f ca="1">IF(EHD[[#This Row],[RAD/PACT]]="","",IF((EHD[[#This Row],[RAD/PACT]]-YEAR(TODAY()))&lt;=5,"Yes",""))</f>
        <v/>
      </c>
      <c r="I31" s="1">
        <v>2019</v>
      </c>
      <c r="J31" s="1">
        <v>2020</v>
      </c>
      <c r="K31" s="1" t="s">
        <v>377</v>
      </c>
      <c r="L31" s="63">
        <v>44983.35</v>
      </c>
      <c r="M31" s="63"/>
      <c r="N31" s="113">
        <f t="shared" si="0"/>
        <v>44983.35</v>
      </c>
    </row>
    <row r="32" spans="1:14" x14ac:dyDescent="0.25">
      <c r="A32" s="83" t="s">
        <v>26</v>
      </c>
      <c r="B32" s="1" t="str">
        <f>VLOOKUP(A32,Data[],2,FALSE)</f>
        <v>BROOKLYN</v>
      </c>
      <c r="C32" s="9" t="s">
        <v>27</v>
      </c>
      <c r="D32" s="9">
        <f>VLOOKUP(EHD[[#This Row],[DEVELOPMENT]],Data[],27,FALSE)</f>
        <v>8</v>
      </c>
      <c r="E32" s="1" t="str">
        <f>VLOOKUP(EHD[[#This Row],[DEVELOPMENT]],Data[],8,FALSE)</f>
        <v>Zone 1</v>
      </c>
      <c r="F32" s="1" t="str">
        <f>VLOOKUP(EHD[[#This Row],[DEVELOPMENT]],Data[],9,FALSE)</f>
        <v>$$</v>
      </c>
      <c r="G32" s="1" t="str">
        <f>IFERROR(VLOOKUP(EHD[[#This Row],[DEVELOPMENT]],Data[],4,FALSE),"")</f>
        <v/>
      </c>
      <c r="H32" s="1" t="str">
        <f ca="1">IF(EHD[[#This Row],[RAD/PACT]]="","",IF((EHD[[#This Row],[RAD/PACT]]-YEAR(TODAY()))&lt;=5,"Yes",""))</f>
        <v/>
      </c>
      <c r="I32" s="1">
        <v>2019</v>
      </c>
      <c r="J32" s="1">
        <v>2020</v>
      </c>
      <c r="K32" s="1" t="s">
        <v>377</v>
      </c>
      <c r="L32" s="63">
        <v>44243.94</v>
      </c>
      <c r="M32" s="63"/>
      <c r="N32" s="113">
        <f t="shared" si="0"/>
        <v>89227.290000000008</v>
      </c>
    </row>
    <row r="33" spans="1:14" x14ac:dyDescent="0.25">
      <c r="A33" s="83" t="s">
        <v>31</v>
      </c>
      <c r="B33" s="1" t="str">
        <f>VLOOKUP(A33,Data[],2,FALSE)</f>
        <v>BRONX</v>
      </c>
      <c r="C33" s="9" t="s">
        <v>27</v>
      </c>
      <c r="D33" s="9">
        <f>VLOOKUP(EHD[[#This Row],[DEVELOPMENT]],Data[],27,FALSE)</f>
        <v>12</v>
      </c>
      <c r="E33" s="1" t="str">
        <f>VLOOKUP(EHD[[#This Row],[DEVELOPMENT]],Data[],8,FALSE)</f>
        <v>Zone 1</v>
      </c>
      <c r="F33" s="1" t="str">
        <f>VLOOKUP(EHD[[#This Row],[DEVELOPMENT]],Data[],9,FALSE)</f>
        <v>$$</v>
      </c>
      <c r="G33" s="1" t="str">
        <f>IFERROR(VLOOKUP(EHD[[#This Row],[DEVELOPMENT]],Data[],4,FALSE),"")</f>
        <v/>
      </c>
      <c r="H33" s="1" t="str">
        <f ca="1">IF(EHD[[#This Row],[RAD/PACT]]="","",IF((EHD[[#This Row],[RAD/PACT]]-YEAR(TODAY()))&lt;=5,"Yes",""))</f>
        <v/>
      </c>
      <c r="I33" s="1">
        <v>2019</v>
      </c>
      <c r="J33" s="1">
        <v>2020</v>
      </c>
      <c r="K33" s="1" t="s">
        <v>377</v>
      </c>
      <c r="L33" s="63">
        <v>38658.230000000003</v>
      </c>
      <c r="M33" s="63"/>
      <c r="N33" s="113">
        <f t="shared" si="0"/>
        <v>127885.52000000002</v>
      </c>
    </row>
    <row r="34" spans="1:14" x14ac:dyDescent="0.25">
      <c r="A34" s="83" t="s">
        <v>36</v>
      </c>
      <c r="B34" s="1" t="str">
        <f>VLOOKUP(A34,Data[],2,FALSE)</f>
        <v>MANHATTAN</v>
      </c>
      <c r="C34" s="9" t="s">
        <v>27</v>
      </c>
      <c r="D34" s="9">
        <f>VLOOKUP(EHD[[#This Row],[DEVELOPMENT]],Data[],27,FALSE)</f>
        <v>9</v>
      </c>
      <c r="E34" s="1" t="str">
        <f>VLOOKUP(EHD[[#This Row],[DEVELOPMENT]],Data[],8,FALSE)</f>
        <v>Zone 1</v>
      </c>
      <c r="F34" s="1" t="str">
        <f>VLOOKUP(EHD[[#This Row],[DEVELOPMENT]],Data[],9,FALSE)</f>
        <v>$$</v>
      </c>
      <c r="G34" s="1" t="str">
        <f>IFERROR(VLOOKUP(EHD[[#This Row],[DEVELOPMENT]],Data[],4,FALSE),"")</f>
        <v/>
      </c>
      <c r="H34" s="1" t="str">
        <f ca="1">IF(EHD[[#This Row],[RAD/PACT]]="","",IF((EHD[[#This Row],[RAD/PACT]]-YEAR(TODAY()))&lt;=5,"Yes",""))</f>
        <v/>
      </c>
      <c r="I34" s="1">
        <v>2019</v>
      </c>
      <c r="J34" s="1">
        <v>2020</v>
      </c>
      <c r="K34" s="1" t="s">
        <v>377</v>
      </c>
      <c r="L34" s="63">
        <v>56519.89</v>
      </c>
      <c r="M34" s="63"/>
      <c r="N34" s="113">
        <f t="shared" si="0"/>
        <v>184405.41000000003</v>
      </c>
    </row>
    <row r="35" spans="1:14" x14ac:dyDescent="0.25">
      <c r="A35" s="83" t="s">
        <v>38</v>
      </c>
      <c r="B35" s="1" t="str">
        <f>VLOOKUP(A35,Data[],2,FALSE)</f>
        <v>BROOKLYN</v>
      </c>
      <c r="C35" s="9" t="s">
        <v>27</v>
      </c>
      <c r="D35" s="9">
        <f>VLOOKUP(EHD[[#This Row],[DEVELOPMENT]],Data[],27,FALSE)</f>
        <v>69</v>
      </c>
      <c r="E35" s="1" t="str">
        <f>VLOOKUP(EHD[[#This Row],[DEVELOPMENT]],Data[],8,FALSE)</f>
        <v>Zone 1</v>
      </c>
      <c r="F35" s="1" t="str">
        <f>VLOOKUP(EHD[[#This Row],[DEVELOPMENT]],Data[],9,FALSE)</f>
        <v>$$</v>
      </c>
      <c r="G35" s="1">
        <f>IFERROR(VLOOKUP(EHD[[#This Row],[DEVELOPMENT]],Data[],4,FALSE),"")</f>
        <v>2027</v>
      </c>
      <c r="H35" s="1" t="str">
        <f ca="1">IF(EHD[[#This Row],[RAD/PACT]]="","",IF((EHD[[#This Row],[RAD/PACT]]-YEAR(TODAY()))&lt;=5,"Yes",""))</f>
        <v/>
      </c>
      <c r="I35" s="1">
        <v>2019</v>
      </c>
      <c r="J35" s="1">
        <v>2020</v>
      </c>
      <c r="K35" s="1" t="s">
        <v>377</v>
      </c>
      <c r="L35" s="63">
        <f>214300.88+217140.31</f>
        <v>431441.19</v>
      </c>
      <c r="M35" s="63"/>
      <c r="N35" s="113">
        <f t="shared" si="0"/>
        <v>615846.60000000009</v>
      </c>
    </row>
    <row r="36" spans="1:14" x14ac:dyDescent="0.25">
      <c r="A36" s="83" t="s">
        <v>40</v>
      </c>
      <c r="B36" s="1" t="str">
        <f>VLOOKUP(A36,Data[],2,FALSE)</f>
        <v>BRONX</v>
      </c>
      <c r="C36" s="9" t="s">
        <v>27</v>
      </c>
      <c r="D36" s="9">
        <f>VLOOKUP(EHD[[#This Row],[DEVELOPMENT]],Data[],27,FALSE)</f>
        <v>10</v>
      </c>
      <c r="E36" s="1" t="str">
        <f>VLOOKUP(EHD[[#This Row],[DEVELOPMENT]],Data[],8,FALSE)</f>
        <v>Zone 1</v>
      </c>
      <c r="F36" s="1" t="str">
        <f>VLOOKUP(EHD[[#This Row],[DEVELOPMENT]],Data[],9,FALSE)</f>
        <v>$$</v>
      </c>
      <c r="G36" s="1" t="str">
        <f>IFERROR(VLOOKUP(EHD[[#This Row],[DEVELOPMENT]],Data[],4,FALSE),"")</f>
        <v/>
      </c>
      <c r="H36" s="1" t="str">
        <f ca="1">IF(EHD[[#This Row],[RAD/PACT]]="","",IF((EHD[[#This Row],[RAD/PACT]]-YEAR(TODAY()))&lt;=5,"Yes",""))</f>
        <v/>
      </c>
      <c r="I36" s="1">
        <v>2019</v>
      </c>
      <c r="J36" s="1">
        <v>2020</v>
      </c>
      <c r="K36" s="1" t="s">
        <v>377</v>
      </c>
      <c r="L36" s="63">
        <v>57268.37</v>
      </c>
      <c r="M36" s="63"/>
      <c r="N36" s="113">
        <f t="shared" si="0"/>
        <v>673114.97000000009</v>
      </c>
    </row>
    <row r="37" spans="1:14" x14ac:dyDescent="0.25">
      <c r="A37" s="83" t="s">
        <v>32</v>
      </c>
      <c r="B37" s="1" t="str">
        <f>VLOOKUP(A37,Data[],2,FALSE)</f>
        <v>BRONX</v>
      </c>
      <c r="C37" s="9" t="s">
        <v>27</v>
      </c>
      <c r="D37" s="9">
        <f>VLOOKUP(EHD[[#This Row],[DEVELOPMENT]],Data[],27,FALSE)</f>
        <v>4</v>
      </c>
      <c r="E37" s="1" t="str">
        <f>VLOOKUP(EHD[[#This Row],[DEVELOPMENT]],Data[],8,FALSE)</f>
        <v>Zone 1</v>
      </c>
      <c r="F37" s="1" t="str">
        <f>VLOOKUP(EHD[[#This Row],[DEVELOPMENT]],Data[],9,FALSE)</f>
        <v>$</v>
      </c>
      <c r="G37" s="1">
        <f>IFERROR(VLOOKUP(EHD[[#This Row],[DEVELOPMENT]],Data[],4,FALSE),"")</f>
        <v>2025</v>
      </c>
      <c r="H37" s="1" t="str">
        <f ca="1">IF(EHD[[#This Row],[RAD/PACT]]="","",IF((EHD[[#This Row],[RAD/PACT]]-YEAR(TODAY()))&lt;=5,"Yes",""))</f>
        <v/>
      </c>
      <c r="I37" s="1">
        <v>2019</v>
      </c>
      <c r="J37" s="1">
        <v>2020</v>
      </c>
      <c r="K37" s="1" t="s">
        <v>377</v>
      </c>
      <c r="L37" s="63">
        <v>51048.6</v>
      </c>
      <c r="M37" s="63"/>
      <c r="N37" s="113">
        <f t="shared" si="0"/>
        <v>724163.57000000007</v>
      </c>
    </row>
    <row r="38" spans="1:14" x14ac:dyDescent="0.25">
      <c r="A38" s="83" t="s">
        <v>34</v>
      </c>
      <c r="B38" s="1" t="str">
        <f>VLOOKUP(A38,Data[],2,FALSE)</f>
        <v>BRONX</v>
      </c>
      <c r="C38" s="9" t="s">
        <v>27</v>
      </c>
      <c r="D38" s="9">
        <f>VLOOKUP(EHD[[#This Row],[DEVELOPMENT]],Data[],27,FALSE)</f>
        <v>9</v>
      </c>
      <c r="E38" s="1" t="str">
        <f>VLOOKUP(EHD[[#This Row],[DEVELOPMENT]],Data[],8,FALSE)</f>
        <v>Zone 1</v>
      </c>
      <c r="F38" s="1" t="str">
        <f>VLOOKUP(EHD[[#This Row],[DEVELOPMENT]],Data[],9,FALSE)</f>
        <v>$</v>
      </c>
      <c r="G38" s="1">
        <f>IFERROR(VLOOKUP(EHD[[#This Row],[DEVELOPMENT]],Data[],4,FALSE),"")</f>
        <v>2025</v>
      </c>
      <c r="H38" s="1" t="str">
        <f ca="1">IF(EHD[[#This Row],[RAD/PACT]]="","",IF((EHD[[#This Row],[RAD/PACT]]-YEAR(TODAY()))&lt;=5,"Yes",""))</f>
        <v/>
      </c>
      <c r="I38" s="1">
        <v>2019</v>
      </c>
      <c r="J38" s="1">
        <v>2020</v>
      </c>
      <c r="K38" s="1" t="s">
        <v>377</v>
      </c>
      <c r="L38" s="63">
        <v>57268.37</v>
      </c>
      <c r="M38" s="63"/>
      <c r="N38" s="113">
        <f t="shared" si="0"/>
        <v>781431.94000000006</v>
      </c>
    </row>
    <row r="39" spans="1:14" x14ac:dyDescent="0.25">
      <c r="A39" s="83" t="s">
        <v>35</v>
      </c>
      <c r="B39" s="1" t="str">
        <f>VLOOKUP(A39,Data[],2,FALSE)</f>
        <v>BRONX</v>
      </c>
      <c r="C39" s="9" t="s">
        <v>27</v>
      </c>
      <c r="D39" s="9">
        <f>VLOOKUP(EHD[[#This Row],[DEVELOPMENT]],Data[],27,FALSE)</f>
        <v>7</v>
      </c>
      <c r="E39" s="1" t="str">
        <f>VLOOKUP(EHD[[#This Row],[DEVELOPMENT]],Data[],8,FALSE)</f>
        <v>Zone 1</v>
      </c>
      <c r="F39" s="1" t="str">
        <f>VLOOKUP(EHD[[#This Row],[DEVELOPMENT]],Data[],9,FALSE)</f>
        <v>$</v>
      </c>
      <c r="G39" s="1" t="str">
        <f>IFERROR(VLOOKUP(EHD[[#This Row],[DEVELOPMENT]],Data[],4,FALSE),"")</f>
        <v/>
      </c>
      <c r="H39" s="1" t="str">
        <f ca="1">IF(EHD[[#This Row],[RAD/PACT]]="","",IF((EHD[[#This Row],[RAD/PACT]]-YEAR(TODAY()))&lt;=5,"Yes",""))</f>
        <v/>
      </c>
      <c r="I39" s="1">
        <v>2019</v>
      </c>
      <c r="J39" s="1">
        <v>2020</v>
      </c>
      <c r="K39" s="1" t="s">
        <v>377</v>
      </c>
      <c r="L39" s="63">
        <v>44828.82</v>
      </c>
      <c r="M39" s="63"/>
      <c r="N39" s="113">
        <f t="shared" si="0"/>
        <v>826260.76</v>
      </c>
    </row>
    <row r="40" spans="1:14" x14ac:dyDescent="0.25">
      <c r="A40" s="83" t="s">
        <v>39</v>
      </c>
      <c r="B40" s="1" t="str">
        <f>VLOOKUP(A40,Data[],2,FALSE)</f>
        <v>BRONX</v>
      </c>
      <c r="C40" s="9" t="s">
        <v>27</v>
      </c>
      <c r="D40" s="9">
        <f>VLOOKUP(EHD[[#This Row],[DEVELOPMENT]],Data[],27,FALSE)</f>
        <v>8</v>
      </c>
      <c r="E40" s="1" t="str">
        <f>VLOOKUP(EHD[[#This Row],[DEVELOPMENT]],Data[],8,FALSE)</f>
        <v>Zone 1</v>
      </c>
      <c r="F40" s="1" t="str">
        <f>VLOOKUP(EHD[[#This Row],[DEVELOPMENT]],Data[],9,FALSE)</f>
        <v>$</v>
      </c>
      <c r="G40" s="1">
        <f>IFERROR(VLOOKUP(EHD[[#This Row],[DEVELOPMENT]],Data[],4,FALSE),"")</f>
        <v>2023</v>
      </c>
      <c r="H40" s="1" t="str">
        <f ca="1">IF(EHD[[#This Row],[RAD/PACT]]="","",IF((EHD[[#This Row],[RAD/PACT]]-YEAR(TODAY()))&lt;=5,"Yes",""))</f>
        <v>Yes</v>
      </c>
      <c r="I40" s="1">
        <v>2019</v>
      </c>
      <c r="J40" s="1">
        <v>2020</v>
      </c>
      <c r="K40" s="1" t="s">
        <v>377</v>
      </c>
      <c r="L40" s="63">
        <v>51048.6</v>
      </c>
      <c r="M40" s="63"/>
      <c r="N40" s="113">
        <f t="shared" si="0"/>
        <v>877309.36</v>
      </c>
    </row>
    <row r="41" spans="1:14" x14ac:dyDescent="0.25">
      <c r="A41" s="83" t="s">
        <v>41</v>
      </c>
      <c r="B41" s="1" t="str">
        <f>VLOOKUP(A41,Data[],2,FALSE)</f>
        <v>BRONX</v>
      </c>
      <c r="C41" s="9" t="s">
        <v>27</v>
      </c>
      <c r="D41" s="9">
        <f>VLOOKUP(EHD[[#This Row],[DEVELOPMENT]],Data[],27,FALSE)</f>
        <v>5</v>
      </c>
      <c r="E41" s="1" t="str">
        <f>VLOOKUP(EHD[[#This Row],[DEVELOPMENT]],Data[],8,FALSE)</f>
        <v>Zone 1</v>
      </c>
      <c r="F41" s="1" t="str">
        <f>VLOOKUP(EHD[[#This Row],[DEVELOPMENT]],Data[],9,FALSE)</f>
        <v>$</v>
      </c>
      <c r="G41" s="1" t="str">
        <f>IFERROR(VLOOKUP(EHD[[#This Row],[DEVELOPMENT]],Data[],4,FALSE),"")</f>
        <v/>
      </c>
      <c r="H41" s="1" t="str">
        <f ca="1">IF(EHD[[#This Row],[RAD/PACT]]="","",IF((EHD[[#This Row],[RAD/PACT]]-YEAR(TODAY()))&lt;=5,"Yes",""))</f>
        <v/>
      </c>
      <c r="I41" s="1">
        <v>2019</v>
      </c>
      <c r="J41" s="1">
        <v>2020</v>
      </c>
      <c r="K41" s="1" t="s">
        <v>377</v>
      </c>
      <c r="L41" s="63">
        <v>32430.28</v>
      </c>
      <c r="M41" s="63"/>
      <c r="N41" s="113">
        <f t="shared" si="0"/>
        <v>909739.64</v>
      </c>
    </row>
    <row r="42" spans="1:14" x14ac:dyDescent="0.25">
      <c r="A42" s="83" t="s">
        <v>42</v>
      </c>
      <c r="B42" s="1" t="str">
        <f>VLOOKUP(A42,Data[],2,FALSE)</f>
        <v>BROOKLYN</v>
      </c>
      <c r="C42" s="9" t="s">
        <v>27</v>
      </c>
      <c r="D42" s="9">
        <f>VLOOKUP(EHD[[#This Row],[DEVELOPMENT]],Data[],27,FALSE)</f>
        <v>6</v>
      </c>
      <c r="E42" s="1" t="str">
        <f>VLOOKUP(EHD[[#This Row],[DEVELOPMENT]],Data[],8,FALSE)</f>
        <v>Zone 1</v>
      </c>
      <c r="F42" s="1" t="str">
        <f>VLOOKUP(EHD[[#This Row],[DEVELOPMENT]],Data[],9,FALSE)</f>
        <v>$</v>
      </c>
      <c r="G42" s="1" t="str">
        <f>IFERROR(VLOOKUP(EHD[[#This Row],[DEVELOPMENT]],Data[],4,FALSE),"")</f>
        <v/>
      </c>
      <c r="H42" s="1" t="str">
        <f ca="1">IF(EHD[[#This Row],[RAD/PACT]]="","",IF((EHD[[#This Row],[RAD/PACT]]-YEAR(TODAY()))&lt;=5,"Yes",""))</f>
        <v/>
      </c>
      <c r="I42" s="1">
        <v>2019</v>
      </c>
      <c r="J42" s="1">
        <v>2020</v>
      </c>
      <c r="K42" s="1" t="s">
        <v>377</v>
      </c>
      <c r="L42" s="63">
        <v>38790.68</v>
      </c>
      <c r="M42" s="63"/>
      <c r="N42" s="113">
        <f t="shared" si="0"/>
        <v>948530.32000000007</v>
      </c>
    </row>
    <row r="43" spans="1:14" x14ac:dyDescent="0.25">
      <c r="A43" s="83" t="s">
        <v>43</v>
      </c>
      <c r="B43" s="1" t="str">
        <f>VLOOKUP(A43,Data[],2,FALSE)</f>
        <v>MANHATTAN</v>
      </c>
      <c r="C43" s="9" t="s">
        <v>27</v>
      </c>
      <c r="D43" s="9">
        <f>VLOOKUP(EHD[[#This Row],[DEVELOPMENT]],Data[],27,FALSE)</f>
        <v>5</v>
      </c>
      <c r="E43" s="1" t="str">
        <f>VLOOKUP(EHD[[#This Row],[DEVELOPMENT]],Data[],8,FALSE)</f>
        <v>Zone 1</v>
      </c>
      <c r="F43" s="1" t="str">
        <f>VLOOKUP(EHD[[#This Row],[DEVELOPMENT]],Data[],9,FALSE)</f>
        <v>$</v>
      </c>
      <c r="G43" s="1" t="str">
        <f>IFERROR(VLOOKUP(EHD[[#This Row],[DEVELOPMENT]],Data[],4,FALSE),"")</f>
        <v/>
      </c>
      <c r="H43" s="1" t="str">
        <f ca="1">IF(EHD[[#This Row],[RAD/PACT]]="","",IF((EHD[[#This Row],[RAD/PACT]]-YEAR(TODAY()))&lt;=5,"Yes",""))</f>
        <v/>
      </c>
      <c r="I43" s="1">
        <v>2019</v>
      </c>
      <c r="J43" s="1">
        <v>2020</v>
      </c>
      <c r="K43" s="1" t="s">
        <v>377</v>
      </c>
      <c r="L43" s="63">
        <v>32007.26</v>
      </c>
      <c r="M43" s="63"/>
      <c r="N43" s="113">
        <f t="shared" si="0"/>
        <v>980537.58000000007</v>
      </c>
    </row>
    <row r="44" spans="1:14" x14ac:dyDescent="0.25">
      <c r="A44" s="83" t="s">
        <v>44</v>
      </c>
      <c r="B44" s="1" t="str">
        <f>VLOOKUP(A44,Data[],2,FALSE)</f>
        <v>MANHATTAN</v>
      </c>
      <c r="C44" s="9" t="s">
        <v>27</v>
      </c>
      <c r="D44" s="9">
        <f>VLOOKUP(EHD[[#This Row],[DEVELOPMENT]],Data[],27,FALSE)</f>
        <v>13</v>
      </c>
      <c r="E44" s="1" t="str">
        <f>VLOOKUP(EHD[[#This Row],[DEVELOPMENT]],Data[],8,FALSE)</f>
        <v>Zone 1</v>
      </c>
      <c r="F44" s="1" t="str">
        <f>VLOOKUP(EHD[[#This Row],[DEVELOPMENT]],Data[],9,FALSE)</f>
        <v>$</v>
      </c>
      <c r="G44" s="1" t="str">
        <f>IFERROR(VLOOKUP(EHD[[#This Row],[DEVELOPMENT]],Data[],4,FALSE),"")</f>
        <v/>
      </c>
      <c r="H44" s="1" t="str">
        <f ca="1">IF(EHD[[#This Row],[RAD/PACT]]="","",IF((EHD[[#This Row],[RAD/PACT]]-YEAR(TODAY()))&lt;=5,"Yes",""))</f>
        <v/>
      </c>
      <c r="I44" s="1">
        <v>2019</v>
      </c>
      <c r="J44" s="1">
        <v>2020</v>
      </c>
      <c r="K44" s="1" t="s">
        <v>377</v>
      </c>
      <c r="L44" s="63">
        <v>74933.740000000005</v>
      </c>
      <c r="M44" s="63"/>
      <c r="N44" s="113">
        <f t="shared" si="0"/>
        <v>1055471.32</v>
      </c>
    </row>
    <row r="45" spans="1:14" x14ac:dyDescent="0.25">
      <c r="A45" s="83" t="s">
        <v>45</v>
      </c>
      <c r="B45" s="1" t="str">
        <f>VLOOKUP(A45,Data[],2,FALSE)</f>
        <v>BROOKLYN</v>
      </c>
      <c r="C45" s="9" t="s">
        <v>27</v>
      </c>
      <c r="D45" s="9">
        <f>VLOOKUP(EHD[[#This Row],[DEVELOPMENT]],Data[],27,FALSE)</f>
        <v>24</v>
      </c>
      <c r="E45" s="1" t="str">
        <f>VLOOKUP(EHD[[#This Row],[DEVELOPMENT]],Data[],8,FALSE)</f>
        <v>Zone 1</v>
      </c>
      <c r="F45" s="1" t="str">
        <f>VLOOKUP(EHD[[#This Row],[DEVELOPMENT]],Data[],9,FALSE)</f>
        <v>$</v>
      </c>
      <c r="G45" s="1" t="str">
        <f>IFERROR(VLOOKUP(EHD[[#This Row],[DEVELOPMENT]],Data[],4,FALSE),"")</f>
        <v/>
      </c>
      <c r="H45" s="1" t="str">
        <f ca="1">IF(EHD[[#This Row],[RAD/PACT]]="","",IF((EHD[[#This Row],[RAD/PACT]]-YEAR(TODAY()))&lt;=5,"Yes",""))</f>
        <v/>
      </c>
      <c r="I45" s="1">
        <v>2019</v>
      </c>
      <c r="J45" s="1">
        <v>2020</v>
      </c>
      <c r="K45" s="1" t="s">
        <v>377</v>
      </c>
      <c r="L45" s="63">
        <v>148620.14000000001</v>
      </c>
      <c r="M45" s="63"/>
      <c r="N45" s="113">
        <f t="shared" si="0"/>
        <v>1204091.46</v>
      </c>
    </row>
    <row r="46" spans="1:14" x14ac:dyDescent="0.25">
      <c r="A46" s="83" t="s">
        <v>46</v>
      </c>
      <c r="B46" s="1" t="str">
        <f>VLOOKUP(A46,Data[],2,FALSE)</f>
        <v>BROOKLYN</v>
      </c>
      <c r="C46" s="9" t="s">
        <v>27</v>
      </c>
      <c r="D46" s="9">
        <f>VLOOKUP(EHD[[#This Row],[DEVELOPMENT]],Data[],27,FALSE)</f>
        <v>12</v>
      </c>
      <c r="E46" s="1" t="str">
        <f>VLOOKUP(EHD[[#This Row],[DEVELOPMENT]],Data[],8,FALSE)</f>
        <v>Zone 1</v>
      </c>
      <c r="F46" s="1" t="str">
        <f>VLOOKUP(EHD[[#This Row],[DEVELOPMENT]],Data[],9,FALSE)</f>
        <v>$</v>
      </c>
      <c r="G46" s="1" t="str">
        <f>IFERROR(VLOOKUP(EHD[[#This Row],[DEVELOPMENT]],Data[],4,FALSE),"")</f>
        <v/>
      </c>
      <c r="H46" s="1" t="str">
        <f ca="1">IF(EHD[[#This Row],[RAD/PACT]]="","",IF((EHD[[#This Row],[RAD/PACT]]-YEAR(TODAY()))&lt;=5,"Yes",""))</f>
        <v/>
      </c>
      <c r="I46" s="1">
        <v>2019</v>
      </c>
      <c r="J46" s="1">
        <v>2020</v>
      </c>
      <c r="K46" s="1" t="s">
        <v>377</v>
      </c>
      <c r="L46" s="63">
        <v>74933.740000000005</v>
      </c>
      <c r="M46" s="63"/>
      <c r="N46" s="113">
        <f t="shared" si="0"/>
        <v>1279025.2</v>
      </c>
    </row>
    <row r="47" spans="1:14" x14ac:dyDescent="0.25">
      <c r="A47" s="122" t="s">
        <v>47</v>
      </c>
      <c r="B47" s="51" t="str">
        <f>VLOOKUP(A47,Data[],2,FALSE)</f>
        <v>BRONX</v>
      </c>
      <c r="C47" s="39" t="s">
        <v>27</v>
      </c>
      <c r="D47" s="39">
        <f>VLOOKUP(EHD[[#This Row],[DEVELOPMENT]],Data[],27,FALSE)</f>
        <v>5</v>
      </c>
      <c r="E47" s="51" t="str">
        <f>VLOOKUP(EHD[[#This Row],[DEVELOPMENT]],Data[],8,FALSE)</f>
        <v>Zone 1</v>
      </c>
      <c r="F47" s="51" t="str">
        <f>VLOOKUP(EHD[[#This Row],[DEVELOPMENT]],Data[],9,FALSE)</f>
        <v>$</v>
      </c>
      <c r="G47" s="51" t="str">
        <f>IFERROR(VLOOKUP(EHD[[#This Row],[DEVELOPMENT]],Data[],4,FALSE),"")</f>
        <v/>
      </c>
      <c r="H47" s="51" t="str">
        <f ca="1">IF(EHD[[#This Row],[RAD/PACT]]="","",IF((EHD[[#This Row],[RAD/PACT]]-YEAR(TODAY()))&lt;=5,"Yes",""))</f>
        <v/>
      </c>
      <c r="I47" s="51">
        <v>2019</v>
      </c>
      <c r="J47" s="51">
        <v>2020</v>
      </c>
      <c r="K47" s="51" t="s">
        <v>377</v>
      </c>
      <c r="L47" s="58">
        <v>32309.48</v>
      </c>
      <c r="M47" s="69"/>
      <c r="N47" s="114">
        <f t="shared" si="0"/>
        <v>1311334.68</v>
      </c>
    </row>
    <row r="48" spans="1:14" x14ac:dyDescent="0.25">
      <c r="A48" s="106" t="s">
        <v>147</v>
      </c>
      <c r="B48" s="1" t="str">
        <f>VLOOKUP(A48,Data[],2,FALSE)</f>
        <v>BRONX</v>
      </c>
      <c r="C48" s="9" t="s">
        <v>27</v>
      </c>
      <c r="D48" s="9">
        <f>VLOOKUP(EHD[[#This Row],[DEVELOPMENT]],Data[],27,FALSE)</f>
        <v>2</v>
      </c>
      <c r="E48" s="1" t="str">
        <f>VLOOKUP(EHD[[#This Row],[DEVELOPMENT]],Data[],8,FALSE)</f>
        <v>Zone 1</v>
      </c>
      <c r="F48" s="1" t="str">
        <f>VLOOKUP(EHD[[#This Row],[DEVELOPMENT]],Data[],9,FALSE)</f>
        <v>$$$$</v>
      </c>
      <c r="G48" s="1" t="str">
        <f>IFERROR(VLOOKUP(EHD[[#This Row],[DEVELOPMENT]],Data[],4,FALSE),"")</f>
        <v/>
      </c>
      <c r="H48" s="1" t="str">
        <f ca="1">IF(EHD[[#This Row],[RAD/PACT]]="","",IF((EHD[[#This Row],[RAD/PACT]]-YEAR(TODAY()))&lt;=5,"Yes",""))</f>
        <v/>
      </c>
      <c r="I48" s="1"/>
      <c r="J48" s="1"/>
      <c r="K48" s="1"/>
      <c r="L48" s="1"/>
      <c r="M48" s="63">
        <f>IF(EHD[[#This Row],[RAD/PACT]]&lt;=2020,0,INDEX(UnitCosts[],MATCH(EHD[[#This Row],[WORK TYPE]],UnitCosts[Work Type],0),2)*EHD[[#This Row],['# Hopper Doors]])</f>
        <v>14871.287</v>
      </c>
      <c r="N48" s="63">
        <f t="shared" si="0"/>
        <v>14871.287</v>
      </c>
    </row>
    <row r="49" spans="1:14" x14ac:dyDescent="0.25">
      <c r="A49" s="1" t="s">
        <v>129</v>
      </c>
      <c r="B49" s="1" t="str">
        <f>VLOOKUP(A49,Data[],2,FALSE)</f>
        <v>MANHATTAN</v>
      </c>
      <c r="C49" s="9" t="s">
        <v>27</v>
      </c>
      <c r="D49" s="9">
        <f>VLOOKUP(EHD[[#This Row],[DEVELOPMENT]],Data[],27,FALSE)</f>
        <v>6</v>
      </c>
      <c r="E49" s="1" t="str">
        <f>VLOOKUP(EHD[[#This Row],[DEVELOPMENT]],Data[],8,FALSE)</f>
        <v>Zone 2</v>
      </c>
      <c r="F49" s="1" t="str">
        <f>VLOOKUP(EHD[[#This Row],[DEVELOPMENT]],Data[],9,FALSE)</f>
        <v>$$$$</v>
      </c>
      <c r="G49" s="1" t="str">
        <f>IFERROR(VLOOKUP(EHD[[#This Row],[DEVELOPMENT]],Data[],4,FALSE),"")</f>
        <v/>
      </c>
      <c r="H49" s="1" t="str">
        <f ca="1">IF(EHD[[#This Row],[RAD/PACT]]="","",IF((EHD[[#This Row],[RAD/PACT]]-YEAR(TODAY()))&lt;=5,"Yes",""))</f>
        <v/>
      </c>
      <c r="I49" s="1"/>
      <c r="J49" s="1"/>
      <c r="K49" s="1"/>
      <c r="L49" s="1"/>
      <c r="M49" s="63">
        <f>IF(EHD[[#This Row],[RAD/PACT]]&lt;=2020,0,INDEX(UnitCosts[],MATCH(EHD[[#This Row],[WORK TYPE]],UnitCosts[Work Type],0),2)*EHD[[#This Row],['# Hopper Doors]])</f>
        <v>44613.861000000004</v>
      </c>
      <c r="N49" s="63">
        <f t="shared" si="0"/>
        <v>59485.148000000001</v>
      </c>
    </row>
    <row r="50" spans="1:14" x14ac:dyDescent="0.25">
      <c r="A50" s="1" t="s">
        <v>81</v>
      </c>
      <c r="B50" s="1" t="str">
        <f>VLOOKUP(A50,Data[],2,FALSE)</f>
        <v>MANHATTAN</v>
      </c>
      <c r="C50" s="9" t="s">
        <v>27</v>
      </c>
      <c r="D50" s="9">
        <f>VLOOKUP(EHD[[#This Row],[DEVELOPMENT]],Data[],27,FALSE)</f>
        <v>16</v>
      </c>
      <c r="E50" s="1" t="str">
        <f>VLOOKUP(EHD[[#This Row],[DEVELOPMENT]],Data[],8,FALSE)</f>
        <v>Zone 2</v>
      </c>
      <c r="F50" s="1" t="str">
        <f>VLOOKUP(EHD[[#This Row],[DEVELOPMENT]],Data[],9,FALSE)</f>
        <v>$$$$</v>
      </c>
      <c r="G50" s="1" t="str">
        <f>IFERROR(VLOOKUP(EHD[[#This Row],[DEVELOPMENT]],Data[],4,FALSE),"")</f>
        <v/>
      </c>
      <c r="H50" s="1" t="str">
        <f ca="1">IF(EHD[[#This Row],[RAD/PACT]]="","",IF((EHD[[#This Row],[RAD/PACT]]-YEAR(TODAY()))&lt;=5,"Yes",""))</f>
        <v/>
      </c>
      <c r="I50" s="1"/>
      <c r="J50" s="1"/>
      <c r="K50" s="1"/>
      <c r="L50" s="1"/>
      <c r="M50" s="63">
        <f>IF(EHD[[#This Row],[RAD/PACT]]&lt;=2020,0,INDEX(UnitCosts[],MATCH(EHD[[#This Row],[WORK TYPE]],UnitCosts[Work Type],0),2)*EHD[[#This Row],['# Hopper Doors]])</f>
        <v>118970.296</v>
      </c>
      <c r="N50" s="63">
        <f t="shared" si="0"/>
        <v>178455.44400000002</v>
      </c>
    </row>
    <row r="51" spans="1:14" x14ac:dyDescent="0.25">
      <c r="A51" s="1" t="s">
        <v>113</v>
      </c>
      <c r="B51" s="1" t="str">
        <f>VLOOKUP(A51,Data[],2,FALSE)</f>
        <v>MANHATTAN</v>
      </c>
      <c r="C51" s="9" t="s">
        <v>27</v>
      </c>
      <c r="D51" s="9">
        <f>VLOOKUP(EHD[[#This Row],[DEVELOPMENT]],Data[],27,FALSE)</f>
        <v>20</v>
      </c>
      <c r="E51" s="1" t="str">
        <f>VLOOKUP(EHD[[#This Row],[DEVELOPMENT]],Data[],8,FALSE)</f>
        <v>Zone 2</v>
      </c>
      <c r="F51" s="1" t="str">
        <f>VLOOKUP(EHD[[#This Row],[DEVELOPMENT]],Data[],9,FALSE)</f>
        <v>$$$$</v>
      </c>
      <c r="G51" s="1" t="str">
        <f>IFERROR(VLOOKUP(EHD[[#This Row],[DEVELOPMENT]],Data[],4,FALSE),"")</f>
        <v/>
      </c>
      <c r="H51" s="1" t="str">
        <f ca="1">IF(EHD[[#This Row],[RAD/PACT]]="","",IF((EHD[[#This Row],[RAD/PACT]]-YEAR(TODAY()))&lt;=5,"Yes",""))</f>
        <v/>
      </c>
      <c r="I51" s="1"/>
      <c r="J51" s="1"/>
      <c r="K51" s="1"/>
      <c r="L51" s="1"/>
      <c r="M51" s="63">
        <f>IF(EHD[[#This Row],[RAD/PACT]]&lt;=2020,0,INDEX(UnitCosts[],MATCH(EHD[[#This Row],[WORK TYPE]],UnitCosts[Work Type],0),2)*EHD[[#This Row],['# Hopper Doors]])</f>
        <v>148712.87</v>
      </c>
      <c r="N51" s="63">
        <f t="shared" si="0"/>
        <v>327168.31400000001</v>
      </c>
    </row>
    <row r="52" spans="1:14" x14ac:dyDescent="0.25">
      <c r="A52" s="1" t="s">
        <v>92</v>
      </c>
      <c r="B52" s="1" t="str">
        <f>VLOOKUP(A52,Data[],2,FALSE)</f>
        <v>MANHATTAN</v>
      </c>
      <c r="C52" s="9" t="s">
        <v>27</v>
      </c>
      <c r="D52" s="9">
        <f>VLOOKUP(EHD[[#This Row],[DEVELOPMENT]],Data[],27,FALSE)</f>
        <v>1</v>
      </c>
      <c r="E52" s="1" t="str">
        <f>VLOOKUP(EHD[[#This Row],[DEVELOPMENT]],Data[],8,FALSE)</f>
        <v>Zone 2</v>
      </c>
      <c r="F52" s="1" t="str">
        <f>VLOOKUP(EHD[[#This Row],[DEVELOPMENT]],Data[],9,FALSE)</f>
        <v>$$$$</v>
      </c>
      <c r="G52" s="1" t="str">
        <f>IFERROR(VLOOKUP(EHD[[#This Row],[DEVELOPMENT]],Data[],4,FALSE),"")</f>
        <v/>
      </c>
      <c r="H52" s="1" t="str">
        <f ca="1">IF(EHD[[#This Row],[RAD/PACT]]="","",IF((EHD[[#This Row],[RAD/PACT]]-YEAR(TODAY()))&lt;=5,"Yes",""))</f>
        <v/>
      </c>
      <c r="I52" s="1"/>
      <c r="J52" s="1"/>
      <c r="K52" s="1"/>
      <c r="L52" s="1"/>
      <c r="M52" s="63">
        <f>IF(EHD[[#This Row],[RAD/PACT]]&lt;=2020,0,INDEX(UnitCosts[],MATCH(EHD[[#This Row],[WORK TYPE]],UnitCosts[Work Type],0),2)*EHD[[#This Row],['# Hopper Doors]])</f>
        <v>7435.6435000000001</v>
      </c>
      <c r="N52" s="63">
        <f t="shared" si="0"/>
        <v>334603.95750000002</v>
      </c>
    </row>
    <row r="53" spans="1:14" x14ac:dyDescent="0.25">
      <c r="A53" s="1" t="s">
        <v>70</v>
      </c>
      <c r="B53" s="1" t="str">
        <f>VLOOKUP(A53,Data[],2,FALSE)</f>
        <v>MANHATTAN</v>
      </c>
      <c r="C53" s="9" t="s">
        <v>27</v>
      </c>
      <c r="D53" s="9">
        <f>VLOOKUP(EHD[[#This Row],[DEVELOPMENT]],Data[],27,FALSE)</f>
        <v>2</v>
      </c>
      <c r="E53" s="1" t="str">
        <f>VLOOKUP(EHD[[#This Row],[DEVELOPMENT]],Data[],8,FALSE)</f>
        <v>Zone 3</v>
      </c>
      <c r="F53" s="1" t="str">
        <f>VLOOKUP(EHD[[#This Row],[DEVELOPMENT]],Data[],9,FALSE)</f>
        <v>$$$$</v>
      </c>
      <c r="G53" s="1">
        <f>IFERROR(VLOOKUP(EHD[[#This Row],[DEVELOPMENT]],Data[],4,FALSE),"")</f>
        <v>2020</v>
      </c>
      <c r="H53" s="1" t="str">
        <f ca="1">IF(EHD[[#This Row],[RAD/PACT]]="","",IF((EHD[[#This Row],[RAD/PACT]]-YEAR(TODAY()))&lt;=5,"Yes",""))</f>
        <v>Yes</v>
      </c>
      <c r="I53" s="1"/>
      <c r="J53" s="1"/>
      <c r="K53" s="1"/>
      <c r="L53" s="1"/>
      <c r="M53" s="63">
        <f>IF(EHD[[#This Row],[RAD/PACT]]&lt;=2020,0,INDEX(UnitCosts[],MATCH(EHD[[#This Row],[WORK TYPE]],UnitCosts[Work Type],0),2)*EHD[[#This Row],['# Hopper Doors]])</f>
        <v>0</v>
      </c>
      <c r="N53" s="63">
        <f t="shared" si="0"/>
        <v>334603.95750000002</v>
      </c>
    </row>
    <row r="54" spans="1:14" x14ac:dyDescent="0.25">
      <c r="A54" s="1" t="s">
        <v>119</v>
      </c>
      <c r="B54" s="1" t="str">
        <f>VLOOKUP(A54,Data[],2,FALSE)</f>
        <v>BROOKLYN</v>
      </c>
      <c r="C54" s="9" t="s">
        <v>27</v>
      </c>
      <c r="D54" s="9">
        <f>VLOOKUP(EHD[[#This Row],[DEVELOPMENT]],Data[],27,FALSE)</f>
        <v>8</v>
      </c>
      <c r="E54" s="1" t="str">
        <f>VLOOKUP(EHD[[#This Row],[DEVELOPMENT]],Data[],8,FALSE)</f>
        <v>Zone 3</v>
      </c>
      <c r="F54" s="1" t="str">
        <f>VLOOKUP(EHD[[#This Row],[DEVELOPMENT]],Data[],9,FALSE)</f>
        <v>$$$$</v>
      </c>
      <c r="G54" s="1" t="str">
        <f>IFERROR(VLOOKUP(EHD[[#This Row],[DEVELOPMENT]],Data[],4,FALSE),"")</f>
        <v/>
      </c>
      <c r="H54" s="1" t="str">
        <f ca="1">IF(EHD[[#This Row],[RAD/PACT]]="","",IF((EHD[[#This Row],[RAD/PACT]]-YEAR(TODAY()))&lt;=5,"Yes",""))</f>
        <v/>
      </c>
      <c r="I54" s="1"/>
      <c r="J54" s="1"/>
      <c r="K54" s="1"/>
      <c r="L54" s="1"/>
      <c r="M54" s="63">
        <f>IF(EHD[[#This Row],[RAD/PACT]]&lt;=2020,0,INDEX(UnitCosts[],MATCH(EHD[[#This Row],[WORK TYPE]],UnitCosts[Work Type],0),2)*EHD[[#This Row],['# Hopper Doors]])</f>
        <v>59485.148000000001</v>
      </c>
      <c r="N54" s="63">
        <f t="shared" si="0"/>
        <v>394089.10550000001</v>
      </c>
    </row>
    <row r="55" spans="1:14" x14ac:dyDescent="0.25">
      <c r="A55" s="106" t="s">
        <v>140</v>
      </c>
      <c r="B55" s="1" t="str">
        <f>VLOOKUP(A55,Data[],2,FALSE)</f>
        <v>BRONX</v>
      </c>
      <c r="C55" s="9" t="s">
        <v>27</v>
      </c>
      <c r="D55" s="9">
        <f>VLOOKUP(EHD[[#This Row],[DEVELOPMENT]],Data[],27,FALSE)</f>
        <v>7</v>
      </c>
      <c r="E55" s="1" t="str">
        <f>VLOOKUP(EHD[[#This Row],[DEVELOPMENT]],Data[],8,FALSE)</f>
        <v>Zone 1</v>
      </c>
      <c r="F55" s="1" t="str">
        <f>VLOOKUP(EHD[[#This Row],[DEVELOPMENT]],Data[],9,FALSE)</f>
        <v>$$$</v>
      </c>
      <c r="G55" s="1" t="str">
        <f>IFERROR(VLOOKUP(EHD[[#This Row],[DEVELOPMENT]],Data[],4,FALSE),"")</f>
        <v/>
      </c>
      <c r="H55" s="1" t="str">
        <f ca="1">IF(EHD[[#This Row],[RAD/PACT]]="","",IF((EHD[[#This Row],[RAD/PACT]]-YEAR(TODAY()))&lt;=5,"Yes",""))</f>
        <v/>
      </c>
      <c r="I55" s="1"/>
      <c r="J55" s="1"/>
      <c r="K55" s="1"/>
      <c r="L55" s="1"/>
      <c r="M55" s="63">
        <f>IF(EHD[[#This Row],[RAD/PACT]]&lt;=2020,0,INDEX(UnitCosts[],MATCH(EHD[[#This Row],[WORK TYPE]],UnitCosts[Work Type],0),2)*EHD[[#This Row],['# Hopper Doors]])</f>
        <v>52049.504500000003</v>
      </c>
      <c r="N55" s="63">
        <f t="shared" si="0"/>
        <v>446138.61</v>
      </c>
    </row>
    <row r="56" spans="1:14" x14ac:dyDescent="0.25">
      <c r="A56" s="1" t="s">
        <v>83</v>
      </c>
      <c r="B56" s="1" t="str">
        <f>VLOOKUP(A56,Data[],2,FALSE)</f>
        <v>MANHATTAN</v>
      </c>
      <c r="C56" s="9" t="s">
        <v>27</v>
      </c>
      <c r="D56" s="9">
        <f>VLOOKUP(EHD[[#This Row],[DEVELOPMENT]],Data[],27,FALSE)</f>
        <v>17</v>
      </c>
      <c r="E56" s="1" t="str">
        <f>VLOOKUP(EHD[[#This Row],[DEVELOPMENT]],Data[],8,FALSE)</f>
        <v>Zone 2</v>
      </c>
      <c r="F56" s="1" t="str">
        <f>VLOOKUP(EHD[[#This Row],[DEVELOPMENT]],Data[],9,FALSE)</f>
        <v>$$$</v>
      </c>
      <c r="G56" s="1">
        <f>IFERROR(VLOOKUP(EHD[[#This Row],[DEVELOPMENT]],Data[],4,FALSE),"")</f>
        <v>2028</v>
      </c>
      <c r="H56" s="1" t="str">
        <f ca="1">IF(EHD[[#This Row],[RAD/PACT]]="","",IF((EHD[[#This Row],[RAD/PACT]]-YEAR(TODAY()))&lt;=5,"Yes",""))</f>
        <v/>
      </c>
      <c r="I56" s="1"/>
      <c r="J56" s="1"/>
      <c r="K56" s="1"/>
      <c r="L56" s="1"/>
      <c r="M56" s="63">
        <f>IF(EHD[[#This Row],[RAD/PACT]]&lt;=2020,0,INDEX(UnitCosts[],MATCH(EHD[[#This Row],[WORK TYPE]],UnitCosts[Work Type],0),2)*EHD[[#This Row],['# Hopper Doors]])</f>
        <v>126405.93950000001</v>
      </c>
      <c r="N56" s="63">
        <f t="shared" si="0"/>
        <v>572544.54949999996</v>
      </c>
    </row>
    <row r="57" spans="1:14" x14ac:dyDescent="0.25">
      <c r="A57" s="1" t="s">
        <v>131</v>
      </c>
      <c r="B57" s="1" t="str">
        <f>VLOOKUP(A57,Data[],2,FALSE)</f>
        <v>MANHATTAN</v>
      </c>
      <c r="C57" s="9" t="s">
        <v>27</v>
      </c>
      <c r="D57" s="9">
        <f>VLOOKUP(EHD[[#This Row],[DEVELOPMENT]],Data[],27,FALSE)</f>
        <v>10</v>
      </c>
      <c r="E57" s="1" t="str">
        <f>VLOOKUP(EHD[[#This Row],[DEVELOPMENT]],Data[],8,FALSE)</f>
        <v>Zone 2</v>
      </c>
      <c r="F57" s="1" t="str">
        <f>VLOOKUP(EHD[[#This Row],[DEVELOPMENT]],Data[],9,FALSE)</f>
        <v>$$$</v>
      </c>
      <c r="G57" s="1" t="str">
        <f>IFERROR(VLOOKUP(EHD[[#This Row],[DEVELOPMENT]],Data[],4,FALSE),"")</f>
        <v/>
      </c>
      <c r="H57" s="1" t="str">
        <f ca="1">IF(EHD[[#This Row],[RAD/PACT]]="","",IF((EHD[[#This Row],[RAD/PACT]]-YEAR(TODAY()))&lt;=5,"Yes",""))</f>
        <v/>
      </c>
      <c r="I57" s="1"/>
      <c r="J57" s="1"/>
      <c r="K57" s="1"/>
      <c r="L57" s="1"/>
      <c r="M57" s="63">
        <f>IF(EHD[[#This Row],[RAD/PACT]]&lt;=2020,0,INDEX(UnitCosts[],MATCH(EHD[[#This Row],[WORK TYPE]],UnitCosts[Work Type],0),2)*EHD[[#This Row],['# Hopper Doors]])</f>
        <v>74356.434999999998</v>
      </c>
      <c r="N57" s="63">
        <f t="shared" si="0"/>
        <v>646900.98450000002</v>
      </c>
    </row>
    <row r="58" spans="1:14" x14ac:dyDescent="0.25">
      <c r="A58" s="1" t="s">
        <v>128</v>
      </c>
      <c r="B58" s="1" t="str">
        <f>VLOOKUP(A58,Data[],2,FALSE)</f>
        <v>MANHATTAN</v>
      </c>
      <c r="C58" s="9" t="s">
        <v>27</v>
      </c>
      <c r="D58" s="9">
        <f>VLOOKUP(EHD[[#This Row],[DEVELOPMENT]],Data[],27,FALSE)</f>
        <v>11</v>
      </c>
      <c r="E58" s="1" t="str">
        <f>VLOOKUP(EHD[[#This Row],[DEVELOPMENT]],Data[],8,FALSE)</f>
        <v>Zone 2</v>
      </c>
      <c r="F58" s="1" t="str">
        <f>VLOOKUP(EHD[[#This Row],[DEVELOPMENT]],Data[],9,FALSE)</f>
        <v>$$$</v>
      </c>
      <c r="G58" s="1" t="str">
        <f>IFERROR(VLOOKUP(EHD[[#This Row],[DEVELOPMENT]],Data[],4,FALSE),"")</f>
        <v/>
      </c>
      <c r="H58" s="1" t="str">
        <f ca="1">IF(EHD[[#This Row],[RAD/PACT]]="","",IF((EHD[[#This Row],[RAD/PACT]]-YEAR(TODAY()))&lt;=5,"Yes",""))</f>
        <v/>
      </c>
      <c r="I58" s="1"/>
      <c r="J58" s="1"/>
      <c r="K58" s="1"/>
      <c r="L58" s="1"/>
      <c r="M58" s="63">
        <f>IF(EHD[[#This Row],[RAD/PACT]]&lt;=2020,0,INDEX(UnitCosts[],MATCH(EHD[[#This Row],[WORK TYPE]],UnitCosts[Work Type],0),2)*EHD[[#This Row],['# Hopper Doors]])</f>
        <v>81792.078500000003</v>
      </c>
      <c r="N58" s="63">
        <f t="shared" si="0"/>
        <v>728693.06300000008</v>
      </c>
    </row>
    <row r="59" spans="1:14" x14ac:dyDescent="0.25">
      <c r="A59" s="1" t="s">
        <v>137</v>
      </c>
      <c r="B59" s="1" t="str">
        <f>VLOOKUP(A59,Data[],2,FALSE)</f>
        <v>MANHATTAN</v>
      </c>
      <c r="C59" s="9" t="s">
        <v>27</v>
      </c>
      <c r="D59" s="9">
        <f>VLOOKUP(EHD[[#This Row],[DEVELOPMENT]],Data[],27,FALSE)</f>
        <v>14</v>
      </c>
      <c r="E59" s="1" t="str">
        <f>VLOOKUP(EHD[[#This Row],[DEVELOPMENT]],Data[],8,FALSE)</f>
        <v>Zone 2</v>
      </c>
      <c r="F59" s="1" t="str">
        <f>VLOOKUP(EHD[[#This Row],[DEVELOPMENT]],Data[],9,FALSE)</f>
        <v>$$$</v>
      </c>
      <c r="G59" s="1">
        <f>IFERROR(VLOOKUP(EHD[[#This Row],[DEVELOPMENT]],Data[],4,FALSE),"")</f>
        <v>2023</v>
      </c>
      <c r="H59" s="1" t="str">
        <f ca="1">IF(EHD[[#This Row],[RAD/PACT]]="","",IF((EHD[[#This Row],[RAD/PACT]]-YEAR(TODAY()))&lt;=5,"Yes",""))</f>
        <v>Yes</v>
      </c>
      <c r="I59" s="1"/>
      <c r="J59" s="1"/>
      <c r="K59" s="1"/>
      <c r="L59" s="1"/>
      <c r="M59" s="63">
        <f>IF(EHD[[#This Row],[RAD/PACT]]&lt;=2020,0,INDEX(UnitCosts[],MATCH(EHD[[#This Row],[WORK TYPE]],UnitCosts[Work Type],0),2)*EHD[[#This Row],['# Hopper Doors]])</f>
        <v>104099.00900000001</v>
      </c>
      <c r="N59" s="63">
        <f t="shared" si="0"/>
        <v>832792.07200000004</v>
      </c>
    </row>
    <row r="60" spans="1:14" x14ac:dyDescent="0.25">
      <c r="A60" s="1" t="s">
        <v>72</v>
      </c>
      <c r="B60" s="1" t="str">
        <f>VLOOKUP(A60,Data[],2,FALSE)</f>
        <v>BROOKLYN</v>
      </c>
      <c r="C60" s="9" t="s">
        <v>27</v>
      </c>
      <c r="D60" s="9">
        <f>VLOOKUP(EHD[[#This Row],[DEVELOPMENT]],Data[],27,FALSE)</f>
        <v>7</v>
      </c>
      <c r="E60" s="1" t="str">
        <f>VLOOKUP(EHD[[#This Row],[DEVELOPMENT]],Data[],8,FALSE)</f>
        <v>Zone 3</v>
      </c>
      <c r="F60" s="1" t="str">
        <f>VLOOKUP(EHD[[#This Row],[DEVELOPMENT]],Data[],9,FALSE)</f>
        <v>$$$</v>
      </c>
      <c r="G60" s="1" t="str">
        <f>IFERROR(VLOOKUP(EHD[[#This Row],[DEVELOPMENT]],Data[],4,FALSE),"")</f>
        <v/>
      </c>
      <c r="H60" s="1" t="str">
        <f ca="1">IF(EHD[[#This Row],[RAD/PACT]]="","",IF((EHD[[#This Row],[RAD/PACT]]-YEAR(TODAY()))&lt;=5,"Yes",""))</f>
        <v/>
      </c>
      <c r="I60" s="1"/>
      <c r="J60" s="1"/>
      <c r="K60" s="1"/>
      <c r="L60" s="1"/>
      <c r="M60" s="63">
        <f>IF(EHD[[#This Row],[RAD/PACT]]&lt;=2020,0,INDEX(UnitCosts[],MATCH(EHD[[#This Row],[WORK TYPE]],UnitCosts[Work Type],0),2)*EHD[[#This Row],['# Hopper Doors]])</f>
        <v>52049.504500000003</v>
      </c>
      <c r="N60" s="63">
        <f t="shared" si="0"/>
        <v>884841.57650000008</v>
      </c>
    </row>
    <row r="61" spans="1:14" x14ac:dyDescent="0.25">
      <c r="A61" s="1" t="s">
        <v>130</v>
      </c>
      <c r="B61" s="1" t="str">
        <f>VLOOKUP(A61,Data[],2,FALSE)</f>
        <v>MANHATTAN</v>
      </c>
      <c r="C61" s="9" t="s">
        <v>27</v>
      </c>
      <c r="D61" s="9">
        <f>VLOOKUP(EHD[[#This Row],[DEVELOPMENT]],Data[],27,FALSE)</f>
        <v>11</v>
      </c>
      <c r="E61" s="1" t="str">
        <f>VLOOKUP(EHD[[#This Row],[DEVELOPMENT]],Data[],8,FALSE)</f>
        <v>Zone 3</v>
      </c>
      <c r="F61" s="1" t="str">
        <f>VLOOKUP(EHD[[#This Row],[DEVELOPMENT]],Data[],9,FALSE)</f>
        <v>$$$</v>
      </c>
      <c r="G61" s="1" t="str">
        <f>IFERROR(VLOOKUP(EHD[[#This Row],[DEVELOPMENT]],Data[],4,FALSE),"")</f>
        <v/>
      </c>
      <c r="H61" s="1" t="str">
        <f ca="1">IF(EHD[[#This Row],[RAD/PACT]]="","",IF((EHD[[#This Row],[RAD/PACT]]-YEAR(TODAY()))&lt;=5,"Yes",""))</f>
        <v/>
      </c>
      <c r="I61" s="1"/>
      <c r="J61" s="1"/>
      <c r="K61" s="1"/>
      <c r="L61" s="1"/>
      <c r="M61" s="63">
        <f>IF(EHD[[#This Row],[RAD/PACT]]&lt;=2020,0,INDEX(UnitCosts[],MATCH(EHD[[#This Row],[WORK TYPE]],UnitCosts[Work Type],0),2)*EHD[[#This Row],['# Hopper Doors]])</f>
        <v>81792.078500000003</v>
      </c>
      <c r="N61" s="63">
        <f t="shared" si="0"/>
        <v>966633.65500000003</v>
      </c>
    </row>
    <row r="62" spans="1:14" x14ac:dyDescent="0.25">
      <c r="A62" s="1" t="s">
        <v>76</v>
      </c>
      <c r="B62" s="1" t="str">
        <f>VLOOKUP(A62,Data[],2,FALSE)</f>
        <v>MANHATTAN</v>
      </c>
      <c r="C62" s="9" t="s">
        <v>27</v>
      </c>
      <c r="D62" s="9">
        <f>VLOOKUP(EHD[[#This Row],[DEVELOPMENT]],Data[],27,FALSE)</f>
        <v>6</v>
      </c>
      <c r="E62" s="1" t="str">
        <f>VLOOKUP(EHD[[#This Row],[DEVELOPMENT]],Data[],8,FALSE)</f>
        <v>Zone 3</v>
      </c>
      <c r="F62" s="1" t="str">
        <f>VLOOKUP(EHD[[#This Row],[DEVELOPMENT]],Data[],9,FALSE)</f>
        <v>$$$</v>
      </c>
      <c r="G62" s="1" t="str">
        <f>IFERROR(VLOOKUP(EHD[[#This Row],[DEVELOPMENT]],Data[],4,FALSE),"")</f>
        <v/>
      </c>
      <c r="H62" s="1" t="str">
        <f ca="1">IF(EHD[[#This Row],[RAD/PACT]]="","",IF((EHD[[#This Row],[RAD/PACT]]-YEAR(TODAY()))&lt;=5,"Yes",""))</f>
        <v/>
      </c>
      <c r="I62" s="1"/>
      <c r="J62" s="1"/>
      <c r="K62" s="1"/>
      <c r="L62" s="1"/>
      <c r="M62" s="63">
        <f>IF(EHD[[#This Row],[RAD/PACT]]&lt;=2020,0,INDEX(UnitCosts[],MATCH(EHD[[#This Row],[WORK TYPE]],UnitCosts[Work Type],0),2)*EHD[[#This Row],['# Hopper Doors]])</f>
        <v>44613.861000000004</v>
      </c>
      <c r="N62" s="63">
        <f t="shared" si="0"/>
        <v>1011247.5160000001</v>
      </c>
    </row>
    <row r="63" spans="1:14" x14ac:dyDescent="0.25">
      <c r="A63" s="1" t="s">
        <v>97</v>
      </c>
      <c r="B63" s="1" t="str">
        <f>VLOOKUP(A63,Data[],2,FALSE)</f>
        <v>BRONX</v>
      </c>
      <c r="C63" s="9" t="s">
        <v>27</v>
      </c>
      <c r="D63" s="9">
        <f>VLOOKUP(EHD[[#This Row],[DEVELOPMENT]],Data[],27,FALSE)</f>
        <v>0</v>
      </c>
      <c r="E63" s="1" t="str">
        <f>VLOOKUP(EHD[[#This Row],[DEVELOPMENT]],Data[],8,FALSE)</f>
        <v>Zone 3</v>
      </c>
      <c r="F63" s="1" t="str">
        <f>VLOOKUP(EHD[[#This Row],[DEVELOPMENT]],Data[],9,FALSE)</f>
        <v>$$$</v>
      </c>
      <c r="G63" s="1">
        <f>IFERROR(VLOOKUP(EHD[[#This Row],[DEVELOPMENT]],Data[],4,FALSE),"")</f>
        <v>2026</v>
      </c>
      <c r="H63" s="1" t="str">
        <f ca="1">IF(EHD[[#This Row],[RAD/PACT]]="","",IF((EHD[[#This Row],[RAD/PACT]]-YEAR(TODAY()))&lt;=5,"Yes",""))</f>
        <v/>
      </c>
      <c r="I63" s="1"/>
      <c r="J63" s="1"/>
      <c r="K63" s="1"/>
      <c r="L63" s="1"/>
      <c r="M63" s="63">
        <f>IF(EHD[[#This Row],[RAD/PACT]]&lt;=2020,0,INDEX(UnitCosts[],MATCH(EHD[[#This Row],[WORK TYPE]],UnitCosts[Work Type],0),2)*EHD[[#This Row],['# Hopper Doors]])</f>
        <v>0</v>
      </c>
      <c r="N63" s="63">
        <f t="shared" si="0"/>
        <v>1011247.5160000001</v>
      </c>
    </row>
    <row r="64" spans="1:14" x14ac:dyDescent="0.25">
      <c r="A64" s="106" t="s">
        <v>57</v>
      </c>
      <c r="B64" s="1" t="str">
        <f>VLOOKUP(A64,Data[],2,FALSE)</f>
        <v>MANHATTAN</v>
      </c>
      <c r="C64" s="9" t="s">
        <v>27</v>
      </c>
      <c r="D64" s="9">
        <f>VLOOKUP(EHD[[#This Row],[DEVELOPMENT]],Data[],27,FALSE)</f>
        <v>1</v>
      </c>
      <c r="E64" s="1" t="str">
        <f>VLOOKUP(EHD[[#This Row],[DEVELOPMENT]],Data[],8,FALSE)</f>
        <v>Zone 1</v>
      </c>
      <c r="F64" s="1" t="str">
        <f>VLOOKUP(EHD[[#This Row],[DEVELOPMENT]],Data[],9,FALSE)</f>
        <v>$$</v>
      </c>
      <c r="G64" s="1" t="str">
        <f>IFERROR(VLOOKUP(EHD[[#This Row],[DEVELOPMENT]],Data[],4,FALSE),"")</f>
        <v/>
      </c>
      <c r="H64" s="1" t="str">
        <f ca="1">IF(EHD[[#This Row],[RAD/PACT]]="","",IF((EHD[[#This Row],[RAD/PACT]]-YEAR(TODAY()))&lt;=5,"Yes",""))</f>
        <v/>
      </c>
      <c r="I64" s="1"/>
      <c r="J64" s="1"/>
      <c r="K64" s="1"/>
      <c r="L64" s="1"/>
      <c r="M64" s="63">
        <f>IF(EHD[[#This Row],[RAD/PACT]]&lt;=2020,0,INDEX(UnitCosts[],MATCH(EHD[[#This Row],[WORK TYPE]],UnitCosts[Work Type],0),2)*EHD[[#This Row],['# Hopper Doors]])</f>
        <v>7435.6435000000001</v>
      </c>
      <c r="N64" s="63">
        <f t="shared" si="0"/>
        <v>1018683.1595000001</v>
      </c>
    </row>
    <row r="65" spans="1:14" x14ac:dyDescent="0.25">
      <c r="A65" s="106" t="s">
        <v>60</v>
      </c>
      <c r="B65" s="1" t="str">
        <f>VLOOKUP(A65,Data[],2,FALSE)</f>
        <v>MANHATTAN</v>
      </c>
      <c r="C65" s="9" t="s">
        <v>27</v>
      </c>
      <c r="D65" s="9">
        <f>VLOOKUP(EHD[[#This Row],[DEVELOPMENT]],Data[],27,FALSE)</f>
        <v>3</v>
      </c>
      <c r="E65" s="1" t="str">
        <f>VLOOKUP(EHD[[#This Row],[DEVELOPMENT]],Data[],8,FALSE)</f>
        <v>Zone 1</v>
      </c>
      <c r="F65" s="1" t="str">
        <f>VLOOKUP(EHD[[#This Row],[DEVELOPMENT]],Data[],9,FALSE)</f>
        <v>$$</v>
      </c>
      <c r="G65" s="1">
        <f>IFERROR(VLOOKUP(EHD[[#This Row],[DEVELOPMENT]],Data[],4,FALSE),"")</f>
        <v>2026</v>
      </c>
      <c r="H65" s="1" t="str">
        <f ca="1">IF(EHD[[#This Row],[RAD/PACT]]="","",IF((EHD[[#This Row],[RAD/PACT]]-YEAR(TODAY()))&lt;=5,"Yes",""))</f>
        <v/>
      </c>
      <c r="I65" s="1"/>
      <c r="J65" s="1"/>
      <c r="K65" s="1"/>
      <c r="L65" s="1"/>
      <c r="M65" s="63">
        <f>IF(EHD[[#This Row],[RAD/PACT]]&lt;=2020,0,INDEX(UnitCosts[],MATCH(EHD[[#This Row],[WORK TYPE]],UnitCosts[Work Type],0),2)*EHD[[#This Row],['# Hopper Doors]])</f>
        <v>22306.930500000002</v>
      </c>
      <c r="N65" s="63">
        <f t="shared" si="0"/>
        <v>1040990.0900000001</v>
      </c>
    </row>
    <row r="66" spans="1:14" x14ac:dyDescent="0.25">
      <c r="A66" s="106" t="s">
        <v>121</v>
      </c>
      <c r="B66" s="1" t="str">
        <f>VLOOKUP(A66,Data[],2,FALSE)</f>
        <v>BRONX</v>
      </c>
      <c r="C66" s="9" t="s">
        <v>27</v>
      </c>
      <c r="D66" s="9">
        <f>VLOOKUP(EHD[[#This Row],[DEVELOPMENT]],Data[],27,FALSE)</f>
        <v>2</v>
      </c>
      <c r="E66" s="1" t="str">
        <f>VLOOKUP(EHD[[#This Row],[DEVELOPMENT]],Data[],8,FALSE)</f>
        <v>Zone 1</v>
      </c>
      <c r="F66" s="1" t="str">
        <f>VLOOKUP(EHD[[#This Row],[DEVELOPMENT]],Data[],9,FALSE)</f>
        <v>$$</v>
      </c>
      <c r="G66" s="1" t="str">
        <f>IFERROR(VLOOKUP(EHD[[#This Row],[DEVELOPMENT]],Data[],4,FALSE),"")</f>
        <v/>
      </c>
      <c r="H66" s="1" t="str">
        <f ca="1">IF(EHD[[#This Row],[RAD/PACT]]="","",IF((EHD[[#This Row],[RAD/PACT]]-YEAR(TODAY()))&lt;=5,"Yes",""))</f>
        <v/>
      </c>
      <c r="I66" s="1"/>
      <c r="J66" s="1"/>
      <c r="K66" s="1"/>
      <c r="L66" s="1"/>
      <c r="M66" s="63">
        <f>IF(EHD[[#This Row],[RAD/PACT]]&lt;=2020,0,INDEX(UnitCosts[],MATCH(EHD[[#This Row],[WORK TYPE]],UnitCosts[Work Type],0),2)*EHD[[#This Row],['# Hopper Doors]])</f>
        <v>14871.287</v>
      </c>
      <c r="N66" s="63">
        <f t="shared" si="0"/>
        <v>1055861.3770000001</v>
      </c>
    </row>
    <row r="67" spans="1:14" x14ac:dyDescent="0.25">
      <c r="A67" s="106" t="s">
        <v>246</v>
      </c>
      <c r="B67" s="1" t="str">
        <f>VLOOKUP(A67,Data[],2,FALSE)</f>
        <v>MANHATTAN</v>
      </c>
      <c r="C67" s="9" t="s">
        <v>27</v>
      </c>
      <c r="D67" s="9">
        <f>VLOOKUP(EHD[[#This Row],[DEVELOPMENT]],Data[],27,FALSE)</f>
        <v>1</v>
      </c>
      <c r="E67" s="1" t="str">
        <f>VLOOKUP(EHD[[#This Row],[DEVELOPMENT]],Data[],8,FALSE)</f>
        <v>Zone 1</v>
      </c>
      <c r="F67" s="1" t="str">
        <f>VLOOKUP(EHD[[#This Row],[DEVELOPMENT]],Data[],9,FALSE)</f>
        <v>$$</v>
      </c>
      <c r="G67" s="1" t="str">
        <f>IFERROR(VLOOKUP(EHD[[#This Row],[DEVELOPMENT]],Data[],4,FALSE),"")</f>
        <v/>
      </c>
      <c r="H67" s="1" t="str">
        <f ca="1">IF(EHD[[#This Row],[RAD/PACT]]="","",IF((EHD[[#This Row],[RAD/PACT]]-YEAR(TODAY()))&lt;=5,"Yes",""))</f>
        <v/>
      </c>
      <c r="I67" s="1"/>
      <c r="J67" s="1"/>
      <c r="K67" s="1"/>
      <c r="L67" s="1"/>
      <c r="M67" s="63">
        <f>IF(EHD[[#This Row],[RAD/PACT]]&lt;=2020,0,INDEX(UnitCosts[],MATCH(EHD[[#This Row],[WORK TYPE]],UnitCosts[Work Type],0),2)*EHD[[#This Row],['# Hopper Doors]])</f>
        <v>7435.6435000000001</v>
      </c>
      <c r="N67" s="63">
        <f t="shared" si="0"/>
        <v>1063297.0205000001</v>
      </c>
    </row>
    <row r="68" spans="1:14" x14ac:dyDescent="0.25">
      <c r="A68" s="106" t="s">
        <v>62</v>
      </c>
      <c r="B68" s="1" t="str">
        <f>VLOOKUP(A68,Data[],2,FALSE)</f>
        <v>MANHATTAN</v>
      </c>
      <c r="C68" s="9" t="s">
        <v>27</v>
      </c>
      <c r="D68" s="9">
        <f>VLOOKUP(EHD[[#This Row],[DEVELOPMENT]],Data[],27,FALSE)</f>
        <v>0</v>
      </c>
      <c r="E68" s="1" t="str">
        <f>VLOOKUP(EHD[[#This Row],[DEVELOPMENT]],Data[],8,FALSE)</f>
        <v>Zone 1</v>
      </c>
      <c r="F68" s="1" t="str">
        <f>VLOOKUP(EHD[[#This Row],[DEVELOPMENT]],Data[],9,FALSE)</f>
        <v>$$</v>
      </c>
      <c r="G68" s="1" t="str">
        <f>IFERROR(VLOOKUP(EHD[[#This Row],[DEVELOPMENT]],Data[],4,FALSE),"")</f>
        <v/>
      </c>
      <c r="H68" s="1" t="str">
        <f ca="1">IF(EHD[[#This Row],[RAD/PACT]]="","",IF((EHD[[#This Row],[RAD/PACT]]-YEAR(TODAY()))&lt;=5,"Yes",""))</f>
        <v/>
      </c>
      <c r="I68" s="1"/>
      <c r="J68" s="1"/>
      <c r="K68" s="1"/>
      <c r="L68" s="1"/>
      <c r="M68" s="63">
        <f>IF(EHD[[#This Row],[RAD/PACT]]&lt;=2020,0,INDEX(UnitCosts[],MATCH(EHD[[#This Row],[WORK TYPE]],UnitCosts[Work Type],0),2)*EHD[[#This Row],['# Hopper Doors]])</f>
        <v>0</v>
      </c>
      <c r="N68" s="63">
        <f t="shared" ref="N68:N131" si="1">IF(I68=I67,(M68+L68)+N67,(M68+L68))</f>
        <v>1063297.0205000001</v>
      </c>
    </row>
    <row r="69" spans="1:14" x14ac:dyDescent="0.25">
      <c r="A69" s="106" t="s">
        <v>64</v>
      </c>
      <c r="B69" s="1" t="str">
        <f>VLOOKUP(A69,Data[],2,FALSE)</f>
        <v>MANHATTAN</v>
      </c>
      <c r="C69" s="9" t="s">
        <v>27</v>
      </c>
      <c r="D69" s="9">
        <f>VLOOKUP(EHD[[#This Row],[DEVELOPMENT]],Data[],27,FALSE)</f>
        <v>2</v>
      </c>
      <c r="E69" s="1" t="str">
        <f>VLOOKUP(EHD[[#This Row],[DEVELOPMENT]],Data[],8,FALSE)</f>
        <v>Zone 1</v>
      </c>
      <c r="F69" s="1" t="str">
        <f>VLOOKUP(EHD[[#This Row],[DEVELOPMENT]],Data[],9,FALSE)</f>
        <v>$$</v>
      </c>
      <c r="G69" s="1">
        <f>IFERROR(VLOOKUP(EHD[[#This Row],[DEVELOPMENT]],Data[],4,FALSE),"")</f>
        <v>2026</v>
      </c>
      <c r="H69" s="1" t="str">
        <f ca="1">IF(EHD[[#This Row],[RAD/PACT]]="","",IF((EHD[[#This Row],[RAD/PACT]]-YEAR(TODAY()))&lt;=5,"Yes",""))</f>
        <v/>
      </c>
      <c r="I69" s="1"/>
      <c r="J69" s="1"/>
      <c r="K69" s="1"/>
      <c r="L69" s="1"/>
      <c r="M69" s="63">
        <f>IF(EHD[[#This Row],[RAD/PACT]]&lt;=2020,0,INDEX(UnitCosts[],MATCH(EHD[[#This Row],[WORK TYPE]],UnitCosts[Work Type],0),2)*EHD[[#This Row],['# Hopper Doors]])</f>
        <v>14871.287</v>
      </c>
      <c r="N69" s="63">
        <f t="shared" si="1"/>
        <v>1078168.3075000001</v>
      </c>
    </row>
    <row r="70" spans="1:14" x14ac:dyDescent="0.25">
      <c r="A70" s="106" t="s">
        <v>104</v>
      </c>
      <c r="B70" s="1" t="str">
        <f>VLOOKUP(A70,Data[],2,FALSE)</f>
        <v>MANHATTAN</v>
      </c>
      <c r="C70" s="9" t="s">
        <v>27</v>
      </c>
      <c r="D70" s="9">
        <f>VLOOKUP(EHD[[#This Row],[DEVELOPMENT]],Data[],27,FALSE)</f>
        <v>7</v>
      </c>
      <c r="E70" s="1" t="str">
        <f>VLOOKUP(EHD[[#This Row],[DEVELOPMENT]],Data[],8,FALSE)</f>
        <v>Zone 1</v>
      </c>
      <c r="F70" s="1" t="str">
        <f>VLOOKUP(EHD[[#This Row],[DEVELOPMENT]],Data[],9,FALSE)</f>
        <v>$$</v>
      </c>
      <c r="G70" s="1" t="str">
        <f>IFERROR(VLOOKUP(EHD[[#This Row],[DEVELOPMENT]],Data[],4,FALSE),"")</f>
        <v/>
      </c>
      <c r="H70" s="1" t="str">
        <f ca="1">IF(EHD[[#This Row],[RAD/PACT]]="","",IF((EHD[[#This Row],[RAD/PACT]]-YEAR(TODAY()))&lt;=5,"Yes",""))</f>
        <v/>
      </c>
      <c r="I70" s="1"/>
      <c r="J70" s="1"/>
      <c r="K70" s="1"/>
      <c r="L70" s="1"/>
      <c r="M70" s="63">
        <f>IF(EHD[[#This Row],[RAD/PACT]]&lt;=2020,0,INDEX(UnitCosts[],MATCH(EHD[[#This Row],[WORK TYPE]],UnitCosts[Work Type],0),2)*EHD[[#This Row],['# Hopper Doors]])</f>
        <v>52049.504500000003</v>
      </c>
      <c r="N70" s="63">
        <f t="shared" si="1"/>
        <v>1130217.8120000002</v>
      </c>
    </row>
    <row r="71" spans="1:14" x14ac:dyDescent="0.25">
      <c r="A71" s="106" t="s">
        <v>56</v>
      </c>
      <c r="B71" s="1" t="str">
        <f>VLOOKUP(A71,Data[],2,FALSE)</f>
        <v>MANHATTAN</v>
      </c>
      <c r="C71" s="9" t="s">
        <v>27</v>
      </c>
      <c r="D71" s="9">
        <f>VLOOKUP(EHD[[#This Row],[DEVELOPMENT]],Data[],27,FALSE)</f>
        <v>45</v>
      </c>
      <c r="E71" s="1" t="str">
        <f>VLOOKUP(EHD[[#This Row],[DEVELOPMENT]],Data[],8,FALSE)</f>
        <v>Zone 1</v>
      </c>
      <c r="F71" s="1" t="str">
        <f>VLOOKUP(EHD[[#This Row],[DEVELOPMENT]],Data[],9,FALSE)</f>
        <v>$$</v>
      </c>
      <c r="G71" s="1" t="str">
        <f>IFERROR(VLOOKUP(EHD[[#This Row],[DEVELOPMENT]],Data[],4,FALSE),"")</f>
        <v/>
      </c>
      <c r="H71" s="1" t="str">
        <f ca="1">IF(EHD[[#This Row],[RAD/PACT]]="","",IF((EHD[[#This Row],[RAD/PACT]]-YEAR(TODAY()))&lt;=5,"Yes",""))</f>
        <v/>
      </c>
      <c r="I71" s="1"/>
      <c r="J71" s="1"/>
      <c r="K71" s="1"/>
      <c r="L71" s="1"/>
      <c r="M71" s="63">
        <f>IF(EHD[[#This Row],[RAD/PACT]]&lt;=2020,0,INDEX(UnitCosts[],MATCH(EHD[[#This Row],[WORK TYPE]],UnitCosts[Work Type],0),2)*EHD[[#This Row],['# Hopper Doors]])</f>
        <v>334603.95750000002</v>
      </c>
      <c r="N71" s="63">
        <f t="shared" si="1"/>
        <v>1464821.7695000002</v>
      </c>
    </row>
    <row r="72" spans="1:14" x14ac:dyDescent="0.25">
      <c r="A72" s="1" t="s">
        <v>120</v>
      </c>
      <c r="B72" s="1" t="str">
        <f>VLOOKUP(A72,Data[],2,FALSE)</f>
        <v>MANHATTAN</v>
      </c>
      <c r="C72" s="9" t="s">
        <v>27</v>
      </c>
      <c r="D72" s="9">
        <f>VLOOKUP(EHD[[#This Row],[DEVELOPMENT]],Data[],27,FALSE)</f>
        <v>13</v>
      </c>
      <c r="E72" s="1" t="str">
        <f>VLOOKUP(EHD[[#This Row],[DEVELOPMENT]],Data[],8,FALSE)</f>
        <v>Zone 2</v>
      </c>
      <c r="F72" s="1" t="str">
        <f>VLOOKUP(EHD[[#This Row],[DEVELOPMENT]],Data[],9,FALSE)</f>
        <v>$$</v>
      </c>
      <c r="G72" s="1" t="str">
        <f>IFERROR(VLOOKUP(EHD[[#This Row],[DEVELOPMENT]],Data[],4,FALSE),"")</f>
        <v/>
      </c>
      <c r="H72" s="1" t="str">
        <f ca="1">IF(EHD[[#This Row],[RAD/PACT]]="","",IF((EHD[[#This Row],[RAD/PACT]]-YEAR(TODAY()))&lt;=5,"Yes",""))</f>
        <v/>
      </c>
      <c r="I72" s="1"/>
      <c r="J72" s="1"/>
      <c r="K72" s="1"/>
      <c r="L72" s="1"/>
      <c r="M72" s="63">
        <f>IF(EHD[[#This Row],[RAD/PACT]]&lt;=2020,0,INDEX(UnitCosts[],MATCH(EHD[[#This Row],[WORK TYPE]],UnitCosts[Work Type],0),2)*EHD[[#This Row],['# Hopper Doors]])</f>
        <v>96663.3655</v>
      </c>
      <c r="N72" s="63">
        <f t="shared" si="1"/>
        <v>1561485.1350000002</v>
      </c>
    </row>
    <row r="73" spans="1:14" x14ac:dyDescent="0.25">
      <c r="A73" s="1" t="s">
        <v>112</v>
      </c>
      <c r="B73" s="1" t="str">
        <f>VLOOKUP(A73,Data[],2,FALSE)</f>
        <v>MANHATTAN</v>
      </c>
      <c r="C73" s="9" t="s">
        <v>27</v>
      </c>
      <c r="D73" s="9">
        <f>VLOOKUP(EHD[[#This Row],[DEVELOPMENT]],Data[],27,FALSE)</f>
        <v>34</v>
      </c>
      <c r="E73" s="1" t="str">
        <f>VLOOKUP(EHD[[#This Row],[DEVELOPMENT]],Data[],8,FALSE)</f>
        <v>Zone 2</v>
      </c>
      <c r="F73" s="1" t="str">
        <f>VLOOKUP(EHD[[#This Row],[DEVELOPMENT]],Data[],9,FALSE)</f>
        <v>$$</v>
      </c>
      <c r="G73" s="1">
        <f>IFERROR(VLOOKUP(EHD[[#This Row],[DEVELOPMENT]],Data[],4,FALSE),"")</f>
        <v>2026</v>
      </c>
      <c r="H73" s="1" t="str">
        <f ca="1">IF(EHD[[#This Row],[RAD/PACT]]="","",IF((EHD[[#This Row],[RAD/PACT]]-YEAR(TODAY()))&lt;=5,"Yes",""))</f>
        <v/>
      </c>
      <c r="I73" s="1"/>
      <c r="J73" s="1"/>
      <c r="K73" s="1"/>
      <c r="L73" s="1"/>
      <c r="M73" s="63">
        <f>IF(EHD[[#This Row],[RAD/PACT]]&lt;=2020,0,INDEX(UnitCosts[],MATCH(EHD[[#This Row],[WORK TYPE]],UnitCosts[Work Type],0),2)*EHD[[#This Row],['# Hopper Doors]])</f>
        <v>252811.87900000002</v>
      </c>
      <c r="N73" s="63">
        <f t="shared" si="1"/>
        <v>1814297.0140000002</v>
      </c>
    </row>
    <row r="74" spans="1:14" x14ac:dyDescent="0.25">
      <c r="A74" s="1" t="s">
        <v>107</v>
      </c>
      <c r="B74" s="1" t="str">
        <f>VLOOKUP(A74,Data[],2,FALSE)</f>
        <v>MANHATTAN</v>
      </c>
      <c r="C74" s="9" t="s">
        <v>27</v>
      </c>
      <c r="D74" s="9">
        <f>VLOOKUP(EHD[[#This Row],[DEVELOPMENT]],Data[],27,FALSE)</f>
        <v>2</v>
      </c>
      <c r="E74" s="1" t="str">
        <f>VLOOKUP(EHD[[#This Row],[DEVELOPMENT]],Data[],8,FALSE)</f>
        <v>Zone 2</v>
      </c>
      <c r="F74" s="1" t="str">
        <f>VLOOKUP(EHD[[#This Row],[DEVELOPMENT]],Data[],9,FALSE)</f>
        <v>$$</v>
      </c>
      <c r="G74" s="1" t="str">
        <f>IFERROR(VLOOKUP(EHD[[#This Row],[DEVELOPMENT]],Data[],4,FALSE),"")</f>
        <v/>
      </c>
      <c r="H74" s="1" t="str">
        <f ca="1">IF(EHD[[#This Row],[RAD/PACT]]="","",IF((EHD[[#This Row],[RAD/PACT]]-YEAR(TODAY()))&lt;=5,"Yes",""))</f>
        <v/>
      </c>
      <c r="I74" s="1"/>
      <c r="J74" s="1"/>
      <c r="K74" s="1"/>
      <c r="L74" s="1"/>
      <c r="M74" s="63">
        <f>IF(EHD[[#This Row],[RAD/PACT]]&lt;=2020,0,INDEX(UnitCosts[],MATCH(EHD[[#This Row],[WORK TYPE]],UnitCosts[Work Type],0),2)*EHD[[#This Row],['# Hopper Doors]])</f>
        <v>14871.287</v>
      </c>
      <c r="N74" s="63">
        <f t="shared" si="1"/>
        <v>1829168.3010000002</v>
      </c>
    </row>
    <row r="75" spans="1:14" x14ac:dyDescent="0.25">
      <c r="A75" s="1" t="s">
        <v>95</v>
      </c>
      <c r="B75" s="1" t="str">
        <f>VLOOKUP(A75,Data[],2,FALSE)</f>
        <v>MANHATTAN</v>
      </c>
      <c r="C75" s="9" t="s">
        <v>27</v>
      </c>
      <c r="D75" s="9">
        <f>VLOOKUP(EHD[[#This Row],[DEVELOPMENT]],Data[],27,FALSE)</f>
        <v>40</v>
      </c>
      <c r="E75" s="1" t="str">
        <f>VLOOKUP(EHD[[#This Row],[DEVELOPMENT]],Data[],8,FALSE)</f>
        <v>Zone 2</v>
      </c>
      <c r="F75" s="1" t="str">
        <f>VLOOKUP(EHD[[#This Row],[DEVELOPMENT]],Data[],9,FALSE)</f>
        <v>$$</v>
      </c>
      <c r="G75" s="1">
        <f>IFERROR(VLOOKUP(EHD[[#This Row],[DEVELOPMENT]],Data[],4,FALSE),"")</f>
        <v>2026</v>
      </c>
      <c r="H75" s="1" t="str">
        <f ca="1">IF(EHD[[#This Row],[RAD/PACT]]="","",IF((EHD[[#This Row],[RAD/PACT]]-YEAR(TODAY()))&lt;=5,"Yes",""))</f>
        <v/>
      </c>
      <c r="I75" s="1"/>
      <c r="J75" s="1"/>
      <c r="K75" s="1"/>
      <c r="L75" s="1"/>
      <c r="M75" s="63">
        <f>IF(EHD[[#This Row],[RAD/PACT]]&lt;=2020,0,INDEX(UnitCosts[],MATCH(EHD[[#This Row],[WORK TYPE]],UnitCosts[Work Type],0),2)*EHD[[#This Row],['# Hopper Doors]])</f>
        <v>297425.74</v>
      </c>
      <c r="N75" s="63">
        <f t="shared" si="1"/>
        <v>2126594.0410000002</v>
      </c>
    </row>
    <row r="76" spans="1:14" x14ac:dyDescent="0.25">
      <c r="A76" s="1" t="s">
        <v>82</v>
      </c>
      <c r="B76" s="1" t="str">
        <f>VLOOKUP(A76,Data[],2,FALSE)</f>
        <v>MANHATTAN</v>
      </c>
      <c r="C76" s="9" t="s">
        <v>27</v>
      </c>
      <c r="D76" s="9">
        <f>VLOOKUP(EHD[[#This Row],[DEVELOPMENT]],Data[],27,FALSE)</f>
        <v>1</v>
      </c>
      <c r="E76" s="1" t="str">
        <f>VLOOKUP(EHD[[#This Row],[DEVELOPMENT]],Data[],8,FALSE)</f>
        <v>Zone 3</v>
      </c>
      <c r="F76" s="1" t="str">
        <f>VLOOKUP(EHD[[#This Row],[DEVELOPMENT]],Data[],9,FALSE)</f>
        <v>$$</v>
      </c>
      <c r="G76" s="1">
        <f>IFERROR(VLOOKUP(EHD[[#This Row],[DEVELOPMENT]],Data[],4,FALSE),"")</f>
        <v>2020</v>
      </c>
      <c r="H76" s="1" t="str">
        <f ca="1">IF(EHD[[#This Row],[RAD/PACT]]="","",IF((EHD[[#This Row],[RAD/PACT]]-YEAR(TODAY()))&lt;=5,"Yes",""))</f>
        <v>Yes</v>
      </c>
      <c r="I76" s="1"/>
      <c r="J76" s="1"/>
      <c r="K76" s="1"/>
      <c r="L76" s="1"/>
      <c r="M76" s="63">
        <f>IF(EHD[[#This Row],[RAD/PACT]]&lt;=2020,0,INDEX(UnitCosts[],MATCH(EHD[[#This Row],[WORK TYPE]],UnitCosts[Work Type],0),2)*EHD[[#This Row],['# Hopper Doors]])</f>
        <v>0</v>
      </c>
      <c r="N76" s="63">
        <f t="shared" si="1"/>
        <v>2126594.0410000002</v>
      </c>
    </row>
    <row r="77" spans="1:14" x14ac:dyDescent="0.25">
      <c r="A77" s="1" t="s">
        <v>91</v>
      </c>
      <c r="B77" s="1" t="str">
        <f>VLOOKUP(A77,Data[],2,FALSE)</f>
        <v>BRONX</v>
      </c>
      <c r="C77" s="9" t="s">
        <v>27</v>
      </c>
      <c r="D77" s="9">
        <f>VLOOKUP(EHD[[#This Row],[DEVELOPMENT]],Data[],27,FALSE)</f>
        <v>4</v>
      </c>
      <c r="E77" s="1" t="str">
        <f>VLOOKUP(EHD[[#This Row],[DEVELOPMENT]],Data[],8,FALSE)</f>
        <v>Zone 3</v>
      </c>
      <c r="F77" s="1" t="str">
        <f>VLOOKUP(EHD[[#This Row],[DEVELOPMENT]],Data[],9,FALSE)</f>
        <v>$$</v>
      </c>
      <c r="G77" s="1" t="str">
        <f>IFERROR(VLOOKUP(EHD[[#This Row],[DEVELOPMENT]],Data[],4,FALSE),"")</f>
        <v/>
      </c>
      <c r="H77" s="1" t="str">
        <f ca="1">IF(EHD[[#This Row],[RAD/PACT]]="","",IF((EHD[[#This Row],[RAD/PACT]]-YEAR(TODAY()))&lt;=5,"Yes",""))</f>
        <v/>
      </c>
      <c r="I77" s="1"/>
      <c r="J77" s="1"/>
      <c r="K77" s="1"/>
      <c r="L77" s="1"/>
      <c r="M77" s="63">
        <f>IF(EHD[[#This Row],[RAD/PACT]]&lt;=2020,0,INDEX(UnitCosts[],MATCH(EHD[[#This Row],[WORK TYPE]],UnitCosts[Work Type],0),2)*EHD[[#This Row],['# Hopper Doors]])</f>
        <v>29742.574000000001</v>
      </c>
      <c r="N77" s="63">
        <f t="shared" si="1"/>
        <v>2156336.6150000002</v>
      </c>
    </row>
    <row r="78" spans="1:14" x14ac:dyDescent="0.25">
      <c r="A78" s="1" t="s">
        <v>93</v>
      </c>
      <c r="B78" s="1" t="str">
        <f>VLOOKUP(A78,Data[],2,FALSE)</f>
        <v>MANHATTAN</v>
      </c>
      <c r="C78" s="9" t="s">
        <v>27</v>
      </c>
      <c r="D78" s="9">
        <f>VLOOKUP(EHD[[#This Row],[DEVELOPMENT]],Data[],27,FALSE)</f>
        <v>2</v>
      </c>
      <c r="E78" s="1" t="str">
        <f>VLOOKUP(EHD[[#This Row],[DEVELOPMENT]],Data[],8,FALSE)</f>
        <v>Zone 3</v>
      </c>
      <c r="F78" s="1" t="str">
        <f>VLOOKUP(EHD[[#This Row],[DEVELOPMENT]],Data[],9,FALSE)</f>
        <v>$$</v>
      </c>
      <c r="G78" s="1">
        <f>IFERROR(VLOOKUP(EHD[[#This Row],[DEVELOPMENT]],Data[],4,FALSE),"")</f>
        <v>2019</v>
      </c>
      <c r="H78" s="1" t="str">
        <f ca="1">IF(EHD[[#This Row],[RAD/PACT]]="","",IF((EHD[[#This Row],[RAD/PACT]]-YEAR(TODAY()))&lt;=5,"Yes",""))</f>
        <v>Yes</v>
      </c>
      <c r="I78" s="1"/>
      <c r="J78" s="1"/>
      <c r="K78" s="1"/>
      <c r="L78" s="1"/>
      <c r="M78" s="63">
        <f>IF(EHD[[#This Row],[RAD/PACT]]&lt;=2020,0,INDEX(UnitCosts[],MATCH(EHD[[#This Row],[WORK TYPE]],UnitCosts[Work Type],0),2)*EHD[[#This Row],['# Hopper Doors]])</f>
        <v>0</v>
      </c>
      <c r="N78" s="63">
        <f t="shared" si="1"/>
        <v>2156336.6150000002</v>
      </c>
    </row>
    <row r="79" spans="1:14" x14ac:dyDescent="0.25">
      <c r="A79" s="1" t="s">
        <v>132</v>
      </c>
      <c r="B79" s="1" t="str">
        <f>VLOOKUP(A79,Data[],2,FALSE)</f>
        <v>BRONX</v>
      </c>
      <c r="C79" s="9" t="s">
        <v>27</v>
      </c>
      <c r="D79" s="9">
        <f>VLOOKUP(EHD[[#This Row],[DEVELOPMENT]],Data[],27,FALSE)</f>
        <v>25</v>
      </c>
      <c r="E79" s="1" t="str">
        <f>VLOOKUP(EHD[[#This Row],[DEVELOPMENT]],Data[],8,FALSE)</f>
        <v>Zone 3</v>
      </c>
      <c r="F79" s="1" t="str">
        <f>VLOOKUP(EHD[[#This Row],[DEVELOPMENT]],Data[],9,FALSE)</f>
        <v>$$</v>
      </c>
      <c r="G79" s="1">
        <f>IFERROR(VLOOKUP(EHD[[#This Row],[DEVELOPMENT]],Data[],4,FALSE),"")</f>
        <v>2025</v>
      </c>
      <c r="H79" s="1" t="str">
        <f ca="1">IF(EHD[[#This Row],[RAD/PACT]]="","",IF((EHD[[#This Row],[RAD/PACT]]-YEAR(TODAY()))&lt;=5,"Yes",""))</f>
        <v/>
      </c>
      <c r="I79" s="1"/>
      <c r="J79" s="1"/>
      <c r="K79" s="1"/>
      <c r="L79" s="1"/>
      <c r="M79" s="63">
        <f>IF(EHD[[#This Row],[RAD/PACT]]&lt;=2020,0,INDEX(UnitCosts[],MATCH(EHD[[#This Row],[WORK TYPE]],UnitCosts[Work Type],0),2)*EHD[[#This Row],['# Hopper Doors]])</f>
        <v>185891.08749999999</v>
      </c>
      <c r="N79" s="63">
        <f t="shared" si="1"/>
        <v>2342227.7025000001</v>
      </c>
    </row>
    <row r="80" spans="1:14" x14ac:dyDescent="0.25">
      <c r="A80" s="1" t="s">
        <v>96</v>
      </c>
      <c r="B80" s="1" t="str">
        <f>VLOOKUP(A80,Data[],2,FALSE)</f>
        <v>BRONX</v>
      </c>
      <c r="C80" s="9" t="s">
        <v>27</v>
      </c>
      <c r="D80" s="9">
        <f>VLOOKUP(EHD[[#This Row],[DEVELOPMENT]],Data[],27,FALSE)</f>
        <v>0</v>
      </c>
      <c r="E80" s="1" t="str">
        <f>VLOOKUP(EHD[[#This Row],[DEVELOPMENT]],Data[],8,FALSE)</f>
        <v>Zone 3</v>
      </c>
      <c r="F80" s="1" t="str">
        <f>VLOOKUP(EHD[[#This Row],[DEVELOPMENT]],Data[],9,FALSE)</f>
        <v>$$</v>
      </c>
      <c r="G80" s="1">
        <f>IFERROR(VLOOKUP(EHD[[#This Row],[DEVELOPMENT]],Data[],4,FALSE),"")</f>
        <v>2026</v>
      </c>
      <c r="H80" s="1" t="str">
        <f ca="1">IF(EHD[[#This Row],[RAD/PACT]]="","",IF((EHD[[#This Row],[RAD/PACT]]-YEAR(TODAY()))&lt;=5,"Yes",""))</f>
        <v/>
      </c>
      <c r="I80" s="1"/>
      <c r="J80" s="1"/>
      <c r="K80" s="1"/>
      <c r="L80" s="1"/>
      <c r="M80" s="63">
        <f>IF(EHD[[#This Row],[RAD/PACT]]&lt;=2020,0,INDEX(UnitCosts[],MATCH(EHD[[#This Row],[WORK TYPE]],UnitCosts[Work Type],0),2)*EHD[[#This Row],['# Hopper Doors]])</f>
        <v>0</v>
      </c>
      <c r="N80" s="63">
        <f t="shared" si="1"/>
        <v>2342227.7025000001</v>
      </c>
    </row>
    <row r="81" spans="1:14" x14ac:dyDescent="0.25">
      <c r="A81" s="106" t="s">
        <v>118</v>
      </c>
      <c r="B81" s="1" t="str">
        <f>VLOOKUP(A81,Data[],2,FALSE)</f>
        <v>BROOKLYN</v>
      </c>
      <c r="C81" s="9" t="s">
        <v>27</v>
      </c>
      <c r="D81" s="9">
        <f>VLOOKUP(EHD[[#This Row],[DEVELOPMENT]],Data[],27,FALSE)</f>
        <v>2</v>
      </c>
      <c r="E81" s="1" t="str">
        <f>VLOOKUP(EHD[[#This Row],[DEVELOPMENT]],Data[],8,FALSE)</f>
        <v>Zone 1</v>
      </c>
      <c r="F81" s="1" t="str">
        <f>VLOOKUP(EHD[[#This Row],[DEVELOPMENT]],Data[],9,FALSE)</f>
        <v>$</v>
      </c>
      <c r="G81" s="1" t="str">
        <f>IFERROR(VLOOKUP(EHD[[#This Row],[DEVELOPMENT]],Data[],4,FALSE),"")</f>
        <v/>
      </c>
      <c r="H81" s="1" t="str">
        <f ca="1">IF(EHD[[#This Row],[RAD/PACT]]="","",IF((EHD[[#This Row],[RAD/PACT]]-YEAR(TODAY()))&lt;=5,"Yes",""))</f>
        <v/>
      </c>
      <c r="I81" s="1"/>
      <c r="J81" s="1"/>
      <c r="K81" s="1"/>
      <c r="L81" s="1"/>
      <c r="M81" s="63">
        <f>IF(EHD[[#This Row],[RAD/PACT]]&lt;=2020,0,INDEX(UnitCosts[],MATCH(EHD[[#This Row],[WORK TYPE]],UnitCosts[Work Type],0),2)*EHD[[#This Row],['# Hopper Doors]])</f>
        <v>14871.287</v>
      </c>
      <c r="N81" s="63">
        <f t="shared" si="1"/>
        <v>2357098.9895000001</v>
      </c>
    </row>
    <row r="82" spans="1:14" x14ac:dyDescent="0.25">
      <c r="A82" s="106" t="s">
        <v>171</v>
      </c>
      <c r="B82" s="1" t="str">
        <f>VLOOKUP(A82,Data[],2,FALSE)</f>
        <v>BROOKLYN</v>
      </c>
      <c r="C82" s="9" t="s">
        <v>27</v>
      </c>
      <c r="D82" s="9">
        <f>VLOOKUP(EHD[[#This Row],[DEVELOPMENT]],Data[],27,FALSE)</f>
        <v>6</v>
      </c>
      <c r="E82" s="1" t="str">
        <f>VLOOKUP(EHD[[#This Row],[DEVELOPMENT]],Data[],8,FALSE)</f>
        <v>Zone 1</v>
      </c>
      <c r="F82" s="1" t="str">
        <f>VLOOKUP(EHD[[#This Row],[DEVELOPMENT]],Data[],9,FALSE)</f>
        <v>$</v>
      </c>
      <c r="G82" s="1" t="str">
        <f>IFERROR(VLOOKUP(EHD[[#This Row],[DEVELOPMENT]],Data[],4,FALSE),"")</f>
        <v/>
      </c>
      <c r="H82" s="1" t="str">
        <f ca="1">IF(EHD[[#This Row],[RAD/PACT]]="","",IF((EHD[[#This Row],[RAD/PACT]]-YEAR(TODAY()))&lt;=5,"Yes",""))</f>
        <v/>
      </c>
      <c r="I82" s="1"/>
      <c r="J82" s="1"/>
      <c r="K82" s="1"/>
      <c r="L82" s="1"/>
      <c r="M82" s="63">
        <f>IF(EHD[[#This Row],[RAD/PACT]]&lt;=2020,0,INDEX(UnitCosts[],MATCH(EHD[[#This Row],[WORK TYPE]],UnitCosts[Work Type],0),2)*EHD[[#This Row],['# Hopper Doors]])</f>
        <v>44613.861000000004</v>
      </c>
      <c r="N82" s="63">
        <f t="shared" si="1"/>
        <v>2401712.8505000002</v>
      </c>
    </row>
    <row r="83" spans="1:14" x14ac:dyDescent="0.25">
      <c r="A83" s="106" t="s">
        <v>172</v>
      </c>
      <c r="B83" s="1" t="str">
        <f>VLOOKUP(A83,Data[],2,FALSE)</f>
        <v>BROOKLYN</v>
      </c>
      <c r="C83" s="9" t="s">
        <v>27</v>
      </c>
      <c r="D83" s="9">
        <f>VLOOKUP(EHD[[#This Row],[DEVELOPMENT]],Data[],27,FALSE)</f>
        <v>10</v>
      </c>
      <c r="E83" s="1" t="str">
        <f>VLOOKUP(EHD[[#This Row],[DEVELOPMENT]],Data[],8,FALSE)</f>
        <v>Zone 1</v>
      </c>
      <c r="F83" s="1" t="str">
        <f>VLOOKUP(EHD[[#This Row],[DEVELOPMENT]],Data[],9,FALSE)</f>
        <v>$</v>
      </c>
      <c r="G83" s="1" t="str">
        <f>IFERROR(VLOOKUP(EHD[[#This Row],[DEVELOPMENT]],Data[],4,FALSE),"")</f>
        <v/>
      </c>
      <c r="H83" s="1" t="str">
        <f ca="1">IF(EHD[[#This Row],[RAD/PACT]]="","",IF((EHD[[#This Row],[RAD/PACT]]-YEAR(TODAY()))&lt;=5,"Yes",""))</f>
        <v/>
      </c>
      <c r="I83" s="1"/>
      <c r="J83" s="1"/>
      <c r="K83" s="1"/>
      <c r="L83" s="1"/>
      <c r="M83" s="63">
        <f>IF(EHD[[#This Row],[RAD/PACT]]&lt;=2020,0,INDEX(UnitCosts[],MATCH(EHD[[#This Row],[WORK TYPE]],UnitCosts[Work Type],0),2)*EHD[[#This Row],['# Hopper Doors]])</f>
        <v>74356.434999999998</v>
      </c>
      <c r="N83" s="63">
        <f t="shared" si="1"/>
        <v>2476069.2855000002</v>
      </c>
    </row>
    <row r="84" spans="1:14" x14ac:dyDescent="0.25">
      <c r="A84" s="106" t="s">
        <v>58</v>
      </c>
      <c r="B84" s="1" t="str">
        <f>VLOOKUP(A84,Data[],2,FALSE)</f>
        <v>MANHATTAN</v>
      </c>
      <c r="C84" s="9" t="s">
        <v>27</v>
      </c>
      <c r="D84" s="9">
        <f>VLOOKUP(EHD[[#This Row],[DEVELOPMENT]],Data[],27,FALSE)</f>
        <v>17</v>
      </c>
      <c r="E84" s="1" t="str">
        <f>VLOOKUP(EHD[[#This Row],[DEVELOPMENT]],Data[],8,FALSE)</f>
        <v>Zone 1</v>
      </c>
      <c r="F84" s="1" t="str">
        <f>VLOOKUP(EHD[[#This Row],[DEVELOPMENT]],Data[],9,FALSE)</f>
        <v>$</v>
      </c>
      <c r="G84" s="1" t="str">
        <f>IFERROR(VLOOKUP(EHD[[#This Row],[DEVELOPMENT]],Data[],4,FALSE),"")</f>
        <v/>
      </c>
      <c r="H84" s="1" t="str">
        <f ca="1">IF(EHD[[#This Row],[RAD/PACT]]="","",IF((EHD[[#This Row],[RAD/PACT]]-YEAR(TODAY()))&lt;=5,"Yes",""))</f>
        <v/>
      </c>
      <c r="I84" s="1"/>
      <c r="J84" s="1"/>
      <c r="K84" s="1"/>
      <c r="L84" s="1"/>
      <c r="M84" s="63">
        <f>IF(EHD[[#This Row],[RAD/PACT]]&lt;=2020,0,INDEX(UnitCosts[],MATCH(EHD[[#This Row],[WORK TYPE]],UnitCosts[Work Type],0),2)*EHD[[#This Row],['# Hopper Doors]])</f>
        <v>126405.93950000001</v>
      </c>
      <c r="N84" s="63">
        <f t="shared" si="1"/>
        <v>2602475.2250000001</v>
      </c>
    </row>
    <row r="85" spans="1:14" x14ac:dyDescent="0.25">
      <c r="A85" s="106" t="s">
        <v>142</v>
      </c>
      <c r="B85" s="1" t="str">
        <f>VLOOKUP(A85,Data[],2,FALSE)</f>
        <v>BROOKLYN</v>
      </c>
      <c r="C85" s="9" t="s">
        <v>27</v>
      </c>
      <c r="D85" s="9">
        <f>VLOOKUP(EHD[[#This Row],[DEVELOPMENT]],Data[],27,FALSE)</f>
        <v>5</v>
      </c>
      <c r="E85" s="1" t="str">
        <f>VLOOKUP(EHD[[#This Row],[DEVELOPMENT]],Data[],8,FALSE)</f>
        <v>Zone 1</v>
      </c>
      <c r="F85" s="1" t="str">
        <f>VLOOKUP(EHD[[#This Row],[DEVELOPMENT]],Data[],9,FALSE)</f>
        <v>$</v>
      </c>
      <c r="G85" s="1" t="str">
        <f>IFERROR(VLOOKUP(EHD[[#This Row],[DEVELOPMENT]],Data[],4,FALSE),"")</f>
        <v/>
      </c>
      <c r="H85" s="1" t="str">
        <f ca="1">IF(EHD[[#This Row],[RAD/PACT]]="","",IF((EHD[[#This Row],[RAD/PACT]]-YEAR(TODAY()))&lt;=5,"Yes",""))</f>
        <v/>
      </c>
      <c r="I85" s="1"/>
      <c r="J85" s="1"/>
      <c r="K85" s="1"/>
      <c r="L85" s="1"/>
      <c r="M85" s="63">
        <f>IF(EHD[[#This Row],[RAD/PACT]]&lt;=2020,0,INDEX(UnitCosts[],MATCH(EHD[[#This Row],[WORK TYPE]],UnitCosts[Work Type],0),2)*EHD[[#This Row],['# Hopper Doors]])</f>
        <v>37178.217499999999</v>
      </c>
      <c r="N85" s="63">
        <f t="shared" si="1"/>
        <v>2639653.4424999999</v>
      </c>
    </row>
    <row r="86" spans="1:14" x14ac:dyDescent="0.25">
      <c r="A86" s="106" t="s">
        <v>59</v>
      </c>
      <c r="B86" s="1" t="str">
        <f>VLOOKUP(A86,Data[],2,FALSE)</f>
        <v>MANHATTAN</v>
      </c>
      <c r="C86" s="9" t="s">
        <v>27</v>
      </c>
      <c r="D86" s="9">
        <f>VLOOKUP(EHD[[#This Row],[DEVELOPMENT]],Data[],27,FALSE)</f>
        <v>2</v>
      </c>
      <c r="E86" s="1" t="str">
        <f>VLOOKUP(EHD[[#This Row],[DEVELOPMENT]],Data[],8,FALSE)</f>
        <v>Zone 1</v>
      </c>
      <c r="F86" s="1" t="str">
        <f>VLOOKUP(EHD[[#This Row],[DEVELOPMENT]],Data[],9,FALSE)</f>
        <v>$</v>
      </c>
      <c r="G86" s="1">
        <f>IFERROR(VLOOKUP(EHD[[#This Row],[DEVELOPMENT]],Data[],4,FALSE),"")</f>
        <v>2026</v>
      </c>
      <c r="H86" s="1" t="str">
        <f ca="1">IF(EHD[[#This Row],[RAD/PACT]]="","",IF((EHD[[#This Row],[RAD/PACT]]-YEAR(TODAY()))&lt;=5,"Yes",""))</f>
        <v/>
      </c>
      <c r="I86" s="1"/>
      <c r="J86" s="1"/>
      <c r="K86" s="1"/>
      <c r="L86" s="1"/>
      <c r="M86" s="63">
        <f>IF(EHD[[#This Row],[RAD/PACT]]&lt;=2020,0,INDEX(UnitCosts[],MATCH(EHD[[#This Row],[WORK TYPE]],UnitCosts[Work Type],0),2)*EHD[[#This Row],['# Hopper Doors]])</f>
        <v>14871.287</v>
      </c>
      <c r="N86" s="63">
        <f t="shared" si="1"/>
        <v>2654524.7294999999</v>
      </c>
    </row>
    <row r="87" spans="1:14" x14ac:dyDescent="0.25">
      <c r="A87" s="106" t="s">
        <v>143</v>
      </c>
      <c r="B87" s="1" t="str">
        <f>VLOOKUP(A87,Data[],2,FALSE)</f>
        <v>BRONX</v>
      </c>
      <c r="C87" s="9" t="s">
        <v>27</v>
      </c>
      <c r="D87" s="9">
        <f>VLOOKUP(EHD[[#This Row],[DEVELOPMENT]],Data[],27,FALSE)</f>
        <v>5</v>
      </c>
      <c r="E87" s="1" t="str">
        <f>VLOOKUP(EHD[[#This Row],[DEVELOPMENT]],Data[],8,FALSE)</f>
        <v>Zone 1</v>
      </c>
      <c r="F87" s="1" t="str">
        <f>VLOOKUP(EHD[[#This Row],[DEVELOPMENT]],Data[],9,FALSE)</f>
        <v>$</v>
      </c>
      <c r="G87" s="1">
        <f>IFERROR(VLOOKUP(EHD[[#This Row],[DEVELOPMENT]],Data[],4,FALSE),"")</f>
        <v>2025</v>
      </c>
      <c r="H87" s="1" t="str">
        <f ca="1">IF(EHD[[#This Row],[RAD/PACT]]="","",IF((EHD[[#This Row],[RAD/PACT]]-YEAR(TODAY()))&lt;=5,"Yes",""))</f>
        <v/>
      </c>
      <c r="I87" s="1"/>
      <c r="J87" s="1"/>
      <c r="K87" s="1"/>
      <c r="L87" s="1"/>
      <c r="M87" s="63">
        <f>IF(EHD[[#This Row],[RAD/PACT]]&lt;=2020,0,INDEX(UnitCosts[],MATCH(EHD[[#This Row],[WORK TYPE]],UnitCosts[Work Type],0),2)*EHD[[#This Row],['# Hopper Doors]])</f>
        <v>37178.217499999999</v>
      </c>
      <c r="N87" s="63">
        <f t="shared" si="1"/>
        <v>2691702.9469999997</v>
      </c>
    </row>
    <row r="88" spans="1:14" x14ac:dyDescent="0.25">
      <c r="A88" s="106" t="s">
        <v>144</v>
      </c>
      <c r="B88" s="1" t="str">
        <f>VLOOKUP(A88,Data[],2,FALSE)</f>
        <v>BRONX</v>
      </c>
      <c r="C88" s="9" t="s">
        <v>27</v>
      </c>
      <c r="D88" s="9">
        <f>VLOOKUP(EHD[[#This Row],[DEVELOPMENT]],Data[],27,FALSE)</f>
        <v>4</v>
      </c>
      <c r="E88" s="1" t="str">
        <f>VLOOKUP(EHD[[#This Row],[DEVELOPMENT]],Data[],8,FALSE)</f>
        <v>Zone 1</v>
      </c>
      <c r="F88" s="1" t="str">
        <f>VLOOKUP(EHD[[#This Row],[DEVELOPMENT]],Data[],9,FALSE)</f>
        <v>$</v>
      </c>
      <c r="G88" s="1">
        <f>IFERROR(VLOOKUP(EHD[[#This Row],[DEVELOPMENT]],Data[],4,FALSE),"")</f>
        <v>2025</v>
      </c>
      <c r="H88" s="1" t="str">
        <f ca="1">IF(EHD[[#This Row],[RAD/PACT]]="","",IF((EHD[[#This Row],[RAD/PACT]]-YEAR(TODAY()))&lt;=5,"Yes",""))</f>
        <v/>
      </c>
      <c r="I88" s="1"/>
      <c r="J88" s="1"/>
      <c r="K88" s="1"/>
      <c r="L88" s="1"/>
      <c r="M88" s="63">
        <f>IF(EHD[[#This Row],[RAD/PACT]]&lt;=2020,0,INDEX(UnitCosts[],MATCH(EHD[[#This Row],[WORK TYPE]],UnitCosts[Work Type],0),2)*EHD[[#This Row],['# Hopper Doors]])</f>
        <v>29742.574000000001</v>
      </c>
      <c r="N88" s="63">
        <f t="shared" si="1"/>
        <v>2721445.5209999997</v>
      </c>
    </row>
    <row r="89" spans="1:14" x14ac:dyDescent="0.25">
      <c r="A89" s="106" t="s">
        <v>145</v>
      </c>
      <c r="B89" s="1" t="str">
        <f>VLOOKUP(A89,Data[],2,FALSE)</f>
        <v>BRONX</v>
      </c>
      <c r="C89" s="9" t="s">
        <v>27</v>
      </c>
      <c r="D89" s="9">
        <f>VLOOKUP(EHD[[#This Row],[DEVELOPMENT]],Data[],27,FALSE)</f>
        <v>1</v>
      </c>
      <c r="E89" s="1" t="str">
        <f>VLOOKUP(EHD[[#This Row],[DEVELOPMENT]],Data[],8,FALSE)</f>
        <v>Zone 1</v>
      </c>
      <c r="F89" s="1" t="str">
        <f>VLOOKUP(EHD[[#This Row],[DEVELOPMENT]],Data[],9,FALSE)</f>
        <v>$</v>
      </c>
      <c r="G89" s="1">
        <f>IFERROR(VLOOKUP(EHD[[#This Row],[DEVELOPMENT]],Data[],4,FALSE),"")</f>
        <v>2025</v>
      </c>
      <c r="H89" s="1" t="str">
        <f ca="1">IF(EHD[[#This Row],[RAD/PACT]]="","",IF((EHD[[#This Row],[RAD/PACT]]-YEAR(TODAY()))&lt;=5,"Yes",""))</f>
        <v/>
      </c>
      <c r="I89" s="1"/>
      <c r="J89" s="1"/>
      <c r="K89" s="1"/>
      <c r="L89" s="1"/>
      <c r="M89" s="63">
        <f>IF(EHD[[#This Row],[RAD/PACT]]&lt;=2020,0,INDEX(UnitCosts[],MATCH(EHD[[#This Row],[WORK TYPE]],UnitCosts[Work Type],0),2)*EHD[[#This Row],['# Hopper Doors]])</f>
        <v>7435.6435000000001</v>
      </c>
      <c r="N89" s="63">
        <f t="shared" si="1"/>
        <v>2728881.1644999995</v>
      </c>
    </row>
    <row r="90" spans="1:14" x14ac:dyDescent="0.25">
      <c r="A90" s="106" t="s">
        <v>231</v>
      </c>
      <c r="B90" s="1" t="str">
        <f>VLOOKUP(A90,Data[],2,FALSE)</f>
        <v>MANHATTAN</v>
      </c>
      <c r="C90" s="9" t="s">
        <v>27</v>
      </c>
      <c r="D90" s="9">
        <f>VLOOKUP(EHD[[#This Row],[DEVELOPMENT]],Data[],27,FALSE)</f>
        <v>8</v>
      </c>
      <c r="E90" s="1" t="str">
        <f>VLOOKUP(EHD[[#This Row],[DEVELOPMENT]],Data[],8,FALSE)</f>
        <v>Zone 1</v>
      </c>
      <c r="F90" s="1" t="str">
        <f>VLOOKUP(EHD[[#This Row],[DEVELOPMENT]],Data[],9,FALSE)</f>
        <v>$</v>
      </c>
      <c r="G90" s="1">
        <f>IFERROR(VLOOKUP(EHD[[#This Row],[DEVELOPMENT]],Data[],4,FALSE),"")</f>
        <v>2026</v>
      </c>
      <c r="H90" s="1" t="str">
        <f ca="1">IF(EHD[[#This Row],[RAD/PACT]]="","",IF((EHD[[#This Row],[RAD/PACT]]-YEAR(TODAY()))&lt;=5,"Yes",""))</f>
        <v/>
      </c>
      <c r="I90" s="1"/>
      <c r="J90" s="1"/>
      <c r="K90" s="1"/>
      <c r="L90" s="1"/>
      <c r="M90" s="63">
        <f>IF(EHD[[#This Row],[RAD/PACT]]&lt;=2020,0,INDEX(UnitCosts[],MATCH(EHD[[#This Row],[WORK TYPE]],UnitCosts[Work Type],0),2)*EHD[[#This Row],['# Hopper Doors]])</f>
        <v>59485.148000000001</v>
      </c>
      <c r="N90" s="63">
        <f t="shared" si="1"/>
        <v>2788366.3124999995</v>
      </c>
    </row>
    <row r="91" spans="1:14" x14ac:dyDescent="0.25">
      <c r="A91" s="106" t="s">
        <v>61</v>
      </c>
      <c r="B91" s="1" t="str">
        <f>VLOOKUP(A91,Data[],2,FALSE)</f>
        <v>MANHATTAN</v>
      </c>
      <c r="C91" s="9" t="s">
        <v>27</v>
      </c>
      <c r="D91" s="9">
        <f>VLOOKUP(EHD[[#This Row],[DEVELOPMENT]],Data[],27,FALSE)</f>
        <v>4</v>
      </c>
      <c r="E91" s="1" t="str">
        <f>VLOOKUP(EHD[[#This Row],[DEVELOPMENT]],Data[],8,FALSE)</f>
        <v>Zone 1</v>
      </c>
      <c r="F91" s="1" t="str">
        <f>VLOOKUP(EHD[[#This Row],[DEVELOPMENT]],Data[],9,FALSE)</f>
        <v>$</v>
      </c>
      <c r="G91" s="1" t="str">
        <f>IFERROR(VLOOKUP(EHD[[#This Row],[DEVELOPMENT]],Data[],4,FALSE),"")</f>
        <v/>
      </c>
      <c r="H91" s="1" t="str">
        <f ca="1">IF(EHD[[#This Row],[RAD/PACT]]="","",IF((EHD[[#This Row],[RAD/PACT]]-YEAR(TODAY()))&lt;=5,"Yes",""))</f>
        <v/>
      </c>
      <c r="I91" s="1"/>
      <c r="J91" s="1"/>
      <c r="K91" s="1"/>
      <c r="L91" s="1"/>
      <c r="M91" s="63">
        <f>IF(EHD[[#This Row],[RAD/PACT]]&lt;=2020,0,INDEX(UnitCosts[],MATCH(EHD[[#This Row],[WORK TYPE]],UnitCosts[Work Type],0),2)*EHD[[#This Row],['# Hopper Doors]])</f>
        <v>29742.574000000001</v>
      </c>
      <c r="N91" s="63">
        <f t="shared" si="1"/>
        <v>2818108.8864999996</v>
      </c>
    </row>
    <row r="92" spans="1:14" x14ac:dyDescent="0.25">
      <c r="A92" s="106" t="s">
        <v>247</v>
      </c>
      <c r="B92" s="1" t="str">
        <f>VLOOKUP(A92,Data[],2,FALSE)</f>
        <v>BRONX</v>
      </c>
      <c r="C92" s="9" t="s">
        <v>27</v>
      </c>
      <c r="D92" s="9">
        <f>VLOOKUP(EHD[[#This Row],[DEVELOPMENT]],Data[],27,FALSE)</f>
        <v>6</v>
      </c>
      <c r="E92" s="1" t="str">
        <f>VLOOKUP(EHD[[#This Row],[DEVELOPMENT]],Data[],8,FALSE)</f>
        <v>Zone 1</v>
      </c>
      <c r="F92" s="1" t="str">
        <f>VLOOKUP(EHD[[#This Row],[DEVELOPMENT]],Data[],9,FALSE)</f>
        <v>$</v>
      </c>
      <c r="G92" s="1" t="str">
        <f>IFERROR(VLOOKUP(EHD[[#This Row],[DEVELOPMENT]],Data[],4,FALSE),"")</f>
        <v/>
      </c>
      <c r="H92" s="1" t="str">
        <f ca="1">IF(EHD[[#This Row],[RAD/PACT]]="","",IF((EHD[[#This Row],[RAD/PACT]]-YEAR(TODAY()))&lt;=5,"Yes",""))</f>
        <v/>
      </c>
      <c r="I92" s="1"/>
      <c r="J92" s="1"/>
      <c r="K92" s="1"/>
      <c r="L92" s="1"/>
      <c r="M92" s="63">
        <f>IF(EHD[[#This Row],[RAD/PACT]]&lt;=2020,0,INDEX(UnitCosts[],MATCH(EHD[[#This Row],[WORK TYPE]],UnitCosts[Work Type],0),2)*EHD[[#This Row],['# Hopper Doors]])</f>
        <v>44613.861000000004</v>
      </c>
      <c r="N92" s="63">
        <f t="shared" si="1"/>
        <v>2862722.7474999996</v>
      </c>
    </row>
    <row r="93" spans="1:14" x14ac:dyDescent="0.25">
      <c r="A93" s="106" t="s">
        <v>139</v>
      </c>
      <c r="B93" s="1" t="str">
        <f>VLOOKUP(A93,Data[],2,FALSE)</f>
        <v>BROOKLYN</v>
      </c>
      <c r="C93" s="9" t="s">
        <v>27</v>
      </c>
      <c r="D93" s="9">
        <f>VLOOKUP(EHD[[#This Row],[DEVELOPMENT]],Data[],27,FALSE)</f>
        <v>1</v>
      </c>
      <c r="E93" s="1" t="str">
        <f>VLOOKUP(EHD[[#This Row],[DEVELOPMENT]],Data[],8,FALSE)</f>
        <v>Zone 1</v>
      </c>
      <c r="F93" s="1" t="str">
        <f>VLOOKUP(EHD[[#This Row],[DEVELOPMENT]],Data[],9,FALSE)</f>
        <v>$</v>
      </c>
      <c r="G93" s="1" t="str">
        <f>IFERROR(VLOOKUP(EHD[[#This Row],[DEVELOPMENT]],Data[],4,FALSE),"")</f>
        <v/>
      </c>
      <c r="H93" s="1" t="str">
        <f ca="1">IF(EHD[[#This Row],[RAD/PACT]]="","",IF((EHD[[#This Row],[RAD/PACT]]-YEAR(TODAY()))&lt;=5,"Yes",""))</f>
        <v/>
      </c>
      <c r="I93" s="1"/>
      <c r="J93" s="1"/>
      <c r="K93" s="1"/>
      <c r="L93" s="1"/>
      <c r="M93" s="63">
        <f>IF(EHD[[#This Row],[RAD/PACT]]&lt;=2020,0,INDEX(UnitCosts[],MATCH(EHD[[#This Row],[WORK TYPE]],UnitCosts[Work Type],0),2)*EHD[[#This Row],['# Hopper Doors]])</f>
        <v>7435.6435000000001</v>
      </c>
      <c r="N93" s="63">
        <f t="shared" si="1"/>
        <v>2870158.3909999994</v>
      </c>
    </row>
    <row r="94" spans="1:14" x14ac:dyDescent="0.25">
      <c r="A94" s="106" t="s">
        <v>63</v>
      </c>
      <c r="B94" s="1" t="str">
        <f>VLOOKUP(A94,Data[],2,FALSE)</f>
        <v>MANHATTAN</v>
      </c>
      <c r="C94" s="9" t="s">
        <v>27</v>
      </c>
      <c r="D94" s="9">
        <f>VLOOKUP(EHD[[#This Row],[DEVELOPMENT]],Data[],27,FALSE)</f>
        <v>0</v>
      </c>
      <c r="E94" s="1" t="str">
        <f>VLOOKUP(EHD[[#This Row],[DEVELOPMENT]],Data[],8,FALSE)</f>
        <v>Zone 1</v>
      </c>
      <c r="F94" s="1" t="str">
        <f>VLOOKUP(EHD[[#This Row],[DEVELOPMENT]],Data[],9,FALSE)</f>
        <v>$</v>
      </c>
      <c r="G94" s="1">
        <f>IFERROR(VLOOKUP(EHD[[#This Row],[DEVELOPMENT]],Data[],4,FALSE),"")</f>
        <v>2026</v>
      </c>
      <c r="H94" s="1" t="str">
        <f ca="1">IF(EHD[[#This Row],[RAD/PACT]]="","",IF((EHD[[#This Row],[RAD/PACT]]-YEAR(TODAY()))&lt;=5,"Yes",""))</f>
        <v/>
      </c>
      <c r="I94" s="1"/>
      <c r="J94" s="1"/>
      <c r="K94" s="1"/>
      <c r="L94" s="1"/>
      <c r="M94" s="63">
        <f>IF(EHD[[#This Row],[RAD/PACT]]&lt;=2020,0,INDEX(UnitCosts[],MATCH(EHD[[#This Row],[WORK TYPE]],UnitCosts[Work Type],0),2)*EHD[[#This Row],['# Hopper Doors]])</f>
        <v>0</v>
      </c>
      <c r="N94" s="63">
        <f t="shared" si="1"/>
        <v>2870158.3909999994</v>
      </c>
    </row>
    <row r="95" spans="1:14" x14ac:dyDescent="0.25">
      <c r="A95" s="106" t="s">
        <v>267</v>
      </c>
      <c r="B95" s="1" t="str">
        <f>VLOOKUP(A95,Data[],2,FALSE)</f>
        <v>MANHATTAN</v>
      </c>
      <c r="C95" s="9" t="s">
        <v>27</v>
      </c>
      <c r="D95" s="9">
        <f>VLOOKUP(EHD[[#This Row],[DEVELOPMENT]],Data[],27,FALSE)</f>
        <v>0</v>
      </c>
      <c r="E95" s="1" t="str">
        <f>VLOOKUP(EHD[[#This Row],[DEVELOPMENT]],Data[],8,FALSE)</f>
        <v>Zone 1</v>
      </c>
      <c r="F95" s="1" t="str">
        <f>VLOOKUP(EHD[[#This Row],[DEVELOPMENT]],Data[],9,FALSE)</f>
        <v>$</v>
      </c>
      <c r="G95" s="1" t="str">
        <f>IFERROR(VLOOKUP(EHD[[#This Row],[DEVELOPMENT]],Data[],4,FALSE),"")</f>
        <v/>
      </c>
      <c r="H95" s="1" t="str">
        <f ca="1">IF(EHD[[#This Row],[RAD/PACT]]="","",IF((EHD[[#This Row],[RAD/PACT]]-YEAR(TODAY()))&lt;=5,"Yes",""))</f>
        <v/>
      </c>
      <c r="I95" s="1"/>
      <c r="J95" s="1"/>
      <c r="K95" s="1"/>
      <c r="L95" s="1"/>
      <c r="M95" s="63">
        <f>IF(EHD[[#This Row],[RAD/PACT]]&lt;=2020,0,INDEX(UnitCosts[],MATCH(EHD[[#This Row],[WORK TYPE]],UnitCosts[Work Type],0),2)*EHD[[#This Row],['# Hopper Doors]])</f>
        <v>0</v>
      </c>
      <c r="N95" s="63">
        <f t="shared" si="1"/>
        <v>2870158.3909999994</v>
      </c>
    </row>
    <row r="96" spans="1:14" x14ac:dyDescent="0.25">
      <c r="A96" s="106" t="s">
        <v>269</v>
      </c>
      <c r="B96" s="1" t="str">
        <f>VLOOKUP(A96,Data[],2,FALSE)</f>
        <v>BROOKLYN</v>
      </c>
      <c r="C96" s="9" t="s">
        <v>27</v>
      </c>
      <c r="D96" s="9">
        <f>VLOOKUP(EHD[[#This Row],[DEVELOPMENT]],Data[],27,FALSE)</f>
        <v>0</v>
      </c>
      <c r="E96" s="1" t="str">
        <f>VLOOKUP(EHD[[#This Row],[DEVELOPMENT]],Data[],8,FALSE)</f>
        <v>Zone 1</v>
      </c>
      <c r="F96" s="1" t="str">
        <f>VLOOKUP(EHD[[#This Row],[DEVELOPMENT]],Data[],9,FALSE)</f>
        <v>$</v>
      </c>
      <c r="G96" s="1">
        <f>IFERROR(VLOOKUP(EHD[[#This Row],[DEVELOPMENT]],Data[],4,FALSE),"")</f>
        <v>2019</v>
      </c>
      <c r="H96" s="1" t="str">
        <f ca="1">IF(EHD[[#This Row],[RAD/PACT]]="","",IF((EHD[[#This Row],[RAD/PACT]]-YEAR(TODAY()))&lt;=5,"Yes",""))</f>
        <v>Yes</v>
      </c>
      <c r="I96" s="1"/>
      <c r="J96" s="1"/>
      <c r="K96" s="1"/>
      <c r="L96" s="1"/>
      <c r="M96" s="63">
        <f>IF(EHD[[#This Row],[RAD/PACT]]&lt;=2020,0,INDEX(UnitCosts[],MATCH(EHD[[#This Row],[WORK TYPE]],UnitCosts[Work Type],0),2)*EHD[[#This Row],['# Hopper Doors]])</f>
        <v>0</v>
      </c>
      <c r="N96" s="63">
        <f t="shared" si="1"/>
        <v>2870158.3909999994</v>
      </c>
    </row>
    <row r="97" spans="1:14" x14ac:dyDescent="0.25">
      <c r="A97" s="106" t="s">
        <v>55</v>
      </c>
      <c r="B97" s="1" t="str">
        <f>VLOOKUP(A97,Data[],2,FALSE)</f>
        <v>MANHATTAN</v>
      </c>
      <c r="C97" s="9" t="s">
        <v>27</v>
      </c>
      <c r="D97" s="9">
        <f>VLOOKUP(EHD[[#This Row],[DEVELOPMENT]],Data[],27,FALSE)</f>
        <v>15</v>
      </c>
      <c r="E97" s="1" t="str">
        <f>VLOOKUP(EHD[[#This Row],[DEVELOPMENT]],Data[],8,FALSE)</f>
        <v>Zone 1</v>
      </c>
      <c r="F97" s="1" t="str">
        <f>VLOOKUP(EHD[[#This Row],[DEVELOPMENT]],Data[],9,FALSE)</f>
        <v>$</v>
      </c>
      <c r="G97" s="1" t="str">
        <f>IFERROR(VLOOKUP(EHD[[#This Row],[DEVELOPMENT]],Data[],4,FALSE),"")</f>
        <v/>
      </c>
      <c r="H97" s="1" t="str">
        <f ca="1">IF(EHD[[#This Row],[RAD/PACT]]="","",IF((EHD[[#This Row],[RAD/PACT]]-YEAR(TODAY()))&lt;=5,"Yes",""))</f>
        <v/>
      </c>
      <c r="I97" s="1"/>
      <c r="J97" s="1"/>
      <c r="K97" s="1"/>
      <c r="L97" s="1"/>
      <c r="M97" s="63">
        <f>IF(EHD[[#This Row],[RAD/PACT]]&lt;=2020,0,INDEX(UnitCosts[],MATCH(EHD[[#This Row],[WORK TYPE]],UnitCosts[Work Type],0),2)*EHD[[#This Row],['# Hopper Doors]])</f>
        <v>111534.6525</v>
      </c>
      <c r="N97" s="63">
        <f t="shared" si="1"/>
        <v>2981693.0434999992</v>
      </c>
    </row>
    <row r="98" spans="1:14" x14ac:dyDescent="0.25">
      <c r="A98" s="106" t="s">
        <v>148</v>
      </c>
      <c r="B98" s="1" t="str">
        <f>VLOOKUP(A98,Data[],2,FALSE)</f>
        <v>BROOKLYN</v>
      </c>
      <c r="C98" s="9" t="s">
        <v>27</v>
      </c>
      <c r="D98" s="9">
        <f>VLOOKUP(EHD[[#This Row],[DEVELOPMENT]],Data[],27,FALSE)</f>
        <v>3</v>
      </c>
      <c r="E98" s="1" t="str">
        <f>VLOOKUP(EHD[[#This Row],[DEVELOPMENT]],Data[],8,FALSE)</f>
        <v>Zone 1</v>
      </c>
      <c r="F98" s="1" t="str">
        <f>VLOOKUP(EHD[[#This Row],[DEVELOPMENT]],Data[],9,FALSE)</f>
        <v>$</v>
      </c>
      <c r="G98" s="1" t="str">
        <f>IFERROR(VLOOKUP(EHD[[#This Row],[DEVELOPMENT]],Data[],4,FALSE),"")</f>
        <v/>
      </c>
      <c r="H98" s="1" t="str">
        <f ca="1">IF(EHD[[#This Row],[RAD/PACT]]="","",IF((EHD[[#This Row],[RAD/PACT]]-YEAR(TODAY()))&lt;=5,"Yes",""))</f>
        <v/>
      </c>
      <c r="I98" s="1"/>
      <c r="J98" s="1"/>
      <c r="K98" s="1"/>
      <c r="L98" s="1"/>
      <c r="M98" s="63">
        <f>IF(EHD[[#This Row],[RAD/PACT]]&lt;=2020,0,INDEX(UnitCosts[],MATCH(EHD[[#This Row],[WORK TYPE]],UnitCosts[Work Type],0),2)*EHD[[#This Row],['# Hopper Doors]])</f>
        <v>22306.930500000002</v>
      </c>
      <c r="N98" s="63">
        <f t="shared" si="1"/>
        <v>3003999.973999999</v>
      </c>
    </row>
    <row r="99" spans="1:14" x14ac:dyDescent="0.25">
      <c r="A99" s="106" t="s">
        <v>65</v>
      </c>
      <c r="B99" s="1" t="str">
        <f>VLOOKUP(A99,Data[],2,FALSE)</f>
        <v>MANHATTAN</v>
      </c>
      <c r="C99" s="9" t="s">
        <v>27</v>
      </c>
      <c r="D99" s="9">
        <f>VLOOKUP(EHD[[#This Row],[DEVELOPMENT]],Data[],27,FALSE)</f>
        <v>2</v>
      </c>
      <c r="E99" s="1" t="str">
        <f>VLOOKUP(EHD[[#This Row],[DEVELOPMENT]],Data[],8,FALSE)</f>
        <v>Zone 1</v>
      </c>
      <c r="F99" s="1" t="str">
        <f>VLOOKUP(EHD[[#This Row],[DEVELOPMENT]],Data[],9,FALSE)</f>
        <v>$</v>
      </c>
      <c r="G99" s="1" t="str">
        <f>IFERROR(VLOOKUP(EHD[[#This Row],[DEVELOPMENT]],Data[],4,FALSE),"")</f>
        <v/>
      </c>
      <c r="H99" s="1" t="str">
        <f ca="1">IF(EHD[[#This Row],[RAD/PACT]]="","",IF((EHD[[#This Row],[RAD/PACT]]-YEAR(TODAY()))&lt;=5,"Yes",""))</f>
        <v/>
      </c>
      <c r="I99" s="1"/>
      <c r="J99" s="1"/>
      <c r="K99" s="1"/>
      <c r="L99" s="1"/>
      <c r="M99" s="63">
        <f>IF(EHD[[#This Row],[RAD/PACT]]&lt;=2020,0,INDEX(UnitCosts[],MATCH(EHD[[#This Row],[WORK TYPE]],UnitCosts[Work Type],0),2)*EHD[[#This Row],['# Hopper Doors]])</f>
        <v>14871.287</v>
      </c>
      <c r="N99" s="63">
        <f t="shared" si="1"/>
        <v>3018871.260999999</v>
      </c>
    </row>
    <row r="100" spans="1:14" x14ac:dyDescent="0.25">
      <c r="A100" s="106" t="s">
        <v>149</v>
      </c>
      <c r="B100" s="1" t="str">
        <f>VLOOKUP(A100,Data[],2,FALSE)</f>
        <v>BRONX</v>
      </c>
      <c r="C100" s="9" t="s">
        <v>27</v>
      </c>
      <c r="D100" s="9">
        <f>VLOOKUP(EHD[[#This Row],[DEVELOPMENT]],Data[],27,FALSE)</f>
        <v>2</v>
      </c>
      <c r="E100" s="1" t="str">
        <f>VLOOKUP(EHD[[#This Row],[DEVELOPMENT]],Data[],8,FALSE)</f>
        <v>Zone 1</v>
      </c>
      <c r="F100" s="1" t="str">
        <f>VLOOKUP(EHD[[#This Row],[DEVELOPMENT]],Data[],9,FALSE)</f>
        <v>$</v>
      </c>
      <c r="G100" s="1">
        <f>IFERROR(VLOOKUP(EHD[[#This Row],[DEVELOPMENT]],Data[],4,FALSE),"")</f>
        <v>2025</v>
      </c>
      <c r="H100" s="1" t="str">
        <f ca="1">IF(EHD[[#This Row],[RAD/PACT]]="","",IF((EHD[[#This Row],[RAD/PACT]]-YEAR(TODAY()))&lt;=5,"Yes",""))</f>
        <v/>
      </c>
      <c r="I100" s="1"/>
      <c r="J100" s="1"/>
      <c r="K100" s="1"/>
      <c r="L100" s="1"/>
      <c r="M100" s="63">
        <f>IF(EHD[[#This Row],[RAD/PACT]]&lt;=2020,0,INDEX(UnitCosts[],MATCH(EHD[[#This Row],[WORK TYPE]],UnitCosts[Work Type],0),2)*EHD[[#This Row],['# Hopper Doors]])</f>
        <v>14871.287</v>
      </c>
      <c r="N100" s="63">
        <f t="shared" si="1"/>
        <v>3033742.547999999</v>
      </c>
    </row>
    <row r="101" spans="1:14" x14ac:dyDescent="0.25">
      <c r="A101" s="106" t="s">
        <v>51</v>
      </c>
      <c r="B101" s="1" t="str">
        <f>VLOOKUP(A101,Data[],2,FALSE)</f>
        <v>MANHATTAN</v>
      </c>
      <c r="C101" s="9" t="s">
        <v>27</v>
      </c>
      <c r="D101" s="9">
        <f>VLOOKUP(EHD[[#This Row],[DEVELOPMENT]],Data[],27,FALSE)</f>
        <v>1</v>
      </c>
      <c r="E101" s="1" t="str">
        <f>VLOOKUP(EHD[[#This Row],[DEVELOPMENT]],Data[],8,FALSE)</f>
        <v>Zone 1</v>
      </c>
      <c r="F101" s="1" t="str">
        <f>VLOOKUP(EHD[[#This Row],[DEVELOPMENT]],Data[],9,FALSE)</f>
        <v>$</v>
      </c>
      <c r="G101" s="1" t="str">
        <f>IFERROR(VLOOKUP(EHD[[#This Row],[DEVELOPMENT]],Data[],4,FALSE),"")</f>
        <v/>
      </c>
      <c r="H101" s="1" t="str">
        <f ca="1">IF(EHD[[#This Row],[RAD/PACT]]="","",IF((EHD[[#This Row],[RAD/PACT]]-YEAR(TODAY()))&lt;=5,"Yes",""))</f>
        <v/>
      </c>
      <c r="I101" s="1"/>
      <c r="J101" s="1"/>
      <c r="K101" s="1"/>
      <c r="L101" s="1"/>
      <c r="M101" s="63">
        <f>IF(EHD[[#This Row],[RAD/PACT]]&lt;=2020,0,INDEX(UnitCosts[],MATCH(EHD[[#This Row],[WORK TYPE]],UnitCosts[Work Type],0),2)*EHD[[#This Row],['# Hopper Doors]])</f>
        <v>7435.6435000000001</v>
      </c>
      <c r="N101" s="63">
        <f t="shared" si="1"/>
        <v>3041178.1914999988</v>
      </c>
    </row>
    <row r="102" spans="1:14" x14ac:dyDescent="0.25">
      <c r="A102" s="106" t="s">
        <v>108</v>
      </c>
      <c r="B102" s="1" t="str">
        <f>VLOOKUP(A102,Data[],2,FALSE)</f>
        <v>MANHATTAN</v>
      </c>
      <c r="C102" s="9" t="s">
        <v>27</v>
      </c>
      <c r="D102" s="9">
        <f>VLOOKUP(EHD[[#This Row],[DEVELOPMENT]],Data[],27,FALSE)</f>
        <v>7</v>
      </c>
      <c r="E102" s="1" t="str">
        <f>VLOOKUP(EHD[[#This Row],[DEVELOPMENT]],Data[],8,FALSE)</f>
        <v>Zone 1</v>
      </c>
      <c r="F102" s="1" t="str">
        <f>VLOOKUP(EHD[[#This Row],[DEVELOPMENT]],Data[],9,FALSE)</f>
        <v>$</v>
      </c>
      <c r="G102" s="1" t="str">
        <f>IFERROR(VLOOKUP(EHD[[#This Row],[DEVELOPMENT]],Data[],4,FALSE),"")</f>
        <v/>
      </c>
      <c r="H102" s="1" t="str">
        <f ca="1">IF(EHD[[#This Row],[RAD/PACT]]="","",IF((EHD[[#This Row],[RAD/PACT]]-YEAR(TODAY()))&lt;=5,"Yes",""))</f>
        <v/>
      </c>
      <c r="I102" s="1"/>
      <c r="J102" s="1"/>
      <c r="K102" s="1"/>
      <c r="L102" s="1"/>
      <c r="M102" s="63">
        <f>IF(EHD[[#This Row],[RAD/PACT]]&lt;=2020,0,INDEX(UnitCosts[],MATCH(EHD[[#This Row],[WORK TYPE]],UnitCosts[Work Type],0),2)*EHD[[#This Row],['# Hopper Doors]])</f>
        <v>52049.504500000003</v>
      </c>
      <c r="N102" s="63">
        <f t="shared" si="1"/>
        <v>3093227.6959999986</v>
      </c>
    </row>
    <row r="103" spans="1:14" x14ac:dyDescent="0.25">
      <c r="A103" s="106" t="s">
        <v>66</v>
      </c>
      <c r="B103" s="1" t="str">
        <f>VLOOKUP(A103,Data[],2,FALSE)</f>
        <v>MANHATTAN</v>
      </c>
      <c r="C103" s="9" t="s">
        <v>27</v>
      </c>
      <c r="D103" s="9">
        <f>VLOOKUP(EHD[[#This Row],[DEVELOPMENT]],Data[],27,FALSE)</f>
        <v>17</v>
      </c>
      <c r="E103" s="1" t="str">
        <f>VLOOKUP(EHD[[#This Row],[DEVELOPMENT]],Data[],8,FALSE)</f>
        <v>Zone 1</v>
      </c>
      <c r="F103" s="1" t="str">
        <f>VLOOKUP(EHD[[#This Row],[DEVELOPMENT]],Data[],9,FALSE)</f>
        <v>$</v>
      </c>
      <c r="G103" s="1" t="str">
        <f>IFERROR(VLOOKUP(EHD[[#This Row],[DEVELOPMENT]],Data[],4,FALSE),"")</f>
        <v/>
      </c>
      <c r="H103" s="1" t="str">
        <f ca="1">IF(EHD[[#This Row],[RAD/PACT]]="","",IF((EHD[[#This Row],[RAD/PACT]]-YEAR(TODAY()))&lt;=5,"Yes",""))</f>
        <v/>
      </c>
      <c r="I103" s="1"/>
      <c r="J103" s="1"/>
      <c r="K103" s="1"/>
      <c r="L103" s="1"/>
      <c r="M103" s="63">
        <f>IF(EHD[[#This Row],[RAD/PACT]]&lt;=2020,0,INDEX(UnitCosts[],MATCH(EHD[[#This Row],[WORK TYPE]],UnitCosts[Work Type],0),2)*EHD[[#This Row],['# Hopper Doors]])</f>
        <v>126405.93950000001</v>
      </c>
      <c r="N103" s="63">
        <f t="shared" si="1"/>
        <v>3219633.6354999985</v>
      </c>
    </row>
    <row r="104" spans="1:14" x14ac:dyDescent="0.25">
      <c r="A104" s="1" t="s">
        <v>67</v>
      </c>
      <c r="B104" s="1" t="str">
        <f>VLOOKUP(A104,Data[],2,FALSE)</f>
        <v>MANHATTAN</v>
      </c>
      <c r="C104" s="9" t="s">
        <v>27</v>
      </c>
      <c r="D104" s="9">
        <f>VLOOKUP(EHD[[#This Row],[DEVELOPMENT]],Data[],27,FALSE)</f>
        <v>1</v>
      </c>
      <c r="E104" s="1" t="str">
        <f>VLOOKUP(EHD[[#This Row],[DEVELOPMENT]],Data[],8,FALSE)</f>
        <v>Zone 2</v>
      </c>
      <c r="F104" s="1" t="str">
        <f>VLOOKUP(EHD[[#This Row],[DEVELOPMENT]],Data[],9,FALSE)</f>
        <v>$</v>
      </c>
      <c r="G104" s="1" t="str">
        <f>IFERROR(VLOOKUP(EHD[[#This Row],[DEVELOPMENT]],Data[],4,FALSE),"")</f>
        <v/>
      </c>
      <c r="H104" s="1" t="str">
        <f ca="1">IF(EHD[[#This Row],[RAD/PACT]]="","",IF((EHD[[#This Row],[RAD/PACT]]-YEAR(TODAY()))&lt;=5,"Yes",""))</f>
        <v/>
      </c>
      <c r="I104" s="1"/>
      <c r="J104" s="1"/>
      <c r="K104" s="1"/>
      <c r="L104" s="1"/>
      <c r="M104" s="63">
        <f>IF(EHD[[#This Row],[RAD/PACT]]&lt;=2020,0,INDEX(UnitCosts[],MATCH(EHD[[#This Row],[WORK TYPE]],UnitCosts[Work Type],0),2)*EHD[[#This Row],['# Hopper Doors]])</f>
        <v>7435.6435000000001</v>
      </c>
      <c r="N104" s="63">
        <f t="shared" si="1"/>
        <v>3227069.2789999982</v>
      </c>
    </row>
    <row r="105" spans="1:14" x14ac:dyDescent="0.25">
      <c r="A105" s="1" t="s">
        <v>77</v>
      </c>
      <c r="B105" s="1" t="str">
        <f>VLOOKUP(A105,Data[],2,FALSE)</f>
        <v>MANHATTAN</v>
      </c>
      <c r="C105" s="9" t="s">
        <v>27</v>
      </c>
      <c r="D105" s="9">
        <f>VLOOKUP(EHD[[#This Row],[DEVELOPMENT]],Data[],27,FALSE)</f>
        <v>5</v>
      </c>
      <c r="E105" s="1" t="str">
        <f>VLOOKUP(EHD[[#This Row],[DEVELOPMENT]],Data[],8,FALSE)</f>
        <v>Zone 2</v>
      </c>
      <c r="F105" s="1" t="str">
        <f>VLOOKUP(EHD[[#This Row],[DEVELOPMENT]],Data[],9,FALSE)</f>
        <v>$</v>
      </c>
      <c r="G105" s="1" t="str">
        <f>IFERROR(VLOOKUP(EHD[[#This Row],[DEVELOPMENT]],Data[],4,FALSE),"")</f>
        <v/>
      </c>
      <c r="H105" s="1" t="str">
        <f ca="1">IF(EHD[[#This Row],[RAD/PACT]]="","",IF((EHD[[#This Row],[RAD/PACT]]-YEAR(TODAY()))&lt;=5,"Yes",""))</f>
        <v/>
      </c>
      <c r="I105" s="1"/>
      <c r="J105" s="1"/>
      <c r="K105" s="1"/>
      <c r="L105" s="1"/>
      <c r="M105" s="63">
        <f>IF(EHD[[#This Row],[RAD/PACT]]&lt;=2020,0,INDEX(UnitCosts[],MATCH(EHD[[#This Row],[WORK TYPE]],UnitCosts[Work Type],0),2)*EHD[[#This Row],['# Hopper Doors]])</f>
        <v>37178.217499999999</v>
      </c>
      <c r="N105" s="63">
        <f t="shared" si="1"/>
        <v>3264247.496499998</v>
      </c>
    </row>
    <row r="106" spans="1:14" x14ac:dyDescent="0.25">
      <c r="A106" s="1" t="s">
        <v>78</v>
      </c>
      <c r="B106" s="1" t="str">
        <f>VLOOKUP(A106,Data[],2,FALSE)</f>
        <v>MANHATTAN</v>
      </c>
      <c r="C106" s="9" t="s">
        <v>27</v>
      </c>
      <c r="D106" s="9">
        <f>VLOOKUP(EHD[[#This Row],[DEVELOPMENT]],Data[],27,FALSE)</f>
        <v>29</v>
      </c>
      <c r="E106" s="1" t="str">
        <f>VLOOKUP(EHD[[#This Row],[DEVELOPMENT]],Data[],8,FALSE)</f>
        <v>Zone 2</v>
      </c>
      <c r="F106" s="1" t="str">
        <f>VLOOKUP(EHD[[#This Row],[DEVELOPMENT]],Data[],9,FALSE)</f>
        <v>$</v>
      </c>
      <c r="G106" s="1">
        <f>IFERROR(VLOOKUP(EHD[[#This Row],[DEVELOPMENT]],Data[],4,FALSE),"")</f>
        <v>2024</v>
      </c>
      <c r="H106" s="1" t="str">
        <f ca="1">IF(EHD[[#This Row],[RAD/PACT]]="","",IF((EHD[[#This Row],[RAD/PACT]]-YEAR(TODAY()))&lt;=5,"Yes",""))</f>
        <v>Yes</v>
      </c>
      <c r="I106" s="1"/>
      <c r="J106" s="1"/>
      <c r="K106" s="1"/>
      <c r="L106" s="1"/>
      <c r="M106" s="63">
        <f>IF(EHD[[#This Row],[RAD/PACT]]&lt;=2020,0,INDEX(UnitCosts[],MATCH(EHD[[#This Row],[WORK TYPE]],UnitCosts[Work Type],0),2)*EHD[[#This Row],['# Hopper Doors]])</f>
        <v>215633.66150000002</v>
      </c>
      <c r="N106" s="63">
        <f t="shared" si="1"/>
        <v>3479881.157999998</v>
      </c>
    </row>
    <row r="107" spans="1:14" x14ac:dyDescent="0.25">
      <c r="A107" s="1" t="s">
        <v>125</v>
      </c>
      <c r="B107" s="1" t="str">
        <f>VLOOKUP(A107,Data[],2,FALSE)</f>
        <v>MANHATTAN</v>
      </c>
      <c r="C107" s="9" t="s">
        <v>27</v>
      </c>
      <c r="D107" s="9">
        <f>VLOOKUP(EHD[[#This Row],[DEVELOPMENT]],Data[],27,FALSE)</f>
        <v>4</v>
      </c>
      <c r="E107" s="1" t="str">
        <f>VLOOKUP(EHD[[#This Row],[DEVELOPMENT]],Data[],8,FALSE)</f>
        <v>Zone 2</v>
      </c>
      <c r="F107" s="1" t="str">
        <f>VLOOKUP(EHD[[#This Row],[DEVELOPMENT]],Data[],9,FALSE)</f>
        <v>$</v>
      </c>
      <c r="G107" s="1">
        <f>IFERROR(VLOOKUP(EHD[[#This Row],[DEVELOPMENT]],Data[],4,FALSE),"")</f>
        <v>2023</v>
      </c>
      <c r="H107" s="1" t="str">
        <f ca="1">IF(EHD[[#This Row],[RAD/PACT]]="","",IF((EHD[[#This Row],[RAD/PACT]]-YEAR(TODAY()))&lt;=5,"Yes",""))</f>
        <v>Yes</v>
      </c>
      <c r="I107" s="1"/>
      <c r="J107" s="1"/>
      <c r="K107" s="1"/>
      <c r="L107" s="1"/>
      <c r="M107" s="63">
        <f>IF(EHD[[#This Row],[RAD/PACT]]&lt;=2020,0,INDEX(UnitCosts[],MATCH(EHD[[#This Row],[WORK TYPE]],UnitCosts[Work Type],0),2)*EHD[[#This Row],['# Hopper Doors]])</f>
        <v>29742.574000000001</v>
      </c>
      <c r="N107" s="63">
        <f t="shared" si="1"/>
        <v>3509623.731999998</v>
      </c>
    </row>
    <row r="108" spans="1:14" x14ac:dyDescent="0.25">
      <c r="A108" s="1" t="s">
        <v>122</v>
      </c>
      <c r="B108" s="1" t="str">
        <f>VLOOKUP(A108,Data[],2,FALSE)</f>
        <v>MANHATTAN</v>
      </c>
      <c r="C108" s="9" t="s">
        <v>27</v>
      </c>
      <c r="D108" s="9">
        <f>VLOOKUP(EHD[[#This Row],[DEVELOPMENT]],Data[],27,FALSE)</f>
        <v>6</v>
      </c>
      <c r="E108" s="1" t="str">
        <f>VLOOKUP(EHD[[#This Row],[DEVELOPMENT]],Data[],8,FALSE)</f>
        <v>Zone 2</v>
      </c>
      <c r="F108" s="1" t="str">
        <f>VLOOKUP(EHD[[#This Row],[DEVELOPMENT]],Data[],9,FALSE)</f>
        <v>$</v>
      </c>
      <c r="G108" s="1">
        <f>IFERROR(VLOOKUP(EHD[[#This Row],[DEVELOPMENT]],Data[],4,FALSE),"")</f>
        <v>2028</v>
      </c>
      <c r="H108" s="1" t="str">
        <f ca="1">IF(EHD[[#This Row],[RAD/PACT]]="","",IF((EHD[[#This Row],[RAD/PACT]]-YEAR(TODAY()))&lt;=5,"Yes",""))</f>
        <v/>
      </c>
      <c r="I108" s="1"/>
      <c r="J108" s="1"/>
      <c r="K108" s="1"/>
      <c r="L108" s="1"/>
      <c r="M108" s="63">
        <f>IF(EHD[[#This Row],[RAD/PACT]]&lt;=2020,0,INDEX(UnitCosts[],MATCH(EHD[[#This Row],[WORK TYPE]],UnitCosts[Work Type],0),2)*EHD[[#This Row],['# Hopper Doors]])</f>
        <v>44613.861000000004</v>
      </c>
      <c r="N108" s="63">
        <f t="shared" si="1"/>
        <v>3554237.592999998</v>
      </c>
    </row>
    <row r="109" spans="1:14" x14ac:dyDescent="0.25">
      <c r="A109" s="1" t="s">
        <v>90</v>
      </c>
      <c r="B109" s="1" t="str">
        <f>VLOOKUP(A109,Data[],2,FALSE)</f>
        <v>MANHATTAN</v>
      </c>
      <c r="C109" s="9" t="s">
        <v>27</v>
      </c>
      <c r="D109" s="9">
        <f>VLOOKUP(EHD[[#This Row],[DEVELOPMENT]],Data[],27,FALSE)</f>
        <v>3</v>
      </c>
      <c r="E109" s="1" t="str">
        <f>VLOOKUP(EHD[[#This Row],[DEVELOPMENT]],Data[],8,FALSE)</f>
        <v>Zone 2</v>
      </c>
      <c r="F109" s="1" t="str">
        <f>VLOOKUP(EHD[[#This Row],[DEVELOPMENT]],Data[],9,FALSE)</f>
        <v>$</v>
      </c>
      <c r="G109" s="1" t="str">
        <f>IFERROR(VLOOKUP(EHD[[#This Row],[DEVELOPMENT]],Data[],4,FALSE),"")</f>
        <v/>
      </c>
      <c r="H109" s="1" t="str">
        <f ca="1">IF(EHD[[#This Row],[RAD/PACT]]="","",IF((EHD[[#This Row],[RAD/PACT]]-YEAR(TODAY()))&lt;=5,"Yes",""))</f>
        <v/>
      </c>
      <c r="I109" s="1"/>
      <c r="J109" s="1"/>
      <c r="K109" s="1"/>
      <c r="L109" s="1"/>
      <c r="M109" s="63">
        <f>IF(EHD[[#This Row],[RAD/PACT]]&lt;=2020,0,INDEX(UnitCosts[],MATCH(EHD[[#This Row],[WORK TYPE]],UnitCosts[Work Type],0),2)*EHD[[#This Row],['# Hopper Doors]])</f>
        <v>22306.930500000002</v>
      </c>
      <c r="N109" s="63">
        <f t="shared" si="1"/>
        <v>3576544.5234999978</v>
      </c>
    </row>
    <row r="110" spans="1:14" x14ac:dyDescent="0.25">
      <c r="A110" s="1" t="s">
        <v>133</v>
      </c>
      <c r="B110" s="1" t="str">
        <f>VLOOKUP(A110,Data[],2,FALSE)</f>
        <v>MANHATTAN</v>
      </c>
      <c r="C110" s="9" t="s">
        <v>27</v>
      </c>
      <c r="D110" s="9">
        <f>VLOOKUP(EHD[[#This Row],[DEVELOPMENT]],Data[],27,FALSE)</f>
        <v>9</v>
      </c>
      <c r="E110" s="1" t="str">
        <f>VLOOKUP(EHD[[#This Row],[DEVELOPMENT]],Data[],8,FALSE)</f>
        <v>Zone 2</v>
      </c>
      <c r="F110" s="1" t="str">
        <f>VLOOKUP(EHD[[#This Row],[DEVELOPMENT]],Data[],9,FALSE)</f>
        <v>$</v>
      </c>
      <c r="G110" s="1" t="str">
        <f>IFERROR(VLOOKUP(EHD[[#This Row],[DEVELOPMENT]],Data[],4,FALSE),"")</f>
        <v/>
      </c>
      <c r="H110" s="1" t="str">
        <f ca="1">IF(EHD[[#This Row],[RAD/PACT]]="","",IF((EHD[[#This Row],[RAD/PACT]]-YEAR(TODAY()))&lt;=5,"Yes",""))</f>
        <v/>
      </c>
      <c r="I110" s="1"/>
      <c r="J110" s="1"/>
      <c r="K110" s="1"/>
      <c r="L110" s="1"/>
      <c r="M110" s="63">
        <f>IF(EHD[[#This Row],[RAD/PACT]]&lt;=2020,0,INDEX(UnitCosts[],MATCH(EHD[[#This Row],[WORK TYPE]],UnitCosts[Work Type],0),2)*EHD[[#This Row],['# Hopper Doors]])</f>
        <v>66920.791500000007</v>
      </c>
      <c r="N110" s="63">
        <f t="shared" si="1"/>
        <v>3643465.3149999976</v>
      </c>
    </row>
    <row r="111" spans="1:14" x14ac:dyDescent="0.25">
      <c r="A111" s="1" t="s">
        <v>115</v>
      </c>
      <c r="B111" s="1" t="str">
        <f>VLOOKUP(A111,Data[],2,FALSE)</f>
        <v>MANHATTAN</v>
      </c>
      <c r="C111" s="9" t="s">
        <v>27</v>
      </c>
      <c r="D111" s="9">
        <f>VLOOKUP(EHD[[#This Row],[DEVELOPMENT]],Data[],27,FALSE)</f>
        <v>10</v>
      </c>
      <c r="E111" s="1" t="str">
        <f>VLOOKUP(EHD[[#This Row],[DEVELOPMENT]],Data[],8,FALSE)</f>
        <v>Zone 2</v>
      </c>
      <c r="F111" s="1" t="str">
        <f>VLOOKUP(EHD[[#This Row],[DEVELOPMENT]],Data[],9,FALSE)</f>
        <v>$</v>
      </c>
      <c r="G111" s="1" t="str">
        <f>IFERROR(VLOOKUP(EHD[[#This Row],[DEVELOPMENT]],Data[],4,FALSE),"")</f>
        <v/>
      </c>
      <c r="H111" s="1" t="str">
        <f ca="1">IF(EHD[[#This Row],[RAD/PACT]]="","",IF((EHD[[#This Row],[RAD/PACT]]-YEAR(TODAY()))&lt;=5,"Yes",""))</f>
        <v/>
      </c>
      <c r="I111" s="1"/>
      <c r="J111" s="1"/>
      <c r="K111" s="1"/>
      <c r="L111" s="1"/>
      <c r="M111" s="63">
        <f>IF(EHD[[#This Row],[RAD/PACT]]&lt;=2020,0,INDEX(UnitCosts[],MATCH(EHD[[#This Row],[WORK TYPE]],UnitCosts[Work Type],0),2)*EHD[[#This Row],['# Hopper Doors]])</f>
        <v>74356.434999999998</v>
      </c>
      <c r="N111" s="63">
        <f t="shared" si="1"/>
        <v>3717821.7499999977</v>
      </c>
    </row>
    <row r="112" spans="1:14" x14ac:dyDescent="0.25">
      <c r="A112" s="1" t="s">
        <v>136</v>
      </c>
      <c r="B112" s="1" t="str">
        <f>VLOOKUP(A112,Data[],2,FALSE)</f>
        <v>MANHATTAN</v>
      </c>
      <c r="C112" s="9" t="s">
        <v>27</v>
      </c>
      <c r="D112" s="9">
        <f>VLOOKUP(EHD[[#This Row],[DEVELOPMENT]],Data[],27,FALSE)</f>
        <v>14</v>
      </c>
      <c r="E112" s="1" t="str">
        <f>VLOOKUP(EHD[[#This Row],[DEVELOPMENT]],Data[],8,FALSE)</f>
        <v>Zone 2</v>
      </c>
      <c r="F112" s="1" t="str">
        <f>VLOOKUP(EHD[[#This Row],[DEVELOPMENT]],Data[],9,FALSE)</f>
        <v>$</v>
      </c>
      <c r="G112" s="1" t="str">
        <f>IFERROR(VLOOKUP(EHD[[#This Row],[DEVELOPMENT]],Data[],4,FALSE),"")</f>
        <v/>
      </c>
      <c r="H112" s="1" t="str">
        <f ca="1">IF(EHD[[#This Row],[RAD/PACT]]="","",IF((EHD[[#This Row],[RAD/PACT]]-YEAR(TODAY()))&lt;=5,"Yes",""))</f>
        <v/>
      </c>
      <c r="I112" s="1"/>
      <c r="J112" s="1"/>
      <c r="K112" s="1"/>
      <c r="L112" s="1"/>
      <c r="M112" s="63">
        <f>IF(EHD[[#This Row],[RAD/PACT]]&lt;=2020,0,INDEX(UnitCosts[],MATCH(EHD[[#This Row],[WORK TYPE]],UnitCosts[Work Type],0),2)*EHD[[#This Row],['# Hopper Doors]])</f>
        <v>104099.00900000001</v>
      </c>
      <c r="N112" s="63">
        <f t="shared" si="1"/>
        <v>3821920.7589999977</v>
      </c>
    </row>
    <row r="113" spans="1:14" x14ac:dyDescent="0.25">
      <c r="A113" s="1" t="s">
        <v>100</v>
      </c>
      <c r="B113" s="1" t="str">
        <f>VLOOKUP(A113,Data[],2,FALSE)</f>
        <v>MANHATTAN</v>
      </c>
      <c r="C113" s="9" t="s">
        <v>27</v>
      </c>
      <c r="D113" s="9">
        <f>VLOOKUP(EHD[[#This Row],[DEVELOPMENT]],Data[],27,FALSE)</f>
        <v>1</v>
      </c>
      <c r="E113" s="1" t="str">
        <f>VLOOKUP(EHD[[#This Row],[DEVELOPMENT]],Data[],8,FALSE)</f>
        <v>Zone 2</v>
      </c>
      <c r="F113" s="1" t="str">
        <f>VLOOKUP(EHD[[#This Row],[DEVELOPMENT]],Data[],9,FALSE)</f>
        <v>$</v>
      </c>
      <c r="G113" s="1" t="str">
        <f>IFERROR(VLOOKUP(EHD[[#This Row],[DEVELOPMENT]],Data[],4,FALSE),"")</f>
        <v/>
      </c>
      <c r="H113" s="1" t="str">
        <f ca="1">IF(EHD[[#This Row],[RAD/PACT]]="","",IF((EHD[[#This Row],[RAD/PACT]]-YEAR(TODAY()))&lt;=5,"Yes",""))</f>
        <v/>
      </c>
      <c r="I113" s="1"/>
      <c r="J113" s="1"/>
      <c r="K113" s="1"/>
      <c r="L113" s="1"/>
      <c r="M113" s="63">
        <f>IF(EHD[[#This Row],[RAD/PACT]]&lt;=2020,0,INDEX(UnitCosts[],MATCH(EHD[[#This Row],[WORK TYPE]],UnitCosts[Work Type],0),2)*EHD[[#This Row],['# Hopper Doors]])</f>
        <v>7435.6435000000001</v>
      </c>
      <c r="N113" s="63">
        <f t="shared" si="1"/>
        <v>3829356.4024999975</v>
      </c>
    </row>
    <row r="114" spans="1:14" x14ac:dyDescent="0.25">
      <c r="A114" s="1" t="s">
        <v>127</v>
      </c>
      <c r="B114" s="1" t="str">
        <f>VLOOKUP(A114,Data[],2,FALSE)</f>
        <v>MANHATTAN</v>
      </c>
      <c r="C114" s="9" t="s">
        <v>27</v>
      </c>
      <c r="D114" s="9">
        <f>VLOOKUP(EHD[[#This Row],[DEVELOPMENT]],Data[],27,FALSE)</f>
        <v>22</v>
      </c>
      <c r="E114" s="1" t="str">
        <f>VLOOKUP(EHD[[#This Row],[DEVELOPMENT]],Data[],8,FALSE)</f>
        <v>Zone 2</v>
      </c>
      <c r="F114" s="1" t="str">
        <f>VLOOKUP(EHD[[#This Row],[DEVELOPMENT]],Data[],9,FALSE)</f>
        <v>$</v>
      </c>
      <c r="G114" s="1" t="str">
        <f>IFERROR(VLOOKUP(EHD[[#This Row],[DEVELOPMENT]],Data[],4,FALSE),"")</f>
        <v/>
      </c>
      <c r="H114" s="1" t="str">
        <f ca="1">IF(EHD[[#This Row],[RAD/PACT]]="","",IF((EHD[[#This Row],[RAD/PACT]]-YEAR(TODAY()))&lt;=5,"Yes",""))</f>
        <v/>
      </c>
      <c r="I114" s="1"/>
      <c r="J114" s="1"/>
      <c r="K114" s="1"/>
      <c r="L114" s="1"/>
      <c r="M114" s="63">
        <f>IF(EHD[[#This Row],[RAD/PACT]]&lt;=2020,0,INDEX(UnitCosts[],MATCH(EHD[[#This Row],[WORK TYPE]],UnitCosts[Work Type],0),2)*EHD[[#This Row],['# Hopper Doors]])</f>
        <v>163584.15700000001</v>
      </c>
      <c r="N114" s="63">
        <f t="shared" si="1"/>
        <v>3992940.5594999976</v>
      </c>
    </row>
    <row r="115" spans="1:14" x14ac:dyDescent="0.25">
      <c r="A115" s="1" t="s">
        <v>116</v>
      </c>
      <c r="B115" s="1" t="str">
        <f>VLOOKUP(A115,Data[],2,FALSE)</f>
        <v>MANHATTAN</v>
      </c>
      <c r="C115" s="9" t="s">
        <v>27</v>
      </c>
      <c r="D115" s="9">
        <f>VLOOKUP(EHD[[#This Row],[DEVELOPMENT]],Data[],27,FALSE)</f>
        <v>5</v>
      </c>
      <c r="E115" s="1" t="str">
        <f>VLOOKUP(EHD[[#This Row],[DEVELOPMENT]],Data[],8,FALSE)</f>
        <v>Zone 2</v>
      </c>
      <c r="F115" s="1" t="str">
        <f>VLOOKUP(EHD[[#This Row],[DEVELOPMENT]],Data[],9,FALSE)</f>
        <v>$</v>
      </c>
      <c r="G115" s="1" t="str">
        <f>IFERROR(VLOOKUP(EHD[[#This Row],[DEVELOPMENT]],Data[],4,FALSE),"")</f>
        <v/>
      </c>
      <c r="H115" s="1" t="str">
        <f ca="1">IF(EHD[[#This Row],[RAD/PACT]]="","",IF((EHD[[#This Row],[RAD/PACT]]-YEAR(TODAY()))&lt;=5,"Yes",""))</f>
        <v/>
      </c>
      <c r="I115" s="1"/>
      <c r="J115" s="1"/>
      <c r="K115" s="1"/>
      <c r="L115" s="1"/>
      <c r="M115" s="63">
        <f>IF(EHD[[#This Row],[RAD/PACT]]&lt;=2020,0,INDEX(UnitCosts[],MATCH(EHD[[#This Row],[WORK TYPE]],UnitCosts[Work Type],0),2)*EHD[[#This Row],['# Hopper Doors]])</f>
        <v>37178.217499999999</v>
      </c>
      <c r="N115" s="63">
        <f t="shared" si="1"/>
        <v>4030118.7769999974</v>
      </c>
    </row>
    <row r="116" spans="1:14" x14ac:dyDescent="0.25">
      <c r="A116" s="1" t="s">
        <v>69</v>
      </c>
      <c r="B116" s="1" t="str">
        <f>VLOOKUP(A116,Data[],2,FALSE)</f>
        <v>MANHATTAN</v>
      </c>
      <c r="C116" s="9" t="s">
        <v>27</v>
      </c>
      <c r="D116" s="9">
        <f>VLOOKUP(EHD[[#This Row],[DEVELOPMENT]],Data[],27,FALSE)</f>
        <v>1</v>
      </c>
      <c r="E116" s="1" t="str">
        <f>VLOOKUP(EHD[[#This Row],[DEVELOPMENT]],Data[],8,FALSE)</f>
        <v>Zone 3</v>
      </c>
      <c r="F116" s="1" t="str">
        <f>VLOOKUP(EHD[[#This Row],[DEVELOPMENT]],Data[],9,FALSE)</f>
        <v>$</v>
      </c>
      <c r="G116" s="1" t="str">
        <f>IFERROR(VLOOKUP(EHD[[#This Row],[DEVELOPMENT]],Data[],4,FALSE),"")</f>
        <v/>
      </c>
      <c r="H116" s="1" t="str">
        <f ca="1">IF(EHD[[#This Row],[RAD/PACT]]="","",IF((EHD[[#This Row],[RAD/PACT]]-YEAR(TODAY()))&lt;=5,"Yes",""))</f>
        <v/>
      </c>
      <c r="I116" s="1"/>
      <c r="J116" s="1"/>
      <c r="K116" s="1"/>
      <c r="L116" s="1"/>
      <c r="M116" s="63">
        <f>IF(EHD[[#This Row],[RAD/PACT]]&lt;=2020,0,INDEX(UnitCosts[],MATCH(EHD[[#This Row],[WORK TYPE]],UnitCosts[Work Type],0),2)*EHD[[#This Row],['# Hopper Doors]])</f>
        <v>7435.6435000000001</v>
      </c>
      <c r="N116" s="63">
        <f t="shared" si="1"/>
        <v>4037554.4204999972</v>
      </c>
    </row>
    <row r="117" spans="1:14" x14ac:dyDescent="0.25">
      <c r="A117" s="1" t="s">
        <v>73</v>
      </c>
      <c r="B117" s="1" t="str">
        <f>VLOOKUP(A117,Data[],2,FALSE)</f>
        <v>BRONX</v>
      </c>
      <c r="C117" s="9" t="s">
        <v>27</v>
      </c>
      <c r="D117" s="9">
        <f>VLOOKUP(EHD[[#This Row],[DEVELOPMENT]],Data[],27,FALSE)</f>
        <v>9</v>
      </c>
      <c r="E117" s="1" t="str">
        <f>VLOOKUP(EHD[[#This Row],[DEVELOPMENT]],Data[],8,FALSE)</f>
        <v>Zone 3</v>
      </c>
      <c r="F117" s="1" t="str">
        <f>VLOOKUP(EHD[[#This Row],[DEVELOPMENT]],Data[],9,FALSE)</f>
        <v>$</v>
      </c>
      <c r="G117" s="1" t="str">
        <f>IFERROR(VLOOKUP(EHD[[#This Row],[DEVELOPMENT]],Data[],4,FALSE),"")</f>
        <v/>
      </c>
      <c r="H117" s="1" t="str">
        <f ca="1">IF(EHD[[#This Row],[RAD/PACT]]="","",IF((EHD[[#This Row],[RAD/PACT]]-YEAR(TODAY()))&lt;=5,"Yes",""))</f>
        <v/>
      </c>
      <c r="I117" s="1"/>
      <c r="J117" s="1"/>
      <c r="K117" s="1"/>
      <c r="L117" s="1"/>
      <c r="M117" s="63">
        <f>IF(EHD[[#This Row],[RAD/PACT]]&lt;=2020,0,INDEX(UnitCosts[],MATCH(EHD[[#This Row],[WORK TYPE]],UnitCosts[Work Type],0),2)*EHD[[#This Row],['# Hopper Doors]])</f>
        <v>66920.791500000007</v>
      </c>
      <c r="N117" s="63">
        <f t="shared" si="1"/>
        <v>4104475.211999997</v>
      </c>
    </row>
    <row r="118" spans="1:14" x14ac:dyDescent="0.25">
      <c r="A118" s="1" t="s">
        <v>124</v>
      </c>
      <c r="B118" s="1" t="str">
        <f>VLOOKUP(A118,Data[],2,FALSE)</f>
        <v>BRONX</v>
      </c>
      <c r="C118" s="9" t="s">
        <v>27</v>
      </c>
      <c r="D118" s="9">
        <f>VLOOKUP(EHD[[#This Row],[DEVELOPMENT]],Data[],27,FALSE)</f>
        <v>1</v>
      </c>
      <c r="E118" s="1" t="str">
        <f>VLOOKUP(EHD[[#This Row],[DEVELOPMENT]],Data[],8,FALSE)</f>
        <v>Zone 3</v>
      </c>
      <c r="F118" s="1" t="str">
        <f>VLOOKUP(EHD[[#This Row],[DEVELOPMENT]],Data[],9,FALSE)</f>
        <v>$</v>
      </c>
      <c r="G118" s="1">
        <f>IFERROR(VLOOKUP(EHD[[#This Row],[DEVELOPMENT]],Data[],4,FALSE),"")</f>
        <v>2026</v>
      </c>
      <c r="H118" s="1" t="str">
        <f ca="1">IF(EHD[[#This Row],[RAD/PACT]]="","",IF((EHD[[#This Row],[RAD/PACT]]-YEAR(TODAY()))&lt;=5,"Yes",""))</f>
        <v/>
      </c>
      <c r="I118" s="1"/>
      <c r="J118" s="1"/>
      <c r="K118" s="1"/>
      <c r="L118" s="1"/>
      <c r="M118" s="63">
        <f>IF(EHD[[#This Row],[RAD/PACT]]&lt;=2020,0,INDEX(UnitCosts[],MATCH(EHD[[#This Row],[WORK TYPE]],UnitCosts[Work Type],0),2)*EHD[[#This Row],['# Hopper Doors]])</f>
        <v>7435.6435000000001</v>
      </c>
      <c r="N118" s="63">
        <f t="shared" si="1"/>
        <v>4111910.8554999968</v>
      </c>
    </row>
    <row r="119" spans="1:14" x14ac:dyDescent="0.25">
      <c r="A119" s="1" t="s">
        <v>105</v>
      </c>
      <c r="B119" s="1" t="str">
        <f>VLOOKUP(A119,Data[],2,FALSE)</f>
        <v>BRONX</v>
      </c>
      <c r="C119" s="9" t="s">
        <v>27</v>
      </c>
      <c r="D119" s="9">
        <f>VLOOKUP(EHD[[#This Row],[DEVELOPMENT]],Data[],27,FALSE)</f>
        <v>1</v>
      </c>
      <c r="E119" s="1" t="str">
        <f>VLOOKUP(EHD[[#This Row],[DEVELOPMENT]],Data[],8,FALSE)</f>
        <v>Zone 3</v>
      </c>
      <c r="F119" s="1" t="str">
        <f>VLOOKUP(EHD[[#This Row],[DEVELOPMENT]],Data[],9,FALSE)</f>
        <v>$</v>
      </c>
      <c r="G119" s="1">
        <f>IFERROR(VLOOKUP(EHD[[#This Row],[DEVELOPMENT]],Data[],4,FALSE),"")</f>
        <v>2026</v>
      </c>
      <c r="H119" s="1" t="str">
        <f ca="1">IF(EHD[[#This Row],[RAD/PACT]]="","",IF((EHD[[#This Row],[RAD/PACT]]-YEAR(TODAY()))&lt;=5,"Yes",""))</f>
        <v/>
      </c>
      <c r="I119" s="1"/>
      <c r="J119" s="1"/>
      <c r="K119" s="1"/>
      <c r="L119" s="1"/>
      <c r="M119" s="63">
        <f>IF(EHD[[#This Row],[RAD/PACT]]&lt;=2020,0,INDEX(UnitCosts[],MATCH(EHD[[#This Row],[WORK TYPE]],UnitCosts[Work Type],0),2)*EHD[[#This Row],['# Hopper Doors]])</f>
        <v>7435.6435000000001</v>
      </c>
      <c r="N119" s="63">
        <f t="shared" si="1"/>
        <v>4119346.4989999966</v>
      </c>
    </row>
    <row r="120" spans="1:14" x14ac:dyDescent="0.25">
      <c r="A120" s="1" t="s">
        <v>75</v>
      </c>
      <c r="B120" s="1" t="str">
        <f>VLOOKUP(A120,Data[],2,FALSE)</f>
        <v>MANHATTAN</v>
      </c>
      <c r="C120" s="9" t="s">
        <v>27</v>
      </c>
      <c r="D120" s="9">
        <f>VLOOKUP(EHD[[#This Row],[DEVELOPMENT]],Data[],27,FALSE)</f>
        <v>1</v>
      </c>
      <c r="E120" s="1" t="str">
        <f>VLOOKUP(EHD[[#This Row],[DEVELOPMENT]],Data[],8,FALSE)</f>
        <v>Zone 3</v>
      </c>
      <c r="F120" s="1" t="str">
        <f>VLOOKUP(EHD[[#This Row],[DEVELOPMENT]],Data[],9,FALSE)</f>
        <v>$</v>
      </c>
      <c r="G120" s="1" t="str">
        <f>IFERROR(VLOOKUP(EHD[[#This Row],[DEVELOPMENT]],Data[],4,FALSE),"")</f>
        <v/>
      </c>
      <c r="H120" s="1" t="str">
        <f ca="1">IF(EHD[[#This Row],[RAD/PACT]]="","",IF((EHD[[#This Row],[RAD/PACT]]-YEAR(TODAY()))&lt;=5,"Yes",""))</f>
        <v/>
      </c>
      <c r="I120" s="1"/>
      <c r="J120" s="1"/>
      <c r="K120" s="1"/>
      <c r="L120" s="1"/>
      <c r="M120" s="63">
        <f>IF(EHD[[#This Row],[RAD/PACT]]&lt;=2020,0,INDEX(UnitCosts[],MATCH(EHD[[#This Row],[WORK TYPE]],UnitCosts[Work Type],0),2)*EHD[[#This Row],['# Hopper Doors]])</f>
        <v>7435.6435000000001</v>
      </c>
      <c r="N120" s="63">
        <f t="shared" si="1"/>
        <v>4126782.1424999963</v>
      </c>
    </row>
    <row r="121" spans="1:14" x14ac:dyDescent="0.25">
      <c r="A121" s="1" t="s">
        <v>79</v>
      </c>
      <c r="B121" s="1" t="str">
        <f>VLOOKUP(A121,Data[],2,FALSE)</f>
        <v>MANHATTAN</v>
      </c>
      <c r="C121" s="9" t="s">
        <v>27</v>
      </c>
      <c r="D121" s="9">
        <f>VLOOKUP(EHD[[#This Row],[DEVELOPMENT]],Data[],27,FALSE)</f>
        <v>2</v>
      </c>
      <c r="E121" s="1" t="str">
        <f>VLOOKUP(EHD[[#This Row],[DEVELOPMENT]],Data[],8,FALSE)</f>
        <v>Zone 3</v>
      </c>
      <c r="F121" s="1" t="str">
        <f>VLOOKUP(EHD[[#This Row],[DEVELOPMENT]],Data[],9,FALSE)</f>
        <v>$</v>
      </c>
      <c r="G121" s="1">
        <f>IFERROR(VLOOKUP(EHD[[#This Row],[DEVELOPMENT]],Data[],4,FALSE),"")</f>
        <v>2019</v>
      </c>
      <c r="H121" s="1" t="str">
        <f ca="1">IF(EHD[[#This Row],[RAD/PACT]]="","",IF((EHD[[#This Row],[RAD/PACT]]-YEAR(TODAY()))&lt;=5,"Yes",""))</f>
        <v>Yes</v>
      </c>
      <c r="I121" s="1"/>
      <c r="J121" s="1"/>
      <c r="K121" s="1"/>
      <c r="L121" s="1"/>
      <c r="M121" s="63">
        <f>IF(EHD[[#This Row],[RAD/PACT]]&lt;=2020,0,INDEX(UnitCosts[],MATCH(EHD[[#This Row],[WORK TYPE]],UnitCosts[Work Type],0),2)*EHD[[#This Row],['# Hopper Doors]])</f>
        <v>0</v>
      </c>
      <c r="N121" s="63">
        <f t="shared" si="1"/>
        <v>4126782.1424999963</v>
      </c>
    </row>
    <row r="122" spans="1:14" x14ac:dyDescent="0.25">
      <c r="A122" s="1" t="s">
        <v>111</v>
      </c>
      <c r="B122" s="1" t="str">
        <f>VLOOKUP(A122,Data[],2,FALSE)</f>
        <v>MANHATTAN</v>
      </c>
      <c r="C122" s="9" t="s">
        <v>27</v>
      </c>
      <c r="D122" s="9">
        <f>VLOOKUP(EHD[[#This Row],[DEVELOPMENT]],Data[],27,FALSE)</f>
        <v>19</v>
      </c>
      <c r="E122" s="1" t="str">
        <f>VLOOKUP(EHD[[#This Row],[DEVELOPMENT]],Data[],8,FALSE)</f>
        <v>Zone 3</v>
      </c>
      <c r="F122" s="1" t="str">
        <f>VLOOKUP(EHD[[#This Row],[DEVELOPMENT]],Data[],9,FALSE)</f>
        <v>$</v>
      </c>
      <c r="G122" s="1" t="str">
        <f>IFERROR(VLOOKUP(EHD[[#This Row],[DEVELOPMENT]],Data[],4,FALSE),"")</f>
        <v/>
      </c>
      <c r="H122" s="1" t="str">
        <f ca="1">IF(EHD[[#This Row],[RAD/PACT]]="","",IF((EHD[[#This Row],[RAD/PACT]]-YEAR(TODAY()))&lt;=5,"Yes",""))</f>
        <v/>
      </c>
      <c r="I122" s="1"/>
      <c r="J122" s="1"/>
      <c r="K122" s="1"/>
      <c r="L122" s="1"/>
      <c r="M122" s="63">
        <f>IF(EHD[[#This Row],[RAD/PACT]]&lt;=2020,0,INDEX(UnitCosts[],MATCH(EHD[[#This Row],[WORK TYPE]],UnitCosts[Work Type],0),2)*EHD[[#This Row],['# Hopper Doors]])</f>
        <v>141277.22649999999</v>
      </c>
      <c r="N122" s="63">
        <f t="shared" si="1"/>
        <v>4268059.3689999962</v>
      </c>
    </row>
    <row r="123" spans="1:14" x14ac:dyDescent="0.25">
      <c r="A123" s="1" t="s">
        <v>80</v>
      </c>
      <c r="B123" s="1" t="str">
        <f>VLOOKUP(A123,Data[],2,FALSE)</f>
        <v>MANHATTAN</v>
      </c>
      <c r="C123" s="9" t="s">
        <v>27</v>
      </c>
      <c r="D123" s="9">
        <f>VLOOKUP(EHD[[#This Row],[DEVELOPMENT]],Data[],27,FALSE)</f>
        <v>1</v>
      </c>
      <c r="E123" s="1" t="str">
        <f>VLOOKUP(EHD[[#This Row],[DEVELOPMENT]],Data[],8,FALSE)</f>
        <v>Zone 3</v>
      </c>
      <c r="F123" s="1" t="str">
        <f>VLOOKUP(EHD[[#This Row],[DEVELOPMENT]],Data[],9,FALSE)</f>
        <v>$</v>
      </c>
      <c r="G123" s="1">
        <f>IFERROR(VLOOKUP(EHD[[#This Row],[DEVELOPMENT]],Data[],4,FALSE),"")</f>
        <v>2019</v>
      </c>
      <c r="H123" s="1" t="str">
        <f ca="1">IF(EHD[[#This Row],[RAD/PACT]]="","",IF((EHD[[#This Row],[RAD/PACT]]-YEAR(TODAY()))&lt;=5,"Yes",""))</f>
        <v>Yes</v>
      </c>
      <c r="I123" s="1"/>
      <c r="J123" s="1"/>
      <c r="K123" s="1"/>
      <c r="L123" s="1"/>
      <c r="M123" s="63">
        <f>IF(EHD[[#This Row],[RAD/PACT]]&lt;=2020,0,INDEX(UnitCosts[],MATCH(EHD[[#This Row],[WORK TYPE]],UnitCosts[Work Type],0),2)*EHD[[#This Row],['# Hopper Doors]])</f>
        <v>0</v>
      </c>
      <c r="N123" s="63">
        <f t="shared" si="1"/>
        <v>4268059.3689999962</v>
      </c>
    </row>
    <row r="124" spans="1:14" x14ac:dyDescent="0.25">
      <c r="A124" s="1" t="s">
        <v>117</v>
      </c>
      <c r="B124" s="1" t="str">
        <f>VLOOKUP(A124,Data[],2,FALSE)</f>
        <v>MANHATTAN</v>
      </c>
      <c r="C124" s="9" t="s">
        <v>27</v>
      </c>
      <c r="D124" s="9">
        <f>VLOOKUP(EHD[[#This Row],[DEVELOPMENT]],Data[],27,FALSE)</f>
        <v>43</v>
      </c>
      <c r="E124" s="1" t="str">
        <f>VLOOKUP(EHD[[#This Row],[DEVELOPMENT]],Data[],8,FALSE)</f>
        <v>Zone 3</v>
      </c>
      <c r="F124" s="1" t="str">
        <f>VLOOKUP(EHD[[#This Row],[DEVELOPMENT]],Data[],9,FALSE)</f>
        <v>$</v>
      </c>
      <c r="G124" s="1">
        <f>IFERROR(VLOOKUP(EHD[[#This Row],[DEVELOPMENT]],Data[],4,FALSE),"")</f>
        <v>2020</v>
      </c>
      <c r="H124" s="1" t="str">
        <f ca="1">IF(EHD[[#This Row],[RAD/PACT]]="","",IF((EHD[[#This Row],[RAD/PACT]]-YEAR(TODAY()))&lt;=5,"Yes",""))</f>
        <v>Yes</v>
      </c>
      <c r="I124" s="1"/>
      <c r="J124" s="1"/>
      <c r="K124" s="1"/>
      <c r="L124" s="1"/>
      <c r="M124" s="63">
        <f>IF(EHD[[#This Row],[RAD/PACT]]&lt;=2020,0,INDEX(UnitCosts[],MATCH(EHD[[#This Row],[WORK TYPE]],UnitCosts[Work Type],0),2)*EHD[[#This Row],['# Hopper Doors]])</f>
        <v>0</v>
      </c>
      <c r="N124" s="63">
        <f t="shared" si="1"/>
        <v>4268059.3689999962</v>
      </c>
    </row>
    <row r="125" spans="1:14" x14ac:dyDescent="0.25">
      <c r="A125" s="1" t="s">
        <v>84</v>
      </c>
      <c r="B125" s="1" t="str">
        <f>VLOOKUP(A125,Data[],2,FALSE)</f>
        <v>BROOKLYN</v>
      </c>
      <c r="C125" s="9" t="s">
        <v>27</v>
      </c>
      <c r="D125" s="9">
        <f>VLOOKUP(EHD[[#This Row],[DEVELOPMENT]],Data[],27,FALSE)</f>
        <v>35</v>
      </c>
      <c r="E125" s="1" t="str">
        <f>VLOOKUP(EHD[[#This Row],[DEVELOPMENT]],Data[],8,FALSE)</f>
        <v>Zone 3</v>
      </c>
      <c r="F125" s="1" t="str">
        <f>VLOOKUP(EHD[[#This Row],[DEVELOPMENT]],Data[],9,FALSE)</f>
        <v>$</v>
      </c>
      <c r="G125" s="1" t="str">
        <f>IFERROR(VLOOKUP(EHD[[#This Row],[DEVELOPMENT]],Data[],4,FALSE),"")</f>
        <v/>
      </c>
      <c r="H125" s="1" t="str">
        <f ca="1">IF(EHD[[#This Row],[RAD/PACT]]="","",IF((EHD[[#This Row],[RAD/PACT]]-YEAR(TODAY()))&lt;=5,"Yes",""))</f>
        <v/>
      </c>
      <c r="I125" s="1"/>
      <c r="J125" s="1"/>
      <c r="K125" s="1"/>
      <c r="L125" s="1"/>
      <c r="M125" s="63">
        <f>IF(EHD[[#This Row],[RAD/PACT]]&lt;=2020,0,INDEX(UnitCosts[],MATCH(EHD[[#This Row],[WORK TYPE]],UnitCosts[Work Type],0),2)*EHD[[#This Row],['# Hopper Doors]])</f>
        <v>260247.52249999999</v>
      </c>
      <c r="N125" s="63">
        <f t="shared" si="1"/>
        <v>4528306.8914999962</v>
      </c>
    </row>
    <row r="126" spans="1:14" x14ac:dyDescent="0.25">
      <c r="A126" s="1" t="s">
        <v>87</v>
      </c>
      <c r="B126" s="1" t="str">
        <f>VLOOKUP(A126,Data[],2,FALSE)</f>
        <v>MANHATTAN</v>
      </c>
      <c r="C126" s="9" t="s">
        <v>27</v>
      </c>
      <c r="D126" s="9">
        <f>VLOOKUP(EHD[[#This Row],[DEVELOPMENT]],Data[],27,FALSE)</f>
        <v>3</v>
      </c>
      <c r="E126" s="1" t="str">
        <f>VLOOKUP(EHD[[#This Row],[DEVELOPMENT]],Data[],8,FALSE)</f>
        <v>Zone 3</v>
      </c>
      <c r="F126" s="1" t="str">
        <f>VLOOKUP(EHD[[#This Row],[DEVELOPMENT]],Data[],9,FALSE)</f>
        <v>$</v>
      </c>
      <c r="G126" s="1">
        <f>IFERROR(VLOOKUP(EHD[[#This Row],[DEVELOPMENT]],Data[],4,FALSE),"")</f>
        <v>2019</v>
      </c>
      <c r="H126" s="1" t="str">
        <f ca="1">IF(EHD[[#This Row],[RAD/PACT]]="","",IF((EHD[[#This Row],[RAD/PACT]]-YEAR(TODAY()))&lt;=5,"Yes",""))</f>
        <v>Yes</v>
      </c>
      <c r="I126" s="1"/>
      <c r="J126" s="1"/>
      <c r="K126" s="1"/>
      <c r="L126" s="1"/>
      <c r="M126" s="63">
        <f>IF(EHD[[#This Row],[RAD/PACT]]&lt;=2020,0,INDEX(UnitCosts[],MATCH(EHD[[#This Row],[WORK TYPE]],UnitCosts[Work Type],0),2)*EHD[[#This Row],['# Hopper Doors]])</f>
        <v>0</v>
      </c>
      <c r="N126" s="63">
        <f t="shared" si="1"/>
        <v>4528306.8914999962</v>
      </c>
    </row>
    <row r="127" spans="1:14" x14ac:dyDescent="0.25">
      <c r="A127" s="1" t="s">
        <v>88</v>
      </c>
      <c r="B127" s="1" t="str">
        <f>VLOOKUP(A127,Data[],2,FALSE)</f>
        <v>MANHATTAN</v>
      </c>
      <c r="C127" s="9" t="s">
        <v>27</v>
      </c>
      <c r="D127" s="9">
        <f>VLOOKUP(EHD[[#This Row],[DEVELOPMENT]],Data[],27,FALSE)</f>
        <v>2</v>
      </c>
      <c r="E127" s="1" t="str">
        <f>VLOOKUP(EHD[[#This Row],[DEVELOPMENT]],Data[],8,FALSE)</f>
        <v>Zone 3</v>
      </c>
      <c r="F127" s="1" t="str">
        <f>VLOOKUP(EHD[[#This Row],[DEVELOPMENT]],Data[],9,FALSE)</f>
        <v>$</v>
      </c>
      <c r="G127" s="1">
        <f>IFERROR(VLOOKUP(EHD[[#This Row],[DEVELOPMENT]],Data[],4,FALSE),"")</f>
        <v>2019</v>
      </c>
      <c r="H127" s="1" t="str">
        <f ca="1">IF(EHD[[#This Row],[RAD/PACT]]="","",IF((EHD[[#This Row],[RAD/PACT]]-YEAR(TODAY()))&lt;=5,"Yes",""))</f>
        <v>Yes</v>
      </c>
      <c r="I127" s="1"/>
      <c r="J127" s="1"/>
      <c r="K127" s="1"/>
      <c r="L127" s="1"/>
      <c r="M127" s="63">
        <f>IF(EHD[[#This Row],[RAD/PACT]]&lt;=2020,0,INDEX(UnitCosts[],MATCH(EHD[[#This Row],[WORK TYPE]],UnitCosts[Work Type],0),2)*EHD[[#This Row],['# Hopper Doors]])</f>
        <v>0</v>
      </c>
      <c r="N127" s="63">
        <f t="shared" si="1"/>
        <v>4528306.8914999962</v>
      </c>
    </row>
    <row r="128" spans="1:14" x14ac:dyDescent="0.25">
      <c r="A128" s="1" t="s">
        <v>114</v>
      </c>
      <c r="B128" s="1" t="str">
        <f>VLOOKUP(A128,Data[],2,FALSE)</f>
        <v>BRONX</v>
      </c>
      <c r="C128" s="9" t="s">
        <v>27</v>
      </c>
      <c r="D128" s="9">
        <f>VLOOKUP(EHD[[#This Row],[DEVELOPMENT]],Data[],27,FALSE)</f>
        <v>18</v>
      </c>
      <c r="E128" s="1" t="str">
        <f>VLOOKUP(EHD[[#This Row],[DEVELOPMENT]],Data[],8,FALSE)</f>
        <v>Zone 3</v>
      </c>
      <c r="F128" s="1" t="str">
        <f>VLOOKUP(EHD[[#This Row],[DEVELOPMENT]],Data[],9,FALSE)</f>
        <v>$</v>
      </c>
      <c r="G128" s="1" t="str">
        <f>IFERROR(VLOOKUP(EHD[[#This Row],[DEVELOPMENT]],Data[],4,FALSE),"")</f>
        <v/>
      </c>
      <c r="H128" s="1" t="str">
        <f ca="1">IF(EHD[[#This Row],[RAD/PACT]]="","",IF((EHD[[#This Row],[RAD/PACT]]-YEAR(TODAY()))&lt;=5,"Yes",""))</f>
        <v/>
      </c>
      <c r="I128" s="1"/>
      <c r="J128" s="1"/>
      <c r="K128" s="1"/>
      <c r="L128" s="1"/>
      <c r="M128" s="63">
        <f>IF(EHD[[#This Row],[RAD/PACT]]&lt;=2020,0,INDEX(UnitCosts[],MATCH(EHD[[#This Row],[WORK TYPE]],UnitCosts[Work Type],0),2)*EHD[[#This Row],['# Hopper Doors]])</f>
        <v>133841.58300000001</v>
      </c>
      <c r="N128" s="63">
        <f t="shared" si="1"/>
        <v>4662148.4744999958</v>
      </c>
    </row>
    <row r="129" spans="1:14" x14ac:dyDescent="0.25">
      <c r="A129" s="1" t="s">
        <v>94</v>
      </c>
      <c r="B129" s="1" t="str">
        <f>VLOOKUP(A129,Data[],2,FALSE)</f>
        <v>MANHATTAN</v>
      </c>
      <c r="C129" s="9" t="s">
        <v>27</v>
      </c>
      <c r="D129" s="9">
        <f>VLOOKUP(EHD[[#This Row],[DEVELOPMENT]],Data[],27,FALSE)</f>
        <v>1</v>
      </c>
      <c r="E129" s="1" t="str">
        <f>VLOOKUP(EHD[[#This Row],[DEVELOPMENT]],Data[],8,FALSE)</f>
        <v>Zone 3</v>
      </c>
      <c r="F129" s="1" t="str">
        <f>VLOOKUP(EHD[[#This Row],[DEVELOPMENT]],Data[],9,FALSE)</f>
        <v>$</v>
      </c>
      <c r="G129" s="1">
        <f>IFERROR(VLOOKUP(EHD[[#This Row],[DEVELOPMENT]],Data[],4,FALSE),"")</f>
        <v>2019</v>
      </c>
      <c r="H129" s="1" t="str">
        <f ca="1">IF(EHD[[#This Row],[RAD/PACT]]="","",IF((EHD[[#This Row],[RAD/PACT]]-YEAR(TODAY()))&lt;=5,"Yes",""))</f>
        <v>Yes</v>
      </c>
      <c r="I129" s="1"/>
      <c r="J129" s="1"/>
      <c r="K129" s="1"/>
      <c r="L129" s="1"/>
      <c r="M129" s="63">
        <f>IF(EHD[[#This Row],[RAD/PACT]]&lt;=2020,0,INDEX(UnitCosts[],MATCH(EHD[[#This Row],[WORK TYPE]],UnitCosts[Work Type],0),2)*EHD[[#This Row],['# Hopper Doors]])</f>
        <v>0</v>
      </c>
      <c r="N129" s="63">
        <f t="shared" si="1"/>
        <v>4662148.4744999958</v>
      </c>
    </row>
    <row r="130" spans="1:14" x14ac:dyDescent="0.25">
      <c r="A130" s="1" t="s">
        <v>134</v>
      </c>
      <c r="B130" s="1" t="str">
        <f>VLOOKUP(A130,Data[],2,FALSE)</f>
        <v>QUEENS</v>
      </c>
      <c r="C130" s="9" t="s">
        <v>27</v>
      </c>
      <c r="D130" s="9">
        <f>VLOOKUP(EHD[[#This Row],[DEVELOPMENT]],Data[],27,FALSE)</f>
        <v>47</v>
      </c>
      <c r="E130" s="1" t="str">
        <f>VLOOKUP(EHD[[#This Row],[DEVELOPMENT]],Data[],8,FALSE)</f>
        <v>Zone 3</v>
      </c>
      <c r="F130" s="1" t="str">
        <f>VLOOKUP(EHD[[#This Row],[DEVELOPMENT]],Data[],9,FALSE)</f>
        <v>$</v>
      </c>
      <c r="G130" s="1" t="str">
        <f>IFERROR(VLOOKUP(EHD[[#This Row],[DEVELOPMENT]],Data[],4,FALSE),"")</f>
        <v/>
      </c>
      <c r="H130" s="1" t="str">
        <f ca="1">IF(EHD[[#This Row],[RAD/PACT]]="","",IF((EHD[[#This Row],[RAD/PACT]]-YEAR(TODAY()))&lt;=5,"Yes",""))</f>
        <v/>
      </c>
      <c r="I130" s="1"/>
      <c r="J130" s="1"/>
      <c r="K130" s="1"/>
      <c r="L130" s="1"/>
      <c r="M130" s="63">
        <f>IF(EHD[[#This Row],[RAD/PACT]]&lt;=2020,0,INDEX(UnitCosts[],MATCH(EHD[[#This Row],[WORK TYPE]],UnitCosts[Work Type],0),2)*EHD[[#This Row],['# Hopper Doors]])</f>
        <v>349475.24450000003</v>
      </c>
      <c r="N130" s="63">
        <f t="shared" si="1"/>
        <v>5011623.7189999959</v>
      </c>
    </row>
    <row r="131" spans="1:14" x14ac:dyDescent="0.25">
      <c r="A131" s="1" t="s">
        <v>135</v>
      </c>
      <c r="B131" s="1" t="str">
        <f>VLOOKUP(A131,Data[],2,FALSE)</f>
        <v>QUEENS</v>
      </c>
      <c r="C131" s="9" t="s">
        <v>27</v>
      </c>
      <c r="D131" s="9">
        <f>VLOOKUP(EHD[[#This Row],[DEVELOPMENT]],Data[],27,FALSE)</f>
        <v>49</v>
      </c>
      <c r="E131" s="1" t="str">
        <f>VLOOKUP(EHD[[#This Row],[DEVELOPMENT]],Data[],8,FALSE)</f>
        <v>Zone 3</v>
      </c>
      <c r="F131" s="1" t="str">
        <f>VLOOKUP(EHD[[#This Row],[DEVELOPMENT]],Data[],9,FALSE)</f>
        <v>$</v>
      </c>
      <c r="G131" s="1" t="str">
        <f>IFERROR(VLOOKUP(EHD[[#This Row],[DEVELOPMENT]],Data[],4,FALSE),"")</f>
        <v/>
      </c>
      <c r="H131" s="1" t="str">
        <f ca="1">IF(EHD[[#This Row],[RAD/PACT]]="","",IF((EHD[[#This Row],[RAD/PACT]]-YEAR(TODAY()))&lt;=5,"Yes",""))</f>
        <v/>
      </c>
      <c r="I131" s="1"/>
      <c r="J131" s="1"/>
      <c r="K131" s="1"/>
      <c r="L131" s="1"/>
      <c r="M131" s="63">
        <f>IF(EHD[[#This Row],[RAD/PACT]]&lt;=2020,0,INDEX(UnitCosts[],MATCH(EHD[[#This Row],[WORK TYPE]],UnitCosts[Work Type],0),2)*EHD[[#This Row],['# Hopper Doors]])</f>
        <v>364346.53149999998</v>
      </c>
      <c r="N131" s="63">
        <f t="shared" si="1"/>
        <v>5375970.2504999954</v>
      </c>
    </row>
    <row r="132" spans="1:14" x14ac:dyDescent="0.25">
      <c r="A132" s="1" t="s">
        <v>123</v>
      </c>
      <c r="B132" s="1" t="str">
        <f>VLOOKUP(A132,Data[],2,FALSE)</f>
        <v>BRONX</v>
      </c>
      <c r="C132" s="9" t="s">
        <v>27</v>
      </c>
      <c r="D132" s="9">
        <f>VLOOKUP(EHD[[#This Row],[DEVELOPMENT]],Data[],27,FALSE)</f>
        <v>6</v>
      </c>
      <c r="E132" s="1" t="str">
        <f>VLOOKUP(EHD[[#This Row],[DEVELOPMENT]],Data[],8,FALSE)</f>
        <v>Zone 3</v>
      </c>
      <c r="F132" s="1" t="str">
        <f>VLOOKUP(EHD[[#This Row],[DEVELOPMENT]],Data[],9,FALSE)</f>
        <v>$</v>
      </c>
      <c r="G132" s="1" t="str">
        <f>IFERROR(VLOOKUP(EHD[[#This Row],[DEVELOPMENT]],Data[],4,FALSE),"")</f>
        <v/>
      </c>
      <c r="H132" s="1" t="str">
        <f ca="1">IF(EHD[[#This Row],[RAD/PACT]]="","",IF((EHD[[#This Row],[RAD/PACT]]-YEAR(TODAY()))&lt;=5,"Yes",""))</f>
        <v/>
      </c>
      <c r="I132" s="1"/>
      <c r="J132" s="1"/>
      <c r="K132" s="1"/>
      <c r="L132" s="1"/>
      <c r="M132" s="63">
        <f>IF(EHD[[#This Row],[RAD/PACT]]&lt;=2020,0,INDEX(UnitCosts[],MATCH(EHD[[#This Row],[WORK TYPE]],UnitCosts[Work Type],0),2)*EHD[[#This Row],['# Hopper Doors]])</f>
        <v>44613.861000000004</v>
      </c>
      <c r="N132" s="63">
        <f t="shared" ref="N132:N195" si="2">IF(I132=I131,(M132+L132)+N131,(M132+L132))</f>
        <v>5420584.111499995</v>
      </c>
    </row>
    <row r="133" spans="1:14" x14ac:dyDescent="0.25">
      <c r="A133" s="1" t="s">
        <v>99</v>
      </c>
      <c r="B133" s="1" t="str">
        <f>VLOOKUP(A133,Data[],2,FALSE)</f>
        <v>BRONX</v>
      </c>
      <c r="C133" s="9" t="s">
        <v>27</v>
      </c>
      <c r="D133" s="9">
        <f>VLOOKUP(EHD[[#This Row],[DEVELOPMENT]],Data[],27,FALSE)</f>
        <v>0</v>
      </c>
      <c r="E133" s="1" t="str">
        <f>VLOOKUP(EHD[[#This Row],[DEVELOPMENT]],Data[],8,FALSE)</f>
        <v>Zone 3</v>
      </c>
      <c r="F133" s="1" t="str">
        <f>VLOOKUP(EHD[[#This Row],[DEVELOPMENT]],Data[],9,FALSE)</f>
        <v>$</v>
      </c>
      <c r="G133" s="1">
        <f>IFERROR(VLOOKUP(EHD[[#This Row],[DEVELOPMENT]],Data[],4,FALSE),"")</f>
        <v>2026</v>
      </c>
      <c r="H133" s="1" t="str">
        <f ca="1">IF(EHD[[#This Row],[RAD/PACT]]="","",IF((EHD[[#This Row],[RAD/PACT]]-YEAR(TODAY()))&lt;=5,"Yes",""))</f>
        <v/>
      </c>
      <c r="I133" s="1"/>
      <c r="J133" s="1"/>
      <c r="K133" s="1"/>
      <c r="L133" s="1"/>
      <c r="M133" s="63">
        <f>IF(EHD[[#This Row],[RAD/PACT]]&lt;=2020,0,INDEX(UnitCosts[],MATCH(EHD[[#This Row],[WORK TYPE]],UnitCosts[Work Type],0),2)*EHD[[#This Row],['# Hopper Doors]])</f>
        <v>0</v>
      </c>
      <c r="N133" s="63">
        <f t="shared" si="2"/>
        <v>5420584.111499995</v>
      </c>
    </row>
    <row r="134" spans="1:14" x14ac:dyDescent="0.25">
      <c r="A134" s="1" t="s">
        <v>101</v>
      </c>
      <c r="B134" s="1" t="str">
        <f>VLOOKUP(A134,Data[],2,FALSE)</f>
        <v>MANHATTAN</v>
      </c>
      <c r="C134" s="9" t="s">
        <v>27</v>
      </c>
      <c r="D134" s="9">
        <f>VLOOKUP(EHD[[#This Row],[DEVELOPMENT]],Data[],27,FALSE)</f>
        <v>0</v>
      </c>
      <c r="E134" s="1" t="str">
        <f>VLOOKUP(EHD[[#This Row],[DEVELOPMENT]],Data[],8,FALSE)</f>
        <v>Zone 3</v>
      </c>
      <c r="F134" s="1" t="str">
        <f>VLOOKUP(EHD[[#This Row],[DEVELOPMENT]],Data[],9,FALSE)</f>
        <v>$</v>
      </c>
      <c r="G134" s="1">
        <f>IFERROR(VLOOKUP(EHD[[#This Row],[DEVELOPMENT]],Data[],4,FALSE),"")</f>
        <v>2019</v>
      </c>
      <c r="H134" s="1" t="str">
        <f ca="1">IF(EHD[[#This Row],[RAD/PACT]]="","",IF((EHD[[#This Row],[RAD/PACT]]-YEAR(TODAY()))&lt;=5,"Yes",""))</f>
        <v>Yes</v>
      </c>
      <c r="I134" s="1"/>
      <c r="J134" s="1"/>
      <c r="K134" s="1"/>
      <c r="L134" s="1"/>
      <c r="M134" s="63">
        <f>IF(EHD[[#This Row],[RAD/PACT]]&lt;=2020,0,INDEX(UnitCosts[],MATCH(EHD[[#This Row],[WORK TYPE]],UnitCosts[Work Type],0),2)*EHD[[#This Row],['# Hopper Doors]])</f>
        <v>0</v>
      </c>
      <c r="N134" s="63">
        <f t="shared" si="2"/>
        <v>5420584.111499995</v>
      </c>
    </row>
    <row r="135" spans="1:14" x14ac:dyDescent="0.25">
      <c r="A135" s="1" t="s">
        <v>158</v>
      </c>
      <c r="B135" s="1" t="str">
        <f>VLOOKUP(A135,Data[],2,FALSE)</f>
        <v>BRONX</v>
      </c>
      <c r="C135" s="9" t="s">
        <v>27</v>
      </c>
      <c r="D135" s="9">
        <f>VLOOKUP(EHD[[#This Row],[DEVELOPMENT]],Data[],27,FALSE)</f>
        <v>1</v>
      </c>
      <c r="E135" s="9">
        <f>VLOOKUP(EHD[[#This Row],[DEVELOPMENT]],Data[],8,FALSE)</f>
        <v>0</v>
      </c>
      <c r="F135" s="9">
        <f>VLOOKUP(EHD[[#This Row],[DEVELOPMENT]],Data[],9,FALSE)</f>
        <v>0</v>
      </c>
      <c r="G135" s="1" t="str">
        <f>IFERROR(VLOOKUP(EHD[[#This Row],[DEVELOPMENT]],Data[],4,FALSE),"")</f>
        <v/>
      </c>
      <c r="H135" s="1" t="str">
        <f ca="1">IF(EHD[[#This Row],[RAD/PACT]]="","",IF((EHD[[#This Row],[RAD/PACT]]-YEAR(TODAY()))&lt;=5,"Yes",""))</f>
        <v/>
      </c>
      <c r="I135" s="1"/>
      <c r="J135" s="1"/>
      <c r="K135" s="1"/>
      <c r="L135" s="1"/>
      <c r="M135" s="63">
        <f>IF(EHD[[#This Row],[RAD/PACT]]&lt;=2020,0,INDEX(UnitCosts[],MATCH(EHD[[#This Row],[WORK TYPE]],UnitCosts[Work Type],0),2)*EHD[[#This Row],['# Hopper Doors]])</f>
        <v>7435.6435000000001</v>
      </c>
      <c r="N135" s="3">
        <f t="shared" si="2"/>
        <v>5428019.7549999952</v>
      </c>
    </row>
    <row r="136" spans="1:14" x14ac:dyDescent="0.25">
      <c r="A136" s="1" t="s">
        <v>159</v>
      </c>
      <c r="B136" s="1" t="str">
        <f>VLOOKUP(A136,Data[],2,FALSE)</f>
        <v>BROOKLYN</v>
      </c>
      <c r="C136" s="9" t="s">
        <v>27</v>
      </c>
      <c r="D136" s="9">
        <f>VLOOKUP(EHD[[#This Row],[DEVELOPMENT]],Data[],27,FALSE)</f>
        <v>2</v>
      </c>
      <c r="E136" s="1">
        <f>VLOOKUP(EHD[[#This Row],[DEVELOPMENT]],Data[],8,FALSE)</f>
        <v>0</v>
      </c>
      <c r="F136" s="1">
        <f>VLOOKUP(EHD[[#This Row],[DEVELOPMENT]],Data[],9,FALSE)</f>
        <v>0</v>
      </c>
      <c r="G136" s="1">
        <f>IFERROR(VLOOKUP(EHD[[#This Row],[DEVELOPMENT]],Data[],4,FALSE),"")</f>
        <v>2021</v>
      </c>
      <c r="H136" s="1" t="str">
        <f ca="1">IF(EHD[[#This Row],[RAD/PACT]]="","",IF((EHD[[#This Row],[RAD/PACT]]-YEAR(TODAY()))&lt;=5,"Yes",""))</f>
        <v>Yes</v>
      </c>
      <c r="I136" s="1"/>
      <c r="J136" s="1"/>
      <c r="K136" s="1"/>
      <c r="L136" s="1"/>
      <c r="M136" s="63">
        <f>IF(EHD[[#This Row],[RAD/PACT]]&lt;=2020,0,INDEX(UnitCosts[],MATCH(EHD[[#This Row],[WORK TYPE]],UnitCosts[Work Type],0),2)*EHD[[#This Row],['# Hopper Doors]])</f>
        <v>14871.287</v>
      </c>
      <c r="N136" s="63">
        <f t="shared" si="2"/>
        <v>5442891.0419999948</v>
      </c>
    </row>
    <row r="137" spans="1:14" x14ac:dyDescent="0.25">
      <c r="A137" s="1" t="s">
        <v>160</v>
      </c>
      <c r="B137" s="1" t="str">
        <f>VLOOKUP(A137,Data[],2,FALSE)</f>
        <v>BRONX</v>
      </c>
      <c r="C137" s="9" t="s">
        <v>27</v>
      </c>
      <c r="D137" s="9">
        <f>VLOOKUP(EHD[[#This Row],[DEVELOPMENT]],Data[],27,FALSE)</f>
        <v>1</v>
      </c>
      <c r="E137" s="1">
        <f>VLOOKUP(EHD[[#This Row],[DEVELOPMENT]],Data[],8,FALSE)</f>
        <v>0</v>
      </c>
      <c r="F137" s="1">
        <f>VLOOKUP(EHD[[#This Row],[DEVELOPMENT]],Data[],9,FALSE)</f>
        <v>0</v>
      </c>
      <c r="G137" s="1">
        <f>IFERROR(VLOOKUP(EHD[[#This Row],[DEVELOPMENT]],Data[],4,FALSE),"")</f>
        <v>2025</v>
      </c>
      <c r="H137" s="1" t="str">
        <f ca="1">IF(EHD[[#This Row],[RAD/PACT]]="","",IF((EHD[[#This Row],[RAD/PACT]]-YEAR(TODAY()))&lt;=5,"Yes",""))</f>
        <v/>
      </c>
      <c r="I137" s="1"/>
      <c r="J137" s="1"/>
      <c r="K137" s="1"/>
      <c r="L137" s="1"/>
      <c r="M137" s="63">
        <f>IF(EHD[[#This Row],[RAD/PACT]]&lt;=2020,0,INDEX(UnitCosts[],MATCH(EHD[[#This Row],[WORK TYPE]],UnitCosts[Work Type],0),2)*EHD[[#This Row],['# Hopper Doors]])</f>
        <v>7435.6435000000001</v>
      </c>
      <c r="N137" s="63">
        <f t="shared" si="2"/>
        <v>5450326.685499995</v>
      </c>
    </row>
    <row r="138" spans="1:14" x14ac:dyDescent="0.25">
      <c r="A138" s="1" t="s">
        <v>161</v>
      </c>
      <c r="B138" s="1" t="str">
        <f>VLOOKUP(A138,Data[],2,FALSE)</f>
        <v>BRONX</v>
      </c>
      <c r="C138" s="9" t="s">
        <v>27</v>
      </c>
      <c r="D138" s="9">
        <f>VLOOKUP(EHD[[#This Row],[DEVELOPMENT]],Data[],27,FALSE)</f>
        <v>2</v>
      </c>
      <c r="E138" s="1">
        <f>VLOOKUP(EHD[[#This Row],[DEVELOPMENT]],Data[],8,FALSE)</f>
        <v>0</v>
      </c>
      <c r="F138" s="1">
        <f>VLOOKUP(EHD[[#This Row],[DEVELOPMENT]],Data[],9,FALSE)</f>
        <v>0</v>
      </c>
      <c r="G138" s="1">
        <f>IFERROR(VLOOKUP(EHD[[#This Row],[DEVELOPMENT]],Data[],4,FALSE),"")</f>
        <v>2021</v>
      </c>
      <c r="H138" s="1" t="str">
        <f ca="1">IF(EHD[[#This Row],[RAD/PACT]]="","",IF((EHD[[#This Row],[RAD/PACT]]-YEAR(TODAY()))&lt;=5,"Yes",""))</f>
        <v>Yes</v>
      </c>
      <c r="I138" s="1"/>
      <c r="J138" s="1"/>
      <c r="K138" s="1"/>
      <c r="L138" s="1"/>
      <c r="M138" s="63">
        <f>IF(EHD[[#This Row],[RAD/PACT]]&lt;=2020,0,INDEX(UnitCosts[],MATCH(EHD[[#This Row],[WORK TYPE]],UnitCosts[Work Type],0),2)*EHD[[#This Row],['# Hopper Doors]])</f>
        <v>14871.287</v>
      </c>
      <c r="N138" s="63">
        <f t="shared" si="2"/>
        <v>5465197.9724999946</v>
      </c>
    </row>
    <row r="139" spans="1:14" x14ac:dyDescent="0.25">
      <c r="A139" s="1" t="s">
        <v>162</v>
      </c>
      <c r="B139" s="1" t="str">
        <f>VLOOKUP(A139,Data[],2,FALSE)</f>
        <v>MANHATTAN</v>
      </c>
      <c r="C139" s="9" t="s">
        <v>27</v>
      </c>
      <c r="D139" s="9">
        <f>VLOOKUP(EHD[[#This Row],[DEVELOPMENT]],Data[],27,FALSE)</f>
        <v>1</v>
      </c>
      <c r="E139" s="1">
        <f>VLOOKUP(EHD[[#This Row],[DEVELOPMENT]],Data[],8,FALSE)</f>
        <v>0</v>
      </c>
      <c r="F139" s="1">
        <f>VLOOKUP(EHD[[#This Row],[DEVELOPMENT]],Data[],9,FALSE)</f>
        <v>0</v>
      </c>
      <c r="G139" s="1" t="str">
        <f>IFERROR(VLOOKUP(EHD[[#This Row],[DEVELOPMENT]],Data[],4,FALSE),"")</f>
        <v/>
      </c>
      <c r="H139" s="1" t="str">
        <f ca="1">IF(EHD[[#This Row],[RAD/PACT]]="","",IF((EHD[[#This Row],[RAD/PACT]]-YEAR(TODAY()))&lt;=5,"Yes",""))</f>
        <v/>
      </c>
      <c r="I139" s="1"/>
      <c r="J139" s="1"/>
      <c r="K139" s="1"/>
      <c r="L139" s="1"/>
      <c r="M139" s="63">
        <f>IF(EHD[[#This Row],[RAD/PACT]]&lt;=2020,0,INDEX(UnitCosts[],MATCH(EHD[[#This Row],[WORK TYPE]],UnitCosts[Work Type],0),2)*EHD[[#This Row],['# Hopper Doors]])</f>
        <v>7435.6435000000001</v>
      </c>
      <c r="N139" s="63">
        <f t="shared" si="2"/>
        <v>5472633.6159999948</v>
      </c>
    </row>
    <row r="140" spans="1:14" x14ac:dyDescent="0.25">
      <c r="A140" s="1" t="s">
        <v>163</v>
      </c>
      <c r="B140" s="1" t="str">
        <f>VLOOKUP(A140,Data[],2,FALSE)</f>
        <v>MANHATTAN</v>
      </c>
      <c r="C140" s="9" t="s">
        <v>27</v>
      </c>
      <c r="D140" s="9">
        <f>VLOOKUP(EHD[[#This Row],[DEVELOPMENT]],Data[],27,FALSE)</f>
        <v>1</v>
      </c>
      <c r="E140" s="1">
        <f>VLOOKUP(EHD[[#This Row],[DEVELOPMENT]],Data[],8,FALSE)</f>
        <v>0</v>
      </c>
      <c r="F140" s="1">
        <f>VLOOKUP(EHD[[#This Row],[DEVELOPMENT]],Data[],9,FALSE)</f>
        <v>0</v>
      </c>
      <c r="G140" s="1" t="str">
        <f>IFERROR(VLOOKUP(EHD[[#This Row],[DEVELOPMENT]],Data[],4,FALSE),"")</f>
        <v/>
      </c>
      <c r="H140" s="1" t="str">
        <f ca="1">IF(EHD[[#This Row],[RAD/PACT]]="","",IF((EHD[[#This Row],[RAD/PACT]]-YEAR(TODAY()))&lt;=5,"Yes",""))</f>
        <v/>
      </c>
      <c r="I140" s="1"/>
      <c r="J140" s="1"/>
      <c r="K140" s="1"/>
      <c r="L140" s="1"/>
      <c r="M140" s="63">
        <f>IF(EHD[[#This Row],[RAD/PACT]]&lt;=2020,0,INDEX(UnitCosts[],MATCH(EHD[[#This Row],[WORK TYPE]],UnitCosts[Work Type],0),2)*EHD[[#This Row],['# Hopper Doors]])</f>
        <v>7435.6435000000001</v>
      </c>
      <c r="N140" s="63">
        <f t="shared" si="2"/>
        <v>5480069.259499995</v>
      </c>
    </row>
    <row r="141" spans="1:14" x14ac:dyDescent="0.25">
      <c r="A141" s="1" t="s">
        <v>164</v>
      </c>
      <c r="B141" s="1" t="str">
        <f>VLOOKUP(A141,Data[],2,FALSE)</f>
        <v>BROOKLYN</v>
      </c>
      <c r="C141" s="9" t="s">
        <v>27</v>
      </c>
      <c r="D141" s="9">
        <f>VLOOKUP(EHD[[#This Row],[DEVELOPMENT]],Data[],27,FALSE)</f>
        <v>2</v>
      </c>
      <c r="E141" s="1">
        <f>VLOOKUP(EHD[[#This Row],[DEVELOPMENT]],Data[],8,FALSE)</f>
        <v>0</v>
      </c>
      <c r="F141" s="1">
        <f>VLOOKUP(EHD[[#This Row],[DEVELOPMENT]],Data[],9,FALSE)</f>
        <v>0</v>
      </c>
      <c r="G141" s="1" t="str">
        <f>IFERROR(VLOOKUP(EHD[[#This Row],[DEVELOPMENT]],Data[],4,FALSE),"")</f>
        <v/>
      </c>
      <c r="H141" s="1" t="str">
        <f ca="1">IF(EHD[[#This Row],[RAD/PACT]]="","",IF((EHD[[#This Row],[RAD/PACT]]-YEAR(TODAY()))&lt;=5,"Yes",""))</f>
        <v/>
      </c>
      <c r="I141" s="1"/>
      <c r="J141" s="1"/>
      <c r="K141" s="1"/>
      <c r="L141" s="1"/>
      <c r="M141" s="63">
        <f>IF(EHD[[#This Row],[RAD/PACT]]&lt;=2020,0,INDEX(UnitCosts[],MATCH(EHD[[#This Row],[WORK TYPE]],UnitCosts[Work Type],0),2)*EHD[[#This Row],['# Hopper Doors]])</f>
        <v>14871.287</v>
      </c>
      <c r="N141" s="63">
        <f t="shared" si="2"/>
        <v>5494940.5464999946</v>
      </c>
    </row>
    <row r="142" spans="1:14" x14ac:dyDescent="0.25">
      <c r="A142" s="1" t="s">
        <v>165</v>
      </c>
      <c r="B142" s="1" t="str">
        <f>VLOOKUP(A142,Data[],2,FALSE)</f>
        <v>MANHATTAN</v>
      </c>
      <c r="C142" s="9" t="s">
        <v>27</v>
      </c>
      <c r="D142" s="9">
        <f>VLOOKUP(EHD[[#This Row],[DEVELOPMENT]],Data[],27,FALSE)</f>
        <v>2</v>
      </c>
      <c r="E142" s="1">
        <f>VLOOKUP(EHD[[#This Row],[DEVELOPMENT]],Data[],8,FALSE)</f>
        <v>0</v>
      </c>
      <c r="F142" s="1">
        <f>VLOOKUP(EHD[[#This Row],[DEVELOPMENT]],Data[],9,FALSE)</f>
        <v>0</v>
      </c>
      <c r="G142" s="1" t="str">
        <f>IFERROR(VLOOKUP(EHD[[#This Row],[DEVELOPMENT]],Data[],4,FALSE),"")</f>
        <v/>
      </c>
      <c r="H142" s="1" t="str">
        <f ca="1">IF(EHD[[#This Row],[RAD/PACT]]="","",IF((EHD[[#This Row],[RAD/PACT]]-YEAR(TODAY()))&lt;=5,"Yes",""))</f>
        <v/>
      </c>
      <c r="I142" s="1"/>
      <c r="J142" s="1"/>
      <c r="K142" s="1"/>
      <c r="L142" s="1"/>
      <c r="M142" s="63">
        <f>IF(EHD[[#This Row],[RAD/PACT]]&lt;=2020,0,INDEX(UnitCosts[],MATCH(EHD[[#This Row],[WORK TYPE]],UnitCosts[Work Type],0),2)*EHD[[#This Row],['# Hopper Doors]])</f>
        <v>14871.287</v>
      </c>
      <c r="N142" s="63">
        <f t="shared" si="2"/>
        <v>5509811.8334999941</v>
      </c>
    </row>
    <row r="143" spans="1:14" x14ac:dyDescent="0.25">
      <c r="A143" s="1" t="s">
        <v>166</v>
      </c>
      <c r="B143" s="1" t="str">
        <f>VLOOKUP(A143,Data[],2,FALSE)</f>
        <v>BRONX</v>
      </c>
      <c r="C143" s="9" t="s">
        <v>27</v>
      </c>
      <c r="D143" s="9">
        <f>VLOOKUP(EHD[[#This Row],[DEVELOPMENT]],Data[],27,FALSE)</f>
        <v>7</v>
      </c>
      <c r="E143" s="1">
        <f>VLOOKUP(EHD[[#This Row],[DEVELOPMENT]],Data[],8,FALSE)</f>
        <v>0</v>
      </c>
      <c r="F143" s="1">
        <f>VLOOKUP(EHD[[#This Row],[DEVELOPMENT]],Data[],9,FALSE)</f>
        <v>0</v>
      </c>
      <c r="G143" s="1" t="str">
        <f>IFERROR(VLOOKUP(EHD[[#This Row],[DEVELOPMENT]],Data[],4,FALSE),"")</f>
        <v/>
      </c>
      <c r="H143" s="1" t="str">
        <f ca="1">IF(EHD[[#This Row],[RAD/PACT]]="","",IF((EHD[[#This Row],[RAD/PACT]]-YEAR(TODAY()))&lt;=5,"Yes",""))</f>
        <v/>
      </c>
      <c r="I143" s="1"/>
      <c r="J143" s="1"/>
      <c r="K143" s="1"/>
      <c r="L143" s="1"/>
      <c r="M143" s="63">
        <f>IF(EHD[[#This Row],[RAD/PACT]]&lt;=2020,0,INDEX(UnitCosts[],MATCH(EHD[[#This Row],[WORK TYPE]],UnitCosts[Work Type],0),2)*EHD[[#This Row],['# Hopper Doors]])</f>
        <v>52049.504500000003</v>
      </c>
      <c r="N143" s="63">
        <f t="shared" si="2"/>
        <v>5561861.3379999939</v>
      </c>
    </row>
    <row r="144" spans="1:14" x14ac:dyDescent="0.25">
      <c r="A144" s="1" t="s">
        <v>167</v>
      </c>
      <c r="B144" s="1" t="str">
        <f>VLOOKUP(A144,Data[],2,FALSE)</f>
        <v>BROOKLYN</v>
      </c>
      <c r="C144" s="9" t="s">
        <v>27</v>
      </c>
      <c r="D144" s="9">
        <f>VLOOKUP(EHD[[#This Row],[DEVELOPMENT]],Data[],27,FALSE)</f>
        <v>6</v>
      </c>
      <c r="E144" s="1">
        <f>VLOOKUP(EHD[[#This Row],[DEVELOPMENT]],Data[],8,FALSE)</f>
        <v>0</v>
      </c>
      <c r="F144" s="1">
        <f>VLOOKUP(EHD[[#This Row],[DEVELOPMENT]],Data[],9,FALSE)</f>
        <v>0</v>
      </c>
      <c r="G144" s="1">
        <f>IFERROR(VLOOKUP(EHD[[#This Row],[DEVELOPMENT]],Data[],4,FALSE),"")</f>
        <v>2025</v>
      </c>
      <c r="H144" s="1" t="str">
        <f ca="1">IF(EHD[[#This Row],[RAD/PACT]]="","",IF((EHD[[#This Row],[RAD/PACT]]-YEAR(TODAY()))&lt;=5,"Yes",""))</f>
        <v/>
      </c>
      <c r="I144" s="1"/>
      <c r="J144" s="1"/>
      <c r="K144" s="1"/>
      <c r="L144" s="1"/>
      <c r="M144" s="63">
        <f>IF(EHD[[#This Row],[RAD/PACT]]&lt;=2020,0,INDEX(UnitCosts[],MATCH(EHD[[#This Row],[WORK TYPE]],UnitCosts[Work Type],0),2)*EHD[[#This Row],['# Hopper Doors]])</f>
        <v>44613.861000000004</v>
      </c>
      <c r="N144" s="63">
        <f t="shared" si="2"/>
        <v>5606475.1989999935</v>
      </c>
    </row>
    <row r="145" spans="1:14" x14ac:dyDescent="0.25">
      <c r="A145" s="1" t="s">
        <v>168</v>
      </c>
      <c r="B145" s="1" t="str">
        <f>VLOOKUP(A145,Data[],2,FALSE)</f>
        <v>BROOKLYN</v>
      </c>
      <c r="C145" s="9" t="s">
        <v>27</v>
      </c>
      <c r="D145" s="9">
        <f>VLOOKUP(EHD[[#This Row],[DEVELOPMENT]],Data[],27,FALSE)</f>
        <v>3</v>
      </c>
      <c r="E145" s="1">
        <f>VLOOKUP(EHD[[#This Row],[DEVELOPMENT]],Data[],8,FALSE)</f>
        <v>0</v>
      </c>
      <c r="F145" s="1">
        <f>VLOOKUP(EHD[[#This Row],[DEVELOPMENT]],Data[],9,FALSE)</f>
        <v>0</v>
      </c>
      <c r="G145" s="1">
        <f>IFERROR(VLOOKUP(EHD[[#This Row],[DEVELOPMENT]],Data[],4,FALSE),"")</f>
        <v>2025</v>
      </c>
      <c r="H145" s="1" t="str">
        <f ca="1">IF(EHD[[#This Row],[RAD/PACT]]="","",IF((EHD[[#This Row],[RAD/PACT]]-YEAR(TODAY()))&lt;=5,"Yes",""))</f>
        <v/>
      </c>
      <c r="I145" s="1"/>
      <c r="J145" s="1"/>
      <c r="K145" s="1"/>
      <c r="L145" s="1"/>
      <c r="M145" s="63">
        <f>IF(EHD[[#This Row],[RAD/PACT]]&lt;=2020,0,INDEX(UnitCosts[],MATCH(EHD[[#This Row],[WORK TYPE]],UnitCosts[Work Type],0),2)*EHD[[#This Row],['# Hopper Doors]])</f>
        <v>22306.930500000002</v>
      </c>
      <c r="N145" s="63">
        <f t="shared" si="2"/>
        <v>5628782.1294999933</v>
      </c>
    </row>
    <row r="146" spans="1:14" x14ac:dyDescent="0.25">
      <c r="A146" s="1" t="s">
        <v>170</v>
      </c>
      <c r="B146" s="1" t="str">
        <f>VLOOKUP(A146,Data[],2,FALSE)</f>
        <v>MANHATTAN</v>
      </c>
      <c r="C146" s="9" t="s">
        <v>27</v>
      </c>
      <c r="D146" s="9">
        <f>VLOOKUP(EHD[[#This Row],[DEVELOPMENT]],Data[],27,FALSE)</f>
        <v>2</v>
      </c>
      <c r="E146" s="1">
        <f>VLOOKUP(EHD[[#This Row],[DEVELOPMENT]],Data[],8,FALSE)</f>
        <v>0</v>
      </c>
      <c r="F146" s="1">
        <f>VLOOKUP(EHD[[#This Row],[DEVELOPMENT]],Data[],9,FALSE)</f>
        <v>0</v>
      </c>
      <c r="G146" s="1" t="str">
        <f>IFERROR(VLOOKUP(EHD[[#This Row],[DEVELOPMENT]],Data[],4,FALSE),"")</f>
        <v/>
      </c>
      <c r="H146" s="1" t="str">
        <f ca="1">IF(EHD[[#This Row],[RAD/PACT]]="","",IF((EHD[[#This Row],[RAD/PACT]]-YEAR(TODAY()))&lt;=5,"Yes",""))</f>
        <v/>
      </c>
      <c r="I146" s="1"/>
      <c r="J146" s="1"/>
      <c r="K146" s="1"/>
      <c r="L146" s="1"/>
      <c r="M146" s="63">
        <f>IF(EHD[[#This Row],[RAD/PACT]]&lt;=2020,0,INDEX(UnitCosts[],MATCH(EHD[[#This Row],[WORK TYPE]],UnitCosts[Work Type],0),2)*EHD[[#This Row],['# Hopper Doors]])</f>
        <v>14871.287</v>
      </c>
      <c r="N146" s="63">
        <f t="shared" si="2"/>
        <v>5643653.4164999928</v>
      </c>
    </row>
    <row r="147" spans="1:14" x14ac:dyDescent="0.25">
      <c r="A147" s="1" t="s">
        <v>173</v>
      </c>
      <c r="B147" s="1" t="str">
        <f>VLOOKUP(A147,Data[],2,FALSE)</f>
        <v>QUEENS</v>
      </c>
      <c r="C147" s="9" t="s">
        <v>27</v>
      </c>
      <c r="D147" s="9">
        <f>VLOOKUP(EHD[[#This Row],[DEVELOPMENT]],Data[],27,FALSE)</f>
        <v>22</v>
      </c>
      <c r="E147" s="1">
        <f>VLOOKUP(EHD[[#This Row],[DEVELOPMENT]],Data[],8,FALSE)</f>
        <v>0</v>
      </c>
      <c r="F147" s="1">
        <f>VLOOKUP(EHD[[#This Row],[DEVELOPMENT]],Data[],9,FALSE)</f>
        <v>0</v>
      </c>
      <c r="G147" s="1">
        <f>IFERROR(VLOOKUP(EHD[[#This Row],[DEVELOPMENT]],Data[],4,FALSE),"")</f>
        <v>2024</v>
      </c>
      <c r="H147" s="1" t="str">
        <f ca="1">IF(EHD[[#This Row],[RAD/PACT]]="","",IF((EHD[[#This Row],[RAD/PACT]]-YEAR(TODAY()))&lt;=5,"Yes",""))</f>
        <v>Yes</v>
      </c>
      <c r="I147" s="1"/>
      <c r="J147" s="1"/>
      <c r="K147" s="1"/>
      <c r="L147" s="1"/>
      <c r="M147" s="63">
        <f>IF(EHD[[#This Row],[RAD/PACT]]&lt;=2020,0,INDEX(UnitCosts[],MATCH(EHD[[#This Row],[WORK TYPE]],UnitCosts[Work Type],0),2)*EHD[[#This Row],['# Hopper Doors]])</f>
        <v>163584.15700000001</v>
      </c>
      <c r="N147" s="63">
        <f t="shared" si="2"/>
        <v>5807237.5734999925</v>
      </c>
    </row>
    <row r="148" spans="1:14" x14ac:dyDescent="0.25">
      <c r="A148" s="1" t="s">
        <v>174</v>
      </c>
      <c r="B148" s="1" t="str">
        <f>VLOOKUP(A148,Data[],2,FALSE)</f>
        <v>BROOKLYN</v>
      </c>
      <c r="C148" s="9" t="s">
        <v>27</v>
      </c>
      <c r="D148" s="9">
        <f>VLOOKUP(EHD[[#This Row],[DEVELOPMENT]],Data[],27,FALSE)</f>
        <v>2</v>
      </c>
      <c r="E148" s="1">
        <f>VLOOKUP(EHD[[#This Row],[DEVELOPMENT]],Data[],8,FALSE)</f>
        <v>0</v>
      </c>
      <c r="F148" s="1">
        <f>VLOOKUP(EHD[[#This Row],[DEVELOPMENT]],Data[],9,FALSE)</f>
        <v>0</v>
      </c>
      <c r="G148" s="1" t="str">
        <f>IFERROR(VLOOKUP(EHD[[#This Row],[DEVELOPMENT]],Data[],4,FALSE),"")</f>
        <v/>
      </c>
      <c r="H148" s="1" t="str">
        <f ca="1">IF(EHD[[#This Row],[RAD/PACT]]="","",IF((EHD[[#This Row],[RAD/PACT]]-YEAR(TODAY()))&lt;=5,"Yes",""))</f>
        <v/>
      </c>
      <c r="I148" s="1"/>
      <c r="J148" s="1"/>
      <c r="K148" s="1"/>
      <c r="L148" s="1"/>
      <c r="M148" s="63">
        <f>IF(EHD[[#This Row],[RAD/PACT]]&lt;=2020,0,INDEX(UnitCosts[],MATCH(EHD[[#This Row],[WORK TYPE]],UnitCosts[Work Type],0),2)*EHD[[#This Row],['# Hopper Doors]])</f>
        <v>14871.287</v>
      </c>
      <c r="N148" s="63">
        <f t="shared" si="2"/>
        <v>5822108.860499992</v>
      </c>
    </row>
    <row r="149" spans="1:14" x14ac:dyDescent="0.25">
      <c r="A149" s="1" t="s">
        <v>175</v>
      </c>
      <c r="B149" s="1" t="str">
        <f>VLOOKUP(A149,Data[],2,FALSE)</f>
        <v>BRONX</v>
      </c>
      <c r="C149" s="9" t="s">
        <v>27</v>
      </c>
      <c r="D149" s="9">
        <f>VLOOKUP(EHD[[#This Row],[DEVELOPMENT]],Data[],27,FALSE)</f>
        <v>1</v>
      </c>
      <c r="E149" s="1">
        <f>VLOOKUP(EHD[[#This Row],[DEVELOPMENT]],Data[],8,FALSE)</f>
        <v>0</v>
      </c>
      <c r="F149" s="1">
        <f>VLOOKUP(EHD[[#This Row],[DEVELOPMENT]],Data[],9,FALSE)</f>
        <v>0</v>
      </c>
      <c r="G149" s="1" t="str">
        <f>IFERROR(VLOOKUP(EHD[[#This Row],[DEVELOPMENT]],Data[],4,FALSE),"")</f>
        <v/>
      </c>
      <c r="H149" s="1" t="str">
        <f ca="1">IF(EHD[[#This Row],[RAD/PACT]]="","",IF((EHD[[#This Row],[RAD/PACT]]-YEAR(TODAY()))&lt;=5,"Yes",""))</f>
        <v/>
      </c>
      <c r="I149" s="1"/>
      <c r="J149" s="1"/>
      <c r="K149" s="1"/>
      <c r="L149" s="1"/>
      <c r="M149" s="63">
        <f>IF(EHD[[#This Row],[RAD/PACT]]&lt;=2020,0,INDEX(UnitCosts[],MATCH(EHD[[#This Row],[WORK TYPE]],UnitCosts[Work Type],0),2)*EHD[[#This Row],['# Hopper Doors]])</f>
        <v>7435.6435000000001</v>
      </c>
      <c r="N149" s="63">
        <f t="shared" si="2"/>
        <v>5829544.5039999923</v>
      </c>
    </row>
    <row r="150" spans="1:14" x14ac:dyDescent="0.25">
      <c r="A150" s="1" t="s">
        <v>176</v>
      </c>
      <c r="B150" s="1" t="str">
        <f>VLOOKUP(A150,Data[],2,FALSE)</f>
        <v>QUEENS</v>
      </c>
      <c r="C150" s="9" t="s">
        <v>27</v>
      </c>
      <c r="D150" s="9">
        <f>VLOOKUP(EHD[[#This Row],[DEVELOPMENT]],Data[],27,FALSE)</f>
        <v>5</v>
      </c>
      <c r="E150" s="1">
        <f>VLOOKUP(EHD[[#This Row],[DEVELOPMENT]],Data[],8,FALSE)</f>
        <v>0</v>
      </c>
      <c r="F150" s="1">
        <f>VLOOKUP(EHD[[#This Row],[DEVELOPMENT]],Data[],9,FALSE)</f>
        <v>0</v>
      </c>
      <c r="G150" s="1" t="str">
        <f>IFERROR(VLOOKUP(EHD[[#This Row],[DEVELOPMENT]],Data[],4,FALSE),"")</f>
        <v/>
      </c>
      <c r="H150" s="1" t="str">
        <f ca="1">IF(EHD[[#This Row],[RAD/PACT]]="","",IF((EHD[[#This Row],[RAD/PACT]]-YEAR(TODAY()))&lt;=5,"Yes",""))</f>
        <v/>
      </c>
      <c r="I150" s="1"/>
      <c r="J150" s="1"/>
      <c r="K150" s="1"/>
      <c r="L150" s="1"/>
      <c r="M150" s="63">
        <f>IF(EHD[[#This Row],[RAD/PACT]]&lt;=2020,0,INDEX(UnitCosts[],MATCH(EHD[[#This Row],[WORK TYPE]],UnitCosts[Work Type],0),2)*EHD[[#This Row],['# Hopper Doors]])</f>
        <v>37178.217499999999</v>
      </c>
      <c r="N150" s="63">
        <f t="shared" si="2"/>
        <v>5866722.7214999925</v>
      </c>
    </row>
    <row r="151" spans="1:14" x14ac:dyDescent="0.25">
      <c r="A151" s="1" t="s">
        <v>177</v>
      </c>
      <c r="B151" s="1" t="str">
        <f>VLOOKUP(A151,Data[],2,FALSE)</f>
        <v>BROOKLYN</v>
      </c>
      <c r="C151" s="9" t="s">
        <v>27</v>
      </c>
      <c r="D151" s="9">
        <f>VLOOKUP(EHD[[#This Row],[DEVELOPMENT]],Data[],27,FALSE)</f>
        <v>23</v>
      </c>
      <c r="E151" s="1">
        <f>VLOOKUP(EHD[[#This Row],[DEVELOPMENT]],Data[],8,FALSE)</f>
        <v>0</v>
      </c>
      <c r="F151" s="1">
        <f>VLOOKUP(EHD[[#This Row],[DEVELOPMENT]],Data[],9,FALSE)</f>
        <v>0</v>
      </c>
      <c r="G151" s="1" t="str">
        <f>IFERROR(VLOOKUP(EHD[[#This Row],[DEVELOPMENT]],Data[],4,FALSE),"")</f>
        <v/>
      </c>
      <c r="H151" s="1" t="str">
        <f ca="1">IF(EHD[[#This Row],[RAD/PACT]]="","",IF((EHD[[#This Row],[RAD/PACT]]-YEAR(TODAY()))&lt;=5,"Yes",""))</f>
        <v/>
      </c>
      <c r="I151" s="1"/>
      <c r="J151" s="1"/>
      <c r="K151" s="1"/>
      <c r="L151" s="1"/>
      <c r="M151" s="63">
        <f>IF(EHD[[#This Row],[RAD/PACT]]&lt;=2020,0,INDEX(UnitCosts[],MATCH(EHD[[#This Row],[WORK TYPE]],UnitCosts[Work Type],0),2)*EHD[[#This Row],['# Hopper Doors]])</f>
        <v>171019.80050000001</v>
      </c>
      <c r="N151" s="63">
        <f t="shared" si="2"/>
        <v>6037742.5219999924</v>
      </c>
    </row>
    <row r="152" spans="1:14" x14ac:dyDescent="0.25">
      <c r="A152" s="1" t="s">
        <v>178</v>
      </c>
      <c r="B152" s="1" t="str">
        <f>VLOOKUP(A152,Data[],2,FALSE)</f>
        <v>QUEENS</v>
      </c>
      <c r="C152" s="9" t="s">
        <v>27</v>
      </c>
      <c r="D152" s="9">
        <f>VLOOKUP(EHD[[#This Row],[DEVELOPMENT]],Data[],27,FALSE)</f>
        <v>6</v>
      </c>
      <c r="E152" s="1">
        <f>VLOOKUP(EHD[[#This Row],[DEVELOPMENT]],Data[],8,FALSE)</f>
        <v>0</v>
      </c>
      <c r="F152" s="1">
        <f>VLOOKUP(EHD[[#This Row],[DEVELOPMENT]],Data[],9,FALSE)</f>
        <v>0</v>
      </c>
      <c r="G152" s="1" t="str">
        <f>IFERROR(VLOOKUP(EHD[[#This Row],[DEVELOPMENT]],Data[],4,FALSE),"")</f>
        <v/>
      </c>
      <c r="H152" s="1" t="str">
        <f ca="1">IF(EHD[[#This Row],[RAD/PACT]]="","",IF((EHD[[#This Row],[RAD/PACT]]-YEAR(TODAY()))&lt;=5,"Yes",""))</f>
        <v/>
      </c>
      <c r="I152" s="1"/>
      <c r="J152" s="1"/>
      <c r="K152" s="1"/>
      <c r="L152" s="1"/>
      <c r="M152" s="63">
        <f>IF(EHD[[#This Row],[RAD/PACT]]&lt;=2020,0,INDEX(UnitCosts[],MATCH(EHD[[#This Row],[WORK TYPE]],UnitCosts[Work Type],0),2)*EHD[[#This Row],['# Hopper Doors]])</f>
        <v>44613.861000000004</v>
      </c>
      <c r="N152" s="63">
        <f t="shared" si="2"/>
        <v>6082356.382999992</v>
      </c>
    </row>
    <row r="153" spans="1:14" x14ac:dyDescent="0.25">
      <c r="A153" s="1" t="s">
        <v>179</v>
      </c>
      <c r="B153" s="1" t="str">
        <f>VLOOKUP(A153,Data[],2,FALSE)</f>
        <v>BROOKLYN</v>
      </c>
      <c r="C153" s="9" t="s">
        <v>27</v>
      </c>
      <c r="D153" s="9">
        <f>VLOOKUP(EHD[[#This Row],[DEVELOPMENT]],Data[],27,FALSE)</f>
        <v>0</v>
      </c>
      <c r="E153" s="1">
        <f>VLOOKUP(EHD[[#This Row],[DEVELOPMENT]],Data[],8,FALSE)</f>
        <v>0</v>
      </c>
      <c r="F153" s="1">
        <f>VLOOKUP(EHD[[#This Row],[DEVELOPMENT]],Data[],9,FALSE)</f>
        <v>0</v>
      </c>
      <c r="G153" s="1" t="str">
        <f>IFERROR(VLOOKUP(EHD[[#This Row],[DEVELOPMENT]],Data[],4,FALSE),"")</f>
        <v/>
      </c>
      <c r="H153" s="1" t="str">
        <f ca="1">IF(EHD[[#This Row],[RAD/PACT]]="","",IF((EHD[[#This Row],[RAD/PACT]]-YEAR(TODAY()))&lt;=5,"Yes",""))</f>
        <v/>
      </c>
      <c r="I153" s="1"/>
      <c r="J153" s="1"/>
      <c r="K153" s="1"/>
      <c r="L153" s="1"/>
      <c r="M153" s="63">
        <f>IF(EHD[[#This Row],[RAD/PACT]]&lt;=2020,0,INDEX(UnitCosts[],MATCH(EHD[[#This Row],[WORK TYPE]],UnitCosts[Work Type],0),2)*EHD[[#This Row],['# Hopper Doors]])</f>
        <v>0</v>
      </c>
      <c r="N153" s="63">
        <f t="shared" si="2"/>
        <v>6082356.382999992</v>
      </c>
    </row>
    <row r="154" spans="1:14" x14ac:dyDescent="0.25">
      <c r="A154" s="1" t="s">
        <v>180</v>
      </c>
      <c r="B154" s="1" t="str">
        <f>VLOOKUP(A154,Data[],2,FALSE)</f>
        <v>STATEN ISLAND</v>
      </c>
      <c r="C154" s="9" t="s">
        <v>27</v>
      </c>
      <c r="D154" s="9">
        <f>VLOOKUP(EHD[[#This Row],[DEVELOPMENT]],Data[],27,FALSE)</f>
        <v>15</v>
      </c>
      <c r="E154" s="1">
        <f>VLOOKUP(EHD[[#This Row],[DEVELOPMENT]],Data[],8,FALSE)</f>
        <v>0</v>
      </c>
      <c r="F154" s="1">
        <f>VLOOKUP(EHD[[#This Row],[DEVELOPMENT]],Data[],9,FALSE)</f>
        <v>0</v>
      </c>
      <c r="G154" s="1" t="str">
        <f>IFERROR(VLOOKUP(EHD[[#This Row],[DEVELOPMENT]],Data[],4,FALSE),"")</f>
        <v/>
      </c>
      <c r="H154" s="1" t="str">
        <f ca="1">IF(EHD[[#This Row],[RAD/PACT]]="","",IF((EHD[[#This Row],[RAD/PACT]]-YEAR(TODAY()))&lt;=5,"Yes",""))</f>
        <v/>
      </c>
      <c r="I154" s="1"/>
      <c r="J154" s="1"/>
      <c r="K154" s="1"/>
      <c r="L154" s="1"/>
      <c r="M154" s="63">
        <f>IF(EHD[[#This Row],[RAD/PACT]]&lt;=2020,0,INDEX(UnitCosts[],MATCH(EHD[[#This Row],[WORK TYPE]],UnitCosts[Work Type],0),2)*EHD[[#This Row],['# Hopper Doors]])</f>
        <v>111534.6525</v>
      </c>
      <c r="N154" s="63">
        <f t="shared" si="2"/>
        <v>6193891.0354999918</v>
      </c>
    </row>
    <row r="155" spans="1:14" x14ac:dyDescent="0.25">
      <c r="A155" s="1" t="s">
        <v>181</v>
      </c>
      <c r="B155" s="1" t="str">
        <f>VLOOKUP(A155,Data[],2,FALSE)</f>
        <v>BROOKLYN</v>
      </c>
      <c r="C155" s="9" t="s">
        <v>27</v>
      </c>
      <c r="D155" s="9">
        <f>VLOOKUP(EHD[[#This Row],[DEVELOPMENT]],Data[],27,FALSE)</f>
        <v>1</v>
      </c>
      <c r="E155" s="1">
        <f>VLOOKUP(EHD[[#This Row],[DEVELOPMENT]],Data[],8,FALSE)</f>
        <v>0</v>
      </c>
      <c r="F155" s="1">
        <f>VLOOKUP(EHD[[#This Row],[DEVELOPMENT]],Data[],9,FALSE)</f>
        <v>0</v>
      </c>
      <c r="G155" s="1" t="str">
        <f>IFERROR(VLOOKUP(EHD[[#This Row],[DEVELOPMENT]],Data[],4,FALSE),"")</f>
        <v/>
      </c>
      <c r="H155" s="1" t="str">
        <f ca="1">IF(EHD[[#This Row],[RAD/PACT]]="","",IF((EHD[[#This Row],[RAD/PACT]]-YEAR(TODAY()))&lt;=5,"Yes",""))</f>
        <v/>
      </c>
      <c r="I155" s="1"/>
      <c r="J155" s="1"/>
      <c r="K155" s="1"/>
      <c r="L155" s="1"/>
      <c r="M155" s="63">
        <f>IF(EHD[[#This Row],[RAD/PACT]]&lt;=2020,0,INDEX(UnitCosts[],MATCH(EHD[[#This Row],[WORK TYPE]],UnitCosts[Work Type],0),2)*EHD[[#This Row],['# Hopper Doors]])</f>
        <v>7435.6435000000001</v>
      </c>
      <c r="N155" s="63">
        <f t="shared" si="2"/>
        <v>6201326.6789999921</v>
      </c>
    </row>
    <row r="156" spans="1:14" x14ac:dyDescent="0.25">
      <c r="A156" s="1" t="s">
        <v>182</v>
      </c>
      <c r="B156" s="1" t="str">
        <f>VLOOKUP(A156,Data[],2,FALSE)</f>
        <v>QUEENS</v>
      </c>
      <c r="C156" s="9" t="s">
        <v>27</v>
      </c>
      <c r="D156" s="9">
        <f>VLOOKUP(EHD[[#This Row],[DEVELOPMENT]],Data[],27,FALSE)</f>
        <v>5</v>
      </c>
      <c r="E156" s="1">
        <f>VLOOKUP(EHD[[#This Row],[DEVELOPMENT]],Data[],8,FALSE)</f>
        <v>0</v>
      </c>
      <c r="F156" s="1">
        <f>VLOOKUP(EHD[[#This Row],[DEVELOPMENT]],Data[],9,FALSE)</f>
        <v>0</v>
      </c>
      <c r="G156" s="1" t="str">
        <f>IFERROR(VLOOKUP(EHD[[#This Row],[DEVELOPMENT]],Data[],4,FALSE),"")</f>
        <v/>
      </c>
      <c r="H156" s="1" t="str">
        <f ca="1">IF(EHD[[#This Row],[RAD/PACT]]="","",IF((EHD[[#This Row],[RAD/PACT]]-YEAR(TODAY()))&lt;=5,"Yes",""))</f>
        <v/>
      </c>
      <c r="I156" s="1"/>
      <c r="J156" s="1"/>
      <c r="K156" s="1"/>
      <c r="L156" s="1"/>
      <c r="M156" s="63">
        <f>IF(EHD[[#This Row],[RAD/PACT]]&lt;=2020,0,INDEX(UnitCosts[],MATCH(EHD[[#This Row],[WORK TYPE]],UnitCosts[Work Type],0),2)*EHD[[#This Row],['# Hopper Doors]])</f>
        <v>37178.217499999999</v>
      </c>
      <c r="N156" s="63">
        <f t="shared" si="2"/>
        <v>6238504.8964999923</v>
      </c>
    </row>
    <row r="157" spans="1:14" x14ac:dyDescent="0.25">
      <c r="A157" s="1" t="s">
        <v>184</v>
      </c>
      <c r="B157" s="1" t="str">
        <f>VLOOKUP(A157,Data[],2,FALSE)</f>
        <v>BRONX</v>
      </c>
      <c r="C157" s="9" t="s">
        <v>27</v>
      </c>
      <c r="D157" s="9">
        <f>VLOOKUP(EHD[[#This Row],[DEVELOPMENT]],Data[],27,FALSE)</f>
        <v>4</v>
      </c>
      <c r="E157" s="1">
        <f>VLOOKUP(EHD[[#This Row],[DEVELOPMENT]],Data[],8,FALSE)</f>
        <v>0</v>
      </c>
      <c r="F157" s="1">
        <f>VLOOKUP(EHD[[#This Row],[DEVELOPMENT]],Data[],9,FALSE)</f>
        <v>0</v>
      </c>
      <c r="G157" s="1" t="str">
        <f>IFERROR(VLOOKUP(EHD[[#This Row],[DEVELOPMENT]],Data[],4,FALSE),"")</f>
        <v/>
      </c>
      <c r="H157" s="1" t="str">
        <f ca="1">IF(EHD[[#This Row],[RAD/PACT]]="","",IF((EHD[[#This Row],[RAD/PACT]]-YEAR(TODAY()))&lt;=5,"Yes",""))</f>
        <v/>
      </c>
      <c r="I157" s="1"/>
      <c r="J157" s="1"/>
      <c r="K157" s="1"/>
      <c r="L157" s="1"/>
      <c r="M157" s="63">
        <f>IF(EHD[[#This Row],[RAD/PACT]]&lt;=2020,0,INDEX(UnitCosts[],MATCH(EHD[[#This Row],[WORK TYPE]],UnitCosts[Work Type],0),2)*EHD[[#This Row],['# Hopper Doors]])</f>
        <v>29742.574000000001</v>
      </c>
      <c r="N157" s="63">
        <f t="shared" si="2"/>
        <v>6268247.4704999924</v>
      </c>
    </row>
    <row r="158" spans="1:14" x14ac:dyDescent="0.25">
      <c r="A158" s="1" t="s">
        <v>185</v>
      </c>
      <c r="B158" s="1" t="str">
        <f>VLOOKUP(A158,Data[],2,FALSE)</f>
        <v>BROOKLYN</v>
      </c>
      <c r="C158" s="9" t="s">
        <v>27</v>
      </c>
      <c r="D158" s="9">
        <f>VLOOKUP(EHD[[#This Row],[DEVELOPMENT]],Data[],27,FALSE)</f>
        <v>29</v>
      </c>
      <c r="E158" s="1">
        <f>VLOOKUP(EHD[[#This Row],[DEVELOPMENT]],Data[],8,FALSE)</f>
        <v>0</v>
      </c>
      <c r="F158" s="1">
        <f>VLOOKUP(EHD[[#This Row],[DEVELOPMENT]],Data[],9,FALSE)</f>
        <v>0</v>
      </c>
      <c r="G158" s="1">
        <f>IFERROR(VLOOKUP(EHD[[#This Row],[DEVELOPMENT]],Data[],4,FALSE),"")</f>
        <v>2020</v>
      </c>
      <c r="H158" s="1" t="str">
        <f ca="1">IF(EHD[[#This Row],[RAD/PACT]]="","",IF((EHD[[#This Row],[RAD/PACT]]-YEAR(TODAY()))&lt;=5,"Yes",""))</f>
        <v>Yes</v>
      </c>
      <c r="I158" s="1"/>
      <c r="J158" s="1"/>
      <c r="K158" s="1"/>
      <c r="L158" s="1"/>
      <c r="M158" s="63">
        <f>IF(EHD[[#This Row],[RAD/PACT]]&lt;=2020,0,INDEX(UnitCosts[],MATCH(EHD[[#This Row],[WORK TYPE]],UnitCosts[Work Type],0),2)*EHD[[#This Row],['# Hopper Doors]])</f>
        <v>0</v>
      </c>
      <c r="N158" s="63">
        <f t="shared" si="2"/>
        <v>6268247.4704999924</v>
      </c>
    </row>
    <row r="159" spans="1:14" x14ac:dyDescent="0.25">
      <c r="A159" s="1" t="s">
        <v>186</v>
      </c>
      <c r="B159" s="1" t="str">
        <f>VLOOKUP(A159,Data[],2,FALSE)</f>
        <v>BRONX</v>
      </c>
      <c r="C159" s="9" t="s">
        <v>27</v>
      </c>
      <c r="D159" s="9">
        <f>VLOOKUP(EHD[[#This Row],[DEVELOPMENT]],Data[],27,FALSE)</f>
        <v>3</v>
      </c>
      <c r="E159" s="1">
        <f>VLOOKUP(EHD[[#This Row],[DEVELOPMENT]],Data[],8,FALSE)</f>
        <v>0</v>
      </c>
      <c r="F159" s="1">
        <f>VLOOKUP(EHD[[#This Row],[DEVELOPMENT]],Data[],9,FALSE)</f>
        <v>0</v>
      </c>
      <c r="G159" s="1" t="str">
        <f>IFERROR(VLOOKUP(EHD[[#This Row],[DEVELOPMENT]],Data[],4,FALSE),"")</f>
        <v/>
      </c>
      <c r="H159" s="1" t="str">
        <f ca="1">IF(EHD[[#This Row],[RAD/PACT]]="","",IF((EHD[[#This Row],[RAD/PACT]]-YEAR(TODAY()))&lt;=5,"Yes",""))</f>
        <v/>
      </c>
      <c r="I159" s="1"/>
      <c r="J159" s="1"/>
      <c r="K159" s="1"/>
      <c r="L159" s="1"/>
      <c r="M159" s="63">
        <f>IF(EHD[[#This Row],[RAD/PACT]]&lt;=2020,0,INDEX(UnitCosts[],MATCH(EHD[[#This Row],[WORK TYPE]],UnitCosts[Work Type],0),2)*EHD[[#This Row],['# Hopper Doors]])</f>
        <v>22306.930500000002</v>
      </c>
      <c r="N159" s="63">
        <f t="shared" si="2"/>
        <v>6290554.4009999922</v>
      </c>
    </row>
    <row r="160" spans="1:14" x14ac:dyDescent="0.25">
      <c r="A160" s="1" t="s">
        <v>187</v>
      </c>
      <c r="B160" s="1" t="str">
        <f>VLOOKUP(A160,Data[],2,FALSE)</f>
        <v>BROOKLYN</v>
      </c>
      <c r="C160" s="9" t="s">
        <v>27</v>
      </c>
      <c r="D160" s="9">
        <f>VLOOKUP(EHD[[#This Row],[DEVELOPMENT]],Data[],27,FALSE)</f>
        <v>89</v>
      </c>
      <c r="E160" s="1">
        <f>VLOOKUP(EHD[[#This Row],[DEVELOPMENT]],Data[],8,FALSE)</f>
        <v>0</v>
      </c>
      <c r="F160" s="1">
        <f>VLOOKUP(EHD[[#This Row],[DEVELOPMENT]],Data[],9,FALSE)</f>
        <v>0</v>
      </c>
      <c r="G160" s="1">
        <f>IFERROR(VLOOKUP(EHD[[#This Row],[DEVELOPMENT]],Data[],4,FALSE),"")</f>
        <v>2021</v>
      </c>
      <c r="H160" s="1" t="str">
        <f ca="1">IF(EHD[[#This Row],[RAD/PACT]]="","",IF((EHD[[#This Row],[RAD/PACT]]-YEAR(TODAY()))&lt;=5,"Yes",""))</f>
        <v>Yes</v>
      </c>
      <c r="I160" s="1"/>
      <c r="J160" s="1"/>
      <c r="K160" s="1"/>
      <c r="L160" s="1"/>
      <c r="M160" s="63">
        <f>IF(EHD[[#This Row],[RAD/PACT]]&lt;=2020,0,INDEX(UnitCosts[],MATCH(EHD[[#This Row],[WORK TYPE]],UnitCosts[Work Type],0),2)*EHD[[#This Row],['# Hopper Doors]])</f>
        <v>661772.27150000003</v>
      </c>
      <c r="N160" s="63">
        <f t="shared" si="2"/>
        <v>6952326.672499992</v>
      </c>
    </row>
    <row r="161" spans="1:14" x14ac:dyDescent="0.25">
      <c r="A161" s="1" t="s">
        <v>188</v>
      </c>
      <c r="B161" s="1" t="str">
        <f>VLOOKUP(A161,Data[],2,FALSE)</f>
        <v>BROOKLYN</v>
      </c>
      <c r="C161" s="9" t="s">
        <v>27</v>
      </c>
      <c r="D161" s="9">
        <f>VLOOKUP(EHD[[#This Row],[DEVELOPMENT]],Data[],27,FALSE)</f>
        <v>26</v>
      </c>
      <c r="E161" s="1">
        <f>VLOOKUP(EHD[[#This Row],[DEVELOPMENT]],Data[],8,FALSE)</f>
        <v>0</v>
      </c>
      <c r="F161" s="1">
        <f>VLOOKUP(EHD[[#This Row],[DEVELOPMENT]],Data[],9,FALSE)</f>
        <v>0</v>
      </c>
      <c r="G161" s="1" t="str">
        <f>IFERROR(VLOOKUP(EHD[[#This Row],[DEVELOPMENT]],Data[],4,FALSE),"")</f>
        <v/>
      </c>
      <c r="H161" s="1" t="str">
        <f ca="1">IF(EHD[[#This Row],[RAD/PACT]]="","",IF((EHD[[#This Row],[RAD/PACT]]-YEAR(TODAY()))&lt;=5,"Yes",""))</f>
        <v/>
      </c>
      <c r="I161" s="1"/>
      <c r="J161" s="1"/>
      <c r="K161" s="1"/>
      <c r="L161" s="1"/>
      <c r="M161" s="63">
        <f>IF(EHD[[#This Row],[RAD/PACT]]&lt;=2020,0,INDEX(UnitCosts[],MATCH(EHD[[#This Row],[WORK TYPE]],UnitCosts[Work Type],0),2)*EHD[[#This Row],['# Hopper Doors]])</f>
        <v>193326.731</v>
      </c>
      <c r="N161" s="63">
        <f t="shared" si="2"/>
        <v>7145653.4034999916</v>
      </c>
    </row>
    <row r="162" spans="1:14" x14ac:dyDescent="0.25">
      <c r="A162" s="1" t="s">
        <v>191</v>
      </c>
      <c r="B162" s="1" t="str">
        <f>VLOOKUP(A162,Data[],2,FALSE)</f>
        <v>BROOKLYN</v>
      </c>
      <c r="C162" s="9" t="s">
        <v>27</v>
      </c>
      <c r="D162" s="9">
        <f>VLOOKUP(EHD[[#This Row],[DEVELOPMENT]],Data[],27,FALSE)</f>
        <v>46</v>
      </c>
      <c r="E162" s="1">
        <f>VLOOKUP(EHD[[#This Row],[DEVELOPMENT]],Data[],8,FALSE)</f>
        <v>0</v>
      </c>
      <c r="F162" s="1">
        <f>VLOOKUP(EHD[[#This Row],[DEVELOPMENT]],Data[],9,FALSE)</f>
        <v>0</v>
      </c>
      <c r="G162" s="1" t="str">
        <f>IFERROR(VLOOKUP(EHD[[#This Row],[DEVELOPMENT]],Data[],4,FALSE),"")</f>
        <v/>
      </c>
      <c r="H162" s="1" t="str">
        <f ca="1">IF(EHD[[#This Row],[RAD/PACT]]="","",IF((EHD[[#This Row],[RAD/PACT]]-YEAR(TODAY()))&lt;=5,"Yes",""))</f>
        <v/>
      </c>
      <c r="I162" s="1"/>
      <c r="J162" s="1"/>
      <c r="K162" s="1"/>
      <c r="L162" s="1"/>
      <c r="M162" s="63">
        <f>IF(EHD[[#This Row],[RAD/PACT]]&lt;=2020,0,INDEX(UnitCosts[],MATCH(EHD[[#This Row],[WORK TYPE]],UnitCosts[Work Type],0),2)*EHD[[#This Row],['# Hopper Doors]])</f>
        <v>342039.60100000002</v>
      </c>
      <c r="N162" s="63">
        <f t="shared" si="2"/>
        <v>7487693.0044999914</v>
      </c>
    </row>
    <row r="163" spans="1:14" x14ac:dyDescent="0.25">
      <c r="A163" s="1" t="s">
        <v>192</v>
      </c>
      <c r="B163" s="1" t="str">
        <f>VLOOKUP(A163,Data[],2,FALSE)</f>
        <v>BRONX</v>
      </c>
      <c r="C163" s="9" t="s">
        <v>27</v>
      </c>
      <c r="D163" s="9">
        <f>VLOOKUP(EHD[[#This Row],[DEVELOPMENT]],Data[],27,FALSE)</f>
        <v>1</v>
      </c>
      <c r="E163" s="1">
        <f>VLOOKUP(EHD[[#This Row],[DEVELOPMENT]],Data[],8,FALSE)</f>
        <v>0</v>
      </c>
      <c r="F163" s="1">
        <f>VLOOKUP(EHD[[#This Row],[DEVELOPMENT]],Data[],9,FALSE)</f>
        <v>0</v>
      </c>
      <c r="G163" s="1" t="str">
        <f>IFERROR(VLOOKUP(EHD[[#This Row],[DEVELOPMENT]],Data[],4,FALSE),"")</f>
        <v/>
      </c>
      <c r="H163" s="1" t="str">
        <f ca="1">IF(EHD[[#This Row],[RAD/PACT]]="","",IF((EHD[[#This Row],[RAD/PACT]]-YEAR(TODAY()))&lt;=5,"Yes",""))</f>
        <v/>
      </c>
      <c r="I163" s="1"/>
      <c r="J163" s="1"/>
      <c r="K163" s="1"/>
      <c r="L163" s="1"/>
      <c r="M163" s="63">
        <f>IF(EHD[[#This Row],[RAD/PACT]]&lt;=2020,0,INDEX(UnitCosts[],MATCH(EHD[[#This Row],[WORK TYPE]],UnitCosts[Work Type],0),2)*EHD[[#This Row],['# Hopper Doors]])</f>
        <v>7435.6435000000001</v>
      </c>
      <c r="N163" s="63">
        <f t="shared" si="2"/>
        <v>7495128.6479999917</v>
      </c>
    </row>
    <row r="164" spans="1:14" x14ac:dyDescent="0.25">
      <c r="A164" s="1" t="s">
        <v>379</v>
      </c>
      <c r="B164" s="1" t="str">
        <f>VLOOKUP(A164,Data[],2,FALSE)</f>
        <v>BROOKLYN</v>
      </c>
      <c r="C164" s="9" t="s">
        <v>27</v>
      </c>
      <c r="D164" s="9">
        <f>VLOOKUP(EHD[[#This Row],[DEVELOPMENT]],Data[],27,FALSE)</f>
        <v>25</v>
      </c>
      <c r="E164" s="1">
        <f>VLOOKUP(EHD[[#This Row],[DEVELOPMENT]],Data[],8,FALSE)</f>
        <v>0</v>
      </c>
      <c r="F164" s="1">
        <f>VLOOKUP(EHD[[#This Row],[DEVELOPMENT]],Data[],9,FALSE)</f>
        <v>0</v>
      </c>
      <c r="G164" s="1" t="str">
        <f>IFERROR(VLOOKUP(EHD[[#This Row],[DEVELOPMENT]],Data[],4,FALSE),"")</f>
        <v/>
      </c>
      <c r="H164" s="1" t="str">
        <f ca="1">IF(EHD[[#This Row],[RAD/PACT]]="","",IF((EHD[[#This Row],[RAD/PACT]]-YEAR(TODAY()))&lt;=5,"Yes",""))</f>
        <v/>
      </c>
      <c r="I164" s="1"/>
      <c r="J164" s="1"/>
      <c r="K164" s="1"/>
      <c r="L164" s="1"/>
      <c r="M164" s="63">
        <f>IF(EHD[[#This Row],[RAD/PACT]]&lt;=2020,0,INDEX(UnitCosts[],MATCH(EHD[[#This Row],[WORK TYPE]],UnitCosts[Work Type],0),2)*EHD[[#This Row],['# Hopper Doors]])</f>
        <v>185891.08749999999</v>
      </c>
      <c r="N164" s="63">
        <f t="shared" si="2"/>
        <v>7681019.735499992</v>
      </c>
    </row>
    <row r="165" spans="1:14" x14ac:dyDescent="0.25">
      <c r="A165" s="1" t="s">
        <v>193</v>
      </c>
      <c r="B165" s="1" t="str">
        <f>VLOOKUP(A165,Data[],2,FALSE)</f>
        <v>BROOKLYN</v>
      </c>
      <c r="C165" s="9" t="s">
        <v>27</v>
      </c>
      <c r="D165" s="9">
        <f>VLOOKUP(EHD[[#This Row],[DEVELOPMENT]],Data[],27,FALSE)</f>
        <v>3</v>
      </c>
      <c r="E165" s="1">
        <f>VLOOKUP(EHD[[#This Row],[DEVELOPMENT]],Data[],8,FALSE)</f>
        <v>0</v>
      </c>
      <c r="F165" s="1">
        <f>VLOOKUP(EHD[[#This Row],[DEVELOPMENT]],Data[],9,FALSE)</f>
        <v>0</v>
      </c>
      <c r="G165" s="1" t="str">
        <f>IFERROR(VLOOKUP(EHD[[#This Row],[DEVELOPMENT]],Data[],4,FALSE),"")</f>
        <v/>
      </c>
      <c r="H165" s="1" t="str">
        <f ca="1">IF(EHD[[#This Row],[RAD/PACT]]="","",IF((EHD[[#This Row],[RAD/PACT]]-YEAR(TODAY()))&lt;=5,"Yes",""))</f>
        <v/>
      </c>
      <c r="I165" s="1"/>
      <c r="J165" s="1"/>
      <c r="K165" s="1"/>
      <c r="L165" s="1"/>
      <c r="M165" s="63">
        <f>IF(EHD[[#This Row],[RAD/PACT]]&lt;=2020,0,INDEX(UnitCosts[],MATCH(EHD[[#This Row],[WORK TYPE]],UnitCosts[Work Type],0),2)*EHD[[#This Row],['# Hopper Doors]])</f>
        <v>22306.930500000002</v>
      </c>
      <c r="N165" s="63">
        <f t="shared" si="2"/>
        <v>7703326.6659999918</v>
      </c>
    </row>
    <row r="166" spans="1:14" x14ac:dyDescent="0.25">
      <c r="A166" s="1" t="s">
        <v>194</v>
      </c>
      <c r="B166" s="1" t="str">
        <f>VLOOKUP(A166,Data[],2,FALSE)</f>
        <v>QUEENS</v>
      </c>
      <c r="C166" s="9" t="s">
        <v>27</v>
      </c>
      <c r="D166" s="9">
        <f>VLOOKUP(EHD[[#This Row],[DEVELOPMENT]],Data[],27,FALSE)</f>
        <v>1</v>
      </c>
      <c r="E166" s="1">
        <f>VLOOKUP(EHD[[#This Row],[DEVELOPMENT]],Data[],8,FALSE)</f>
        <v>0</v>
      </c>
      <c r="F166" s="1">
        <f>VLOOKUP(EHD[[#This Row],[DEVELOPMENT]],Data[],9,FALSE)</f>
        <v>0</v>
      </c>
      <c r="G166" s="1" t="str">
        <f>IFERROR(VLOOKUP(EHD[[#This Row],[DEVELOPMENT]],Data[],4,FALSE),"")</f>
        <v/>
      </c>
      <c r="H166" s="1" t="str">
        <f ca="1">IF(EHD[[#This Row],[RAD/PACT]]="","",IF((EHD[[#This Row],[RAD/PACT]]-YEAR(TODAY()))&lt;=5,"Yes",""))</f>
        <v/>
      </c>
      <c r="I166" s="1"/>
      <c r="J166" s="1"/>
      <c r="K166" s="1"/>
      <c r="L166" s="1"/>
      <c r="M166" s="63">
        <f>IF(EHD[[#This Row],[RAD/PACT]]&lt;=2020,0,INDEX(UnitCosts[],MATCH(EHD[[#This Row],[WORK TYPE]],UnitCosts[Work Type],0),2)*EHD[[#This Row],['# Hopper Doors]])</f>
        <v>7435.6435000000001</v>
      </c>
      <c r="N166" s="63">
        <f t="shared" si="2"/>
        <v>7710762.3094999921</v>
      </c>
    </row>
    <row r="167" spans="1:14" x14ac:dyDescent="0.25">
      <c r="A167" s="1" t="s">
        <v>196</v>
      </c>
      <c r="B167" s="1" t="str">
        <f>VLOOKUP(A167,Data[],2,FALSE)</f>
        <v>BRONX</v>
      </c>
      <c r="C167" s="9" t="s">
        <v>27</v>
      </c>
      <c r="D167" s="9">
        <f>VLOOKUP(EHD[[#This Row],[DEVELOPMENT]],Data[],27,FALSE)</f>
        <v>14</v>
      </c>
      <c r="E167" s="1">
        <f>VLOOKUP(EHD[[#This Row],[DEVELOPMENT]],Data[],8,FALSE)</f>
        <v>0</v>
      </c>
      <c r="F167" s="1">
        <f>VLOOKUP(EHD[[#This Row],[DEVELOPMENT]],Data[],9,FALSE)</f>
        <v>0</v>
      </c>
      <c r="G167" s="1" t="str">
        <f>IFERROR(VLOOKUP(EHD[[#This Row],[DEVELOPMENT]],Data[],4,FALSE),"")</f>
        <v/>
      </c>
      <c r="H167" s="1" t="str">
        <f ca="1">IF(EHD[[#This Row],[RAD/PACT]]="","",IF((EHD[[#This Row],[RAD/PACT]]-YEAR(TODAY()))&lt;=5,"Yes",""))</f>
        <v/>
      </c>
      <c r="I167" s="1"/>
      <c r="J167" s="1"/>
      <c r="K167" s="1"/>
      <c r="L167" s="1"/>
      <c r="M167" s="63">
        <f>IF(EHD[[#This Row],[RAD/PACT]]&lt;=2020,0,INDEX(UnitCosts[],MATCH(EHD[[#This Row],[WORK TYPE]],UnitCosts[Work Type],0),2)*EHD[[#This Row],['# Hopper Doors]])</f>
        <v>104099.00900000001</v>
      </c>
      <c r="N167" s="63">
        <f t="shared" si="2"/>
        <v>7814861.3184999917</v>
      </c>
    </row>
    <row r="168" spans="1:14" x14ac:dyDescent="0.25">
      <c r="A168" s="1" t="s">
        <v>197</v>
      </c>
      <c r="B168" s="1" t="str">
        <f>VLOOKUP(A168,Data[],2,FALSE)</f>
        <v>MANHATTAN</v>
      </c>
      <c r="C168" s="9" t="s">
        <v>27</v>
      </c>
      <c r="D168" s="9">
        <f>VLOOKUP(EHD[[#This Row],[DEVELOPMENT]],Data[],27,FALSE)</f>
        <v>4</v>
      </c>
      <c r="E168" s="1">
        <f>VLOOKUP(EHD[[#This Row],[DEVELOPMENT]],Data[],8,FALSE)</f>
        <v>0</v>
      </c>
      <c r="F168" s="1">
        <f>VLOOKUP(EHD[[#This Row],[DEVELOPMENT]],Data[],9,FALSE)</f>
        <v>0</v>
      </c>
      <c r="G168" s="1" t="str">
        <f>IFERROR(VLOOKUP(EHD[[#This Row],[DEVELOPMENT]],Data[],4,FALSE),"")</f>
        <v/>
      </c>
      <c r="H168" s="1" t="str">
        <f ca="1">IF(EHD[[#This Row],[RAD/PACT]]="","",IF((EHD[[#This Row],[RAD/PACT]]-YEAR(TODAY()))&lt;=5,"Yes",""))</f>
        <v/>
      </c>
      <c r="I168" s="1"/>
      <c r="J168" s="1"/>
      <c r="K168" s="1"/>
      <c r="L168" s="1"/>
      <c r="M168" s="63">
        <f>IF(EHD[[#This Row],[RAD/PACT]]&lt;=2020,0,INDEX(UnitCosts[],MATCH(EHD[[#This Row],[WORK TYPE]],UnitCosts[Work Type],0),2)*EHD[[#This Row],['# Hopper Doors]])</f>
        <v>29742.574000000001</v>
      </c>
      <c r="N168" s="63">
        <f t="shared" si="2"/>
        <v>7844603.8924999917</v>
      </c>
    </row>
    <row r="169" spans="1:14" x14ac:dyDescent="0.25">
      <c r="A169" s="1" t="s">
        <v>198</v>
      </c>
      <c r="B169" s="1" t="str">
        <f>VLOOKUP(A169,Data[],2,FALSE)</f>
        <v>MANHATTAN</v>
      </c>
      <c r="C169" s="9" t="s">
        <v>27</v>
      </c>
      <c r="D169" s="9">
        <f>VLOOKUP(EHD[[#This Row],[DEVELOPMENT]],Data[],27,FALSE)</f>
        <v>1</v>
      </c>
      <c r="E169" s="1">
        <f>VLOOKUP(EHD[[#This Row],[DEVELOPMENT]],Data[],8,FALSE)</f>
        <v>0</v>
      </c>
      <c r="F169" s="1">
        <f>VLOOKUP(EHD[[#This Row],[DEVELOPMENT]],Data[],9,FALSE)</f>
        <v>0</v>
      </c>
      <c r="G169" s="1" t="str">
        <f>IFERROR(VLOOKUP(EHD[[#This Row],[DEVELOPMENT]],Data[],4,FALSE),"")</f>
        <v/>
      </c>
      <c r="H169" s="1" t="str">
        <f ca="1">IF(EHD[[#This Row],[RAD/PACT]]="","",IF((EHD[[#This Row],[RAD/PACT]]-YEAR(TODAY()))&lt;=5,"Yes",""))</f>
        <v/>
      </c>
      <c r="I169" s="1"/>
      <c r="J169" s="1"/>
      <c r="K169" s="1"/>
      <c r="L169" s="1"/>
      <c r="M169" s="63">
        <f>IF(EHD[[#This Row],[RAD/PACT]]&lt;=2020,0,INDEX(UnitCosts[],MATCH(EHD[[#This Row],[WORK TYPE]],UnitCosts[Work Type],0),2)*EHD[[#This Row],['# Hopper Doors]])</f>
        <v>7435.6435000000001</v>
      </c>
      <c r="N169" s="63">
        <f t="shared" si="2"/>
        <v>7852039.5359999919</v>
      </c>
    </row>
    <row r="170" spans="1:14" x14ac:dyDescent="0.25">
      <c r="A170" s="1" t="s">
        <v>199</v>
      </c>
      <c r="B170" s="1" t="str">
        <f>VLOOKUP(A170,Data[],2,FALSE)</f>
        <v>BRONX</v>
      </c>
      <c r="C170" s="9" t="s">
        <v>27</v>
      </c>
      <c r="D170" s="9">
        <f>VLOOKUP(EHD[[#This Row],[DEVELOPMENT]],Data[],27,FALSE)</f>
        <v>0</v>
      </c>
      <c r="E170" s="1">
        <f>VLOOKUP(EHD[[#This Row],[DEVELOPMENT]],Data[],8,FALSE)</f>
        <v>0</v>
      </c>
      <c r="F170" s="1">
        <f>VLOOKUP(EHD[[#This Row],[DEVELOPMENT]],Data[],9,FALSE)</f>
        <v>0</v>
      </c>
      <c r="G170" s="1">
        <f>IFERROR(VLOOKUP(EHD[[#This Row],[DEVELOPMENT]],Data[],4,FALSE),"")</f>
        <v>2024</v>
      </c>
      <c r="H170" s="1" t="str">
        <f ca="1">IF(EHD[[#This Row],[RAD/PACT]]="","",IF((EHD[[#This Row],[RAD/PACT]]-YEAR(TODAY()))&lt;=5,"Yes",""))</f>
        <v>Yes</v>
      </c>
      <c r="I170" s="1"/>
      <c r="J170" s="1"/>
      <c r="K170" s="1"/>
      <c r="L170" s="1"/>
      <c r="M170" s="63">
        <f>IF(EHD[[#This Row],[RAD/PACT]]&lt;=2020,0,INDEX(UnitCosts[],MATCH(EHD[[#This Row],[WORK TYPE]],UnitCosts[Work Type],0),2)*EHD[[#This Row],['# Hopper Doors]])</f>
        <v>0</v>
      </c>
      <c r="N170" s="63">
        <f t="shared" si="2"/>
        <v>7852039.5359999919</v>
      </c>
    </row>
    <row r="171" spans="1:14" x14ac:dyDescent="0.25">
      <c r="A171" s="1" t="s">
        <v>200</v>
      </c>
      <c r="B171" s="1" t="str">
        <f>VLOOKUP(A171,Data[],2,FALSE)</f>
        <v>BROOKLYN</v>
      </c>
      <c r="C171" s="9" t="s">
        <v>27</v>
      </c>
      <c r="D171" s="9">
        <f>VLOOKUP(EHD[[#This Row],[DEVELOPMENT]],Data[],27,FALSE)</f>
        <v>5</v>
      </c>
      <c r="E171" s="1">
        <f>VLOOKUP(EHD[[#This Row],[DEVELOPMENT]],Data[],8,FALSE)</f>
        <v>0</v>
      </c>
      <c r="F171" s="1">
        <f>VLOOKUP(EHD[[#This Row],[DEVELOPMENT]],Data[],9,FALSE)</f>
        <v>0</v>
      </c>
      <c r="G171" s="1" t="str">
        <f>IFERROR(VLOOKUP(EHD[[#This Row],[DEVELOPMENT]],Data[],4,FALSE),"")</f>
        <v/>
      </c>
      <c r="H171" s="1" t="str">
        <f ca="1">IF(EHD[[#This Row],[RAD/PACT]]="","",IF((EHD[[#This Row],[RAD/PACT]]-YEAR(TODAY()))&lt;=5,"Yes",""))</f>
        <v/>
      </c>
      <c r="I171" s="1"/>
      <c r="J171" s="1"/>
      <c r="K171" s="1"/>
      <c r="L171" s="1"/>
      <c r="M171" s="63">
        <f>IF(EHD[[#This Row],[RAD/PACT]]&lt;=2020,0,INDEX(UnitCosts[],MATCH(EHD[[#This Row],[WORK TYPE]],UnitCosts[Work Type],0),2)*EHD[[#This Row],['# Hopper Doors]])</f>
        <v>37178.217499999999</v>
      </c>
      <c r="N171" s="63">
        <f t="shared" si="2"/>
        <v>7889217.7534999922</v>
      </c>
    </row>
    <row r="172" spans="1:14" x14ac:dyDescent="0.25">
      <c r="A172" s="1" t="s">
        <v>201</v>
      </c>
      <c r="B172" s="1" t="str">
        <f>VLOOKUP(A172,Data[],2,FALSE)</f>
        <v>BROOKLYN</v>
      </c>
      <c r="C172" s="9" t="s">
        <v>27</v>
      </c>
      <c r="D172" s="9">
        <f>VLOOKUP(EHD[[#This Row],[DEVELOPMENT]],Data[],27,FALSE)</f>
        <v>1</v>
      </c>
      <c r="E172" s="1">
        <f>VLOOKUP(EHD[[#This Row],[DEVELOPMENT]],Data[],8,FALSE)</f>
        <v>0</v>
      </c>
      <c r="F172" s="1">
        <f>VLOOKUP(EHD[[#This Row],[DEVELOPMENT]],Data[],9,FALSE)</f>
        <v>0</v>
      </c>
      <c r="G172" s="1" t="str">
        <f>IFERROR(VLOOKUP(EHD[[#This Row],[DEVELOPMENT]],Data[],4,FALSE),"")</f>
        <v/>
      </c>
      <c r="H172" s="1" t="str">
        <f ca="1">IF(EHD[[#This Row],[RAD/PACT]]="","",IF((EHD[[#This Row],[RAD/PACT]]-YEAR(TODAY()))&lt;=5,"Yes",""))</f>
        <v/>
      </c>
      <c r="I172" s="1"/>
      <c r="J172" s="1"/>
      <c r="K172" s="1"/>
      <c r="L172" s="1"/>
      <c r="M172" s="63">
        <f>IF(EHD[[#This Row],[RAD/PACT]]&lt;=2020,0,INDEX(UnitCosts[],MATCH(EHD[[#This Row],[WORK TYPE]],UnitCosts[Work Type],0),2)*EHD[[#This Row],['# Hopper Doors]])</f>
        <v>7435.6435000000001</v>
      </c>
      <c r="N172" s="63">
        <f t="shared" si="2"/>
        <v>7896653.3969999924</v>
      </c>
    </row>
    <row r="173" spans="1:14" x14ac:dyDescent="0.25">
      <c r="A173" s="1" t="s">
        <v>202</v>
      </c>
      <c r="B173" s="1" t="str">
        <f>VLOOKUP(A173,Data[],2,FALSE)</f>
        <v>BROOKLYN</v>
      </c>
      <c r="C173" s="9" t="s">
        <v>27</v>
      </c>
      <c r="D173" s="9">
        <f>VLOOKUP(EHD[[#This Row],[DEVELOPMENT]],Data[],27,FALSE)</f>
        <v>1</v>
      </c>
      <c r="E173" s="1">
        <f>VLOOKUP(EHD[[#This Row],[DEVELOPMENT]],Data[],8,FALSE)</f>
        <v>0</v>
      </c>
      <c r="F173" s="1">
        <f>VLOOKUP(EHD[[#This Row],[DEVELOPMENT]],Data[],9,FALSE)</f>
        <v>0</v>
      </c>
      <c r="G173" s="1" t="str">
        <f>IFERROR(VLOOKUP(EHD[[#This Row],[DEVELOPMENT]],Data[],4,FALSE),"")</f>
        <v/>
      </c>
      <c r="H173" s="1" t="str">
        <f ca="1">IF(EHD[[#This Row],[RAD/PACT]]="","",IF((EHD[[#This Row],[RAD/PACT]]-YEAR(TODAY()))&lt;=5,"Yes",""))</f>
        <v/>
      </c>
      <c r="I173" s="1"/>
      <c r="J173" s="1"/>
      <c r="K173" s="1"/>
      <c r="L173" s="1"/>
      <c r="M173" s="63">
        <f>IF(EHD[[#This Row],[RAD/PACT]]&lt;=2020,0,INDEX(UnitCosts[],MATCH(EHD[[#This Row],[WORK TYPE]],UnitCosts[Work Type],0),2)*EHD[[#This Row],['# Hopper Doors]])</f>
        <v>7435.6435000000001</v>
      </c>
      <c r="N173" s="63">
        <f t="shared" si="2"/>
        <v>7904089.0404999927</v>
      </c>
    </row>
    <row r="174" spans="1:14" x14ac:dyDescent="0.25">
      <c r="A174" s="1" t="s">
        <v>203</v>
      </c>
      <c r="B174" s="1" t="str">
        <f>VLOOKUP(A174,Data[],2,FALSE)</f>
        <v>BROOKLYN</v>
      </c>
      <c r="C174" s="9" t="s">
        <v>27</v>
      </c>
      <c r="D174" s="9">
        <f>VLOOKUP(EHD[[#This Row],[DEVELOPMENT]],Data[],27,FALSE)</f>
        <v>3</v>
      </c>
      <c r="E174" s="1">
        <f>VLOOKUP(EHD[[#This Row],[DEVELOPMENT]],Data[],8,FALSE)</f>
        <v>0</v>
      </c>
      <c r="F174" s="1">
        <f>VLOOKUP(EHD[[#This Row],[DEVELOPMENT]],Data[],9,FALSE)</f>
        <v>0</v>
      </c>
      <c r="G174" s="1" t="str">
        <f>IFERROR(VLOOKUP(EHD[[#This Row],[DEVELOPMENT]],Data[],4,FALSE),"")</f>
        <v/>
      </c>
      <c r="H174" s="1" t="str">
        <f ca="1">IF(EHD[[#This Row],[RAD/PACT]]="","",IF((EHD[[#This Row],[RAD/PACT]]-YEAR(TODAY()))&lt;=5,"Yes",""))</f>
        <v/>
      </c>
      <c r="I174" s="1"/>
      <c r="J174" s="1"/>
      <c r="K174" s="1"/>
      <c r="L174" s="1"/>
      <c r="M174" s="63">
        <f>IF(EHD[[#This Row],[RAD/PACT]]&lt;=2020,0,INDEX(UnitCosts[],MATCH(EHD[[#This Row],[WORK TYPE]],UnitCosts[Work Type],0),2)*EHD[[#This Row],['# Hopper Doors]])</f>
        <v>22306.930500000002</v>
      </c>
      <c r="N174" s="63">
        <f t="shared" si="2"/>
        <v>7926395.9709999925</v>
      </c>
    </row>
    <row r="175" spans="1:14" x14ac:dyDescent="0.25">
      <c r="A175" s="1" t="s">
        <v>205</v>
      </c>
      <c r="B175" s="1" t="str">
        <f>VLOOKUP(A175,Data[],2,FALSE)</f>
        <v>BROOKLYN</v>
      </c>
      <c r="C175" s="9" t="s">
        <v>27</v>
      </c>
      <c r="D175" s="9">
        <f>VLOOKUP(EHD[[#This Row],[DEVELOPMENT]],Data[],27,FALSE)</f>
        <v>13</v>
      </c>
      <c r="E175" s="1">
        <f>VLOOKUP(EHD[[#This Row],[DEVELOPMENT]],Data[],8,FALSE)</f>
        <v>0</v>
      </c>
      <c r="F175" s="1">
        <f>VLOOKUP(EHD[[#This Row],[DEVELOPMENT]],Data[],9,FALSE)</f>
        <v>0</v>
      </c>
      <c r="G175" s="1" t="str">
        <f>IFERROR(VLOOKUP(EHD[[#This Row],[DEVELOPMENT]],Data[],4,FALSE),"")</f>
        <v/>
      </c>
      <c r="H175" s="1" t="str">
        <f ca="1">IF(EHD[[#This Row],[RAD/PACT]]="","",IF((EHD[[#This Row],[RAD/PACT]]-YEAR(TODAY()))&lt;=5,"Yes",""))</f>
        <v/>
      </c>
      <c r="I175" s="1"/>
      <c r="J175" s="1"/>
      <c r="K175" s="1"/>
      <c r="L175" s="1"/>
      <c r="M175" s="63">
        <f>IF(EHD[[#This Row],[RAD/PACT]]&lt;=2020,0,INDEX(UnitCosts[],MATCH(EHD[[#This Row],[WORK TYPE]],UnitCosts[Work Type],0),2)*EHD[[#This Row],['# Hopper Doors]])</f>
        <v>96663.3655</v>
      </c>
      <c r="N175" s="63">
        <f t="shared" si="2"/>
        <v>8023059.3364999928</v>
      </c>
    </row>
    <row r="176" spans="1:14" x14ac:dyDescent="0.25">
      <c r="A176" s="1" t="s">
        <v>207</v>
      </c>
      <c r="B176" s="1" t="str">
        <f>VLOOKUP(A176,Data[],2,FALSE)</f>
        <v>BROOKLYN</v>
      </c>
      <c r="C176" s="9" t="s">
        <v>27</v>
      </c>
      <c r="D176" s="9">
        <f>VLOOKUP(EHD[[#This Row],[DEVELOPMENT]],Data[],27,FALSE)</f>
        <v>29</v>
      </c>
      <c r="E176" s="1">
        <f>VLOOKUP(EHD[[#This Row],[DEVELOPMENT]],Data[],8,FALSE)</f>
        <v>0</v>
      </c>
      <c r="F176" s="1">
        <f>VLOOKUP(EHD[[#This Row],[DEVELOPMENT]],Data[],9,FALSE)</f>
        <v>0</v>
      </c>
      <c r="G176" s="1">
        <f>IFERROR(VLOOKUP(EHD[[#This Row],[DEVELOPMENT]],Data[],4,FALSE),"")</f>
        <v>2023</v>
      </c>
      <c r="H176" s="1" t="str">
        <f ca="1">IF(EHD[[#This Row],[RAD/PACT]]="","",IF((EHD[[#This Row],[RAD/PACT]]-YEAR(TODAY()))&lt;=5,"Yes",""))</f>
        <v>Yes</v>
      </c>
      <c r="I176" s="1"/>
      <c r="J176" s="1"/>
      <c r="K176" s="1"/>
      <c r="L176" s="1"/>
      <c r="M176" s="63">
        <f>IF(EHD[[#This Row],[RAD/PACT]]&lt;=2020,0,INDEX(UnitCosts[],MATCH(EHD[[#This Row],[WORK TYPE]],UnitCosts[Work Type],0),2)*EHD[[#This Row],['# Hopper Doors]])</f>
        <v>215633.66150000002</v>
      </c>
      <c r="N176" s="63">
        <f t="shared" si="2"/>
        <v>8238692.9979999932</v>
      </c>
    </row>
    <row r="177" spans="1:14" x14ac:dyDescent="0.25">
      <c r="A177" s="1" t="s">
        <v>208</v>
      </c>
      <c r="B177" s="1" t="str">
        <f>VLOOKUP(A177,Data[],2,FALSE)</f>
        <v>MANHATTAN</v>
      </c>
      <c r="C177" s="9" t="s">
        <v>27</v>
      </c>
      <c r="D177" s="9">
        <f>VLOOKUP(EHD[[#This Row],[DEVELOPMENT]],Data[],27,FALSE)</f>
        <v>2</v>
      </c>
      <c r="E177" s="1">
        <f>VLOOKUP(EHD[[#This Row],[DEVELOPMENT]],Data[],8,FALSE)</f>
        <v>0</v>
      </c>
      <c r="F177" s="1">
        <f>VLOOKUP(EHD[[#This Row],[DEVELOPMENT]],Data[],9,FALSE)</f>
        <v>0</v>
      </c>
      <c r="G177" s="1" t="str">
        <f>IFERROR(VLOOKUP(EHD[[#This Row],[DEVELOPMENT]],Data[],4,FALSE),"")</f>
        <v/>
      </c>
      <c r="H177" s="1" t="str">
        <f ca="1">IF(EHD[[#This Row],[RAD/PACT]]="","",IF((EHD[[#This Row],[RAD/PACT]]-YEAR(TODAY()))&lt;=5,"Yes",""))</f>
        <v/>
      </c>
      <c r="I177" s="1"/>
      <c r="J177" s="1"/>
      <c r="K177" s="1"/>
      <c r="L177" s="1"/>
      <c r="M177" s="63">
        <f>IF(EHD[[#This Row],[RAD/PACT]]&lt;=2020,0,INDEX(UnitCosts[],MATCH(EHD[[#This Row],[WORK TYPE]],UnitCosts[Work Type],0),2)*EHD[[#This Row],['# Hopper Doors]])</f>
        <v>14871.287</v>
      </c>
      <c r="N177" s="63">
        <f t="shared" si="2"/>
        <v>8253564.2849999927</v>
      </c>
    </row>
    <row r="178" spans="1:14" x14ac:dyDescent="0.25">
      <c r="A178" s="1" t="s">
        <v>385</v>
      </c>
      <c r="B178" s="1" t="str">
        <f>VLOOKUP(A178,Data[],2,FALSE)</f>
        <v>MANHATTAN</v>
      </c>
      <c r="C178" s="9" t="s">
        <v>27</v>
      </c>
      <c r="D178" s="9">
        <f>VLOOKUP(EHD[[#This Row],[DEVELOPMENT]],Data[],27,FALSE)</f>
        <v>0</v>
      </c>
      <c r="E178" s="1">
        <f>VLOOKUP(EHD[[#This Row],[DEVELOPMENT]],Data[],8,FALSE)</f>
        <v>0</v>
      </c>
      <c r="F178" s="1">
        <f>VLOOKUP(EHD[[#This Row],[DEVELOPMENT]],Data[],9,FALSE)</f>
        <v>0</v>
      </c>
      <c r="G178" s="1" t="str">
        <f>IFERROR(VLOOKUP(EHD[[#This Row],[DEVELOPMENT]],Data[],4,FALSE),"")</f>
        <v/>
      </c>
      <c r="H178" s="1" t="str">
        <f ca="1">IF(EHD[[#This Row],[RAD/PACT]]="","",IF((EHD[[#This Row],[RAD/PACT]]-YEAR(TODAY()))&lt;=5,"Yes",""))</f>
        <v/>
      </c>
      <c r="I178" s="1"/>
      <c r="J178" s="1"/>
      <c r="K178" s="1"/>
      <c r="L178" s="1"/>
      <c r="M178" s="63">
        <f>IF(EHD[[#This Row],[RAD/PACT]]&lt;=2020,0,INDEX(UnitCosts[],MATCH(EHD[[#This Row],[WORK TYPE]],UnitCosts[Work Type],0),2)*EHD[[#This Row],['# Hopper Doors]])</f>
        <v>0</v>
      </c>
      <c r="N178" s="63">
        <f t="shared" si="2"/>
        <v>8253564.2849999927</v>
      </c>
    </row>
    <row r="179" spans="1:14" x14ac:dyDescent="0.25">
      <c r="A179" s="1" t="s">
        <v>209</v>
      </c>
      <c r="B179" s="1" t="str">
        <f>VLOOKUP(A179,Data[],2,FALSE)</f>
        <v>MANHATTAN</v>
      </c>
      <c r="C179" s="9" t="s">
        <v>27</v>
      </c>
      <c r="D179" s="9">
        <f>VLOOKUP(EHD[[#This Row],[DEVELOPMENT]],Data[],27,FALSE)</f>
        <v>14</v>
      </c>
      <c r="E179" s="1">
        <f>VLOOKUP(EHD[[#This Row],[DEVELOPMENT]],Data[],8,FALSE)</f>
        <v>0</v>
      </c>
      <c r="F179" s="1">
        <f>VLOOKUP(EHD[[#This Row],[DEVELOPMENT]],Data[],9,FALSE)</f>
        <v>0</v>
      </c>
      <c r="G179" s="1" t="str">
        <f>IFERROR(VLOOKUP(EHD[[#This Row],[DEVELOPMENT]],Data[],4,FALSE),"")</f>
        <v/>
      </c>
      <c r="H179" s="1" t="str">
        <f ca="1">IF(EHD[[#This Row],[RAD/PACT]]="","",IF((EHD[[#This Row],[RAD/PACT]]-YEAR(TODAY()))&lt;=5,"Yes",""))</f>
        <v/>
      </c>
      <c r="I179" s="1"/>
      <c r="J179" s="1"/>
      <c r="K179" s="1"/>
      <c r="L179" s="1"/>
      <c r="M179" s="63">
        <f>IF(EHD[[#This Row],[RAD/PACT]]&lt;=2020,0,INDEX(UnitCosts[],MATCH(EHD[[#This Row],[WORK TYPE]],UnitCosts[Work Type],0),2)*EHD[[#This Row],['# Hopper Doors]])</f>
        <v>104099.00900000001</v>
      </c>
      <c r="N179" s="63">
        <f t="shared" si="2"/>
        <v>8357663.2939999923</v>
      </c>
    </row>
    <row r="180" spans="1:14" x14ac:dyDescent="0.25">
      <c r="A180" s="1" t="s">
        <v>210</v>
      </c>
      <c r="B180" s="1" t="str">
        <f>VLOOKUP(A180,Data[],2,FALSE)</f>
        <v>BRONX</v>
      </c>
      <c r="C180" s="9" t="s">
        <v>27</v>
      </c>
      <c r="D180" s="9">
        <f>VLOOKUP(EHD[[#This Row],[DEVELOPMENT]],Data[],27,FALSE)</f>
        <v>1</v>
      </c>
      <c r="E180" s="1">
        <f>VLOOKUP(EHD[[#This Row],[DEVELOPMENT]],Data[],8,FALSE)</f>
        <v>0</v>
      </c>
      <c r="F180" s="1">
        <f>VLOOKUP(EHD[[#This Row],[DEVELOPMENT]],Data[],9,FALSE)</f>
        <v>0</v>
      </c>
      <c r="G180" s="1" t="str">
        <f>IFERROR(VLOOKUP(EHD[[#This Row],[DEVELOPMENT]],Data[],4,FALSE),"")</f>
        <v/>
      </c>
      <c r="H180" s="1" t="str">
        <f ca="1">IF(EHD[[#This Row],[RAD/PACT]]="","",IF((EHD[[#This Row],[RAD/PACT]]-YEAR(TODAY()))&lt;=5,"Yes",""))</f>
        <v/>
      </c>
      <c r="I180" s="1"/>
      <c r="J180" s="1"/>
      <c r="K180" s="1"/>
      <c r="L180" s="1"/>
      <c r="M180" s="63">
        <f>IF(EHD[[#This Row],[RAD/PACT]]&lt;=2020,0,INDEX(UnitCosts[],MATCH(EHD[[#This Row],[WORK TYPE]],UnitCosts[Work Type],0),2)*EHD[[#This Row],['# Hopper Doors]])</f>
        <v>7435.6435000000001</v>
      </c>
      <c r="N180" s="63">
        <f t="shared" si="2"/>
        <v>8365098.9374999925</v>
      </c>
    </row>
    <row r="181" spans="1:14" x14ac:dyDescent="0.25">
      <c r="A181" s="1" t="s">
        <v>211</v>
      </c>
      <c r="B181" s="1" t="str">
        <f>VLOOKUP(A181,Data[],2,FALSE)</f>
        <v>BRONX</v>
      </c>
      <c r="C181" s="9" t="s">
        <v>27</v>
      </c>
      <c r="D181" s="9">
        <f>VLOOKUP(EHD[[#This Row],[DEVELOPMENT]],Data[],27,FALSE)</f>
        <v>2</v>
      </c>
      <c r="E181" s="1">
        <f>VLOOKUP(EHD[[#This Row],[DEVELOPMENT]],Data[],8,FALSE)</f>
        <v>0</v>
      </c>
      <c r="F181" s="1">
        <f>VLOOKUP(EHD[[#This Row],[DEVELOPMENT]],Data[],9,FALSE)</f>
        <v>0</v>
      </c>
      <c r="G181" s="1">
        <f>IFERROR(VLOOKUP(EHD[[#This Row],[DEVELOPMENT]],Data[],4,FALSE),"")</f>
        <v>2023</v>
      </c>
      <c r="H181" s="1" t="str">
        <f ca="1">IF(EHD[[#This Row],[RAD/PACT]]="","",IF((EHD[[#This Row],[RAD/PACT]]-YEAR(TODAY()))&lt;=5,"Yes",""))</f>
        <v>Yes</v>
      </c>
      <c r="I181" s="1"/>
      <c r="J181" s="1"/>
      <c r="K181" s="1"/>
      <c r="L181" s="1"/>
      <c r="M181" s="63">
        <f>IF(EHD[[#This Row],[RAD/PACT]]&lt;=2020,0,INDEX(UnitCosts[],MATCH(EHD[[#This Row],[WORK TYPE]],UnitCosts[Work Type],0),2)*EHD[[#This Row],['# Hopper Doors]])</f>
        <v>14871.287</v>
      </c>
      <c r="N181" s="63">
        <f t="shared" si="2"/>
        <v>8379970.2244999921</v>
      </c>
    </row>
    <row r="182" spans="1:14" x14ac:dyDescent="0.25">
      <c r="A182" s="1" t="s">
        <v>214</v>
      </c>
      <c r="B182" s="1" t="str">
        <f>VLOOKUP(A182,Data[],2,FALSE)</f>
        <v>BROOKLYN</v>
      </c>
      <c r="C182" s="9" t="s">
        <v>27</v>
      </c>
      <c r="D182" s="9">
        <f>VLOOKUP(EHD[[#This Row],[DEVELOPMENT]],Data[],27,FALSE)</f>
        <v>0</v>
      </c>
      <c r="E182" s="1">
        <f>VLOOKUP(EHD[[#This Row],[DEVELOPMENT]],Data[],8,FALSE)</f>
        <v>0</v>
      </c>
      <c r="F182" s="1">
        <f>VLOOKUP(EHD[[#This Row],[DEVELOPMENT]],Data[],9,FALSE)</f>
        <v>0</v>
      </c>
      <c r="G182" s="1">
        <f>IFERROR(VLOOKUP(EHD[[#This Row],[DEVELOPMENT]],Data[],4,FALSE),"")</f>
        <v>2023</v>
      </c>
      <c r="H182" s="1" t="str">
        <f ca="1">IF(EHD[[#This Row],[RAD/PACT]]="","",IF((EHD[[#This Row],[RAD/PACT]]-YEAR(TODAY()))&lt;=5,"Yes",""))</f>
        <v>Yes</v>
      </c>
      <c r="I182" s="1"/>
      <c r="J182" s="1"/>
      <c r="K182" s="1"/>
      <c r="L182" s="1"/>
      <c r="M182" s="63">
        <f>IF(EHD[[#This Row],[RAD/PACT]]&lt;=2020,0,INDEX(UnitCosts[],MATCH(EHD[[#This Row],[WORK TYPE]],UnitCosts[Work Type],0),2)*EHD[[#This Row],['# Hopper Doors]])</f>
        <v>0</v>
      </c>
      <c r="N182" s="63">
        <f t="shared" si="2"/>
        <v>8379970.2244999921</v>
      </c>
    </row>
    <row r="183" spans="1:14" x14ac:dyDescent="0.25">
      <c r="A183" s="1" t="s">
        <v>215</v>
      </c>
      <c r="B183" s="1" t="str">
        <f>VLOOKUP(A183,Data[],2,FALSE)</f>
        <v>BRONX</v>
      </c>
      <c r="C183" s="9" t="s">
        <v>27</v>
      </c>
      <c r="D183" s="9">
        <f>VLOOKUP(EHD[[#This Row],[DEVELOPMENT]],Data[],27,FALSE)</f>
        <v>15</v>
      </c>
      <c r="E183" s="1">
        <f>VLOOKUP(EHD[[#This Row],[DEVELOPMENT]],Data[],8,FALSE)</f>
        <v>0</v>
      </c>
      <c r="F183" s="1">
        <f>VLOOKUP(EHD[[#This Row],[DEVELOPMENT]],Data[],9,FALSE)</f>
        <v>0</v>
      </c>
      <c r="G183" s="1">
        <f>IFERROR(VLOOKUP(EHD[[#This Row],[DEVELOPMENT]],Data[],4,FALSE),"")</f>
        <v>2026</v>
      </c>
      <c r="H183" s="1" t="str">
        <f ca="1">IF(EHD[[#This Row],[RAD/PACT]]="","",IF((EHD[[#This Row],[RAD/PACT]]-YEAR(TODAY()))&lt;=5,"Yes",""))</f>
        <v/>
      </c>
      <c r="I183" s="1"/>
      <c r="J183" s="1"/>
      <c r="K183" s="1"/>
      <c r="L183" s="1"/>
      <c r="M183" s="63">
        <f>IF(EHD[[#This Row],[RAD/PACT]]&lt;=2020,0,INDEX(UnitCosts[],MATCH(EHD[[#This Row],[WORK TYPE]],UnitCosts[Work Type],0),2)*EHD[[#This Row],['# Hopper Doors]])</f>
        <v>111534.6525</v>
      </c>
      <c r="N183" s="63">
        <f t="shared" si="2"/>
        <v>8491504.8769999929</v>
      </c>
    </row>
    <row r="184" spans="1:14" x14ac:dyDescent="0.25">
      <c r="A184" s="1" t="s">
        <v>216</v>
      </c>
      <c r="B184" s="1" t="str">
        <f>VLOOKUP(A184,Data[],2,FALSE)</f>
        <v>BRONX</v>
      </c>
      <c r="C184" s="9" t="s">
        <v>27</v>
      </c>
      <c r="D184" s="9">
        <f>VLOOKUP(EHD[[#This Row],[DEVELOPMENT]],Data[],27,FALSE)</f>
        <v>62</v>
      </c>
      <c r="E184" s="1">
        <f>VLOOKUP(EHD[[#This Row],[DEVELOPMENT]],Data[],8,FALSE)</f>
        <v>0</v>
      </c>
      <c r="F184" s="1">
        <f>VLOOKUP(EHD[[#This Row],[DEVELOPMENT]],Data[],9,FALSE)</f>
        <v>0</v>
      </c>
      <c r="G184" s="1">
        <f>IFERROR(VLOOKUP(EHD[[#This Row],[DEVELOPMENT]],Data[],4,FALSE),"")</f>
        <v>2022</v>
      </c>
      <c r="H184" s="1" t="str">
        <f ca="1">IF(EHD[[#This Row],[RAD/PACT]]="","",IF((EHD[[#This Row],[RAD/PACT]]-YEAR(TODAY()))&lt;=5,"Yes",""))</f>
        <v>Yes</v>
      </c>
      <c r="I184" s="1"/>
      <c r="J184" s="1"/>
      <c r="K184" s="1"/>
      <c r="L184" s="1"/>
      <c r="M184" s="63">
        <f>IF(EHD[[#This Row],[RAD/PACT]]&lt;=2020,0,INDEX(UnitCosts[],MATCH(EHD[[#This Row],[WORK TYPE]],UnitCosts[Work Type],0),2)*EHD[[#This Row],['# Hopper Doors]])</f>
        <v>461009.897</v>
      </c>
      <c r="N184" s="63">
        <f t="shared" si="2"/>
        <v>8952514.7739999928</v>
      </c>
    </row>
    <row r="185" spans="1:14" x14ac:dyDescent="0.25">
      <c r="A185" s="1" t="s">
        <v>217</v>
      </c>
      <c r="B185" s="1" t="str">
        <f>VLOOKUP(A185,Data[],2,FALSE)</f>
        <v>MANHATTAN</v>
      </c>
      <c r="C185" s="9" t="s">
        <v>27</v>
      </c>
      <c r="D185" s="9">
        <f>VLOOKUP(EHD[[#This Row],[DEVELOPMENT]],Data[],27,FALSE)</f>
        <v>8</v>
      </c>
      <c r="E185" s="1">
        <f>VLOOKUP(EHD[[#This Row],[DEVELOPMENT]],Data[],8,FALSE)</f>
        <v>0</v>
      </c>
      <c r="F185" s="1">
        <f>VLOOKUP(EHD[[#This Row],[DEVELOPMENT]],Data[],9,FALSE)</f>
        <v>0</v>
      </c>
      <c r="G185" s="1" t="str">
        <f>IFERROR(VLOOKUP(EHD[[#This Row],[DEVELOPMENT]],Data[],4,FALSE),"")</f>
        <v/>
      </c>
      <c r="H185" s="1" t="str">
        <f ca="1">IF(EHD[[#This Row],[RAD/PACT]]="","",IF((EHD[[#This Row],[RAD/PACT]]-YEAR(TODAY()))&lt;=5,"Yes",""))</f>
        <v/>
      </c>
      <c r="I185" s="1"/>
      <c r="J185" s="1"/>
      <c r="K185" s="1"/>
      <c r="L185" s="1"/>
      <c r="M185" s="63">
        <f>IF(EHD[[#This Row],[RAD/PACT]]&lt;=2020,0,INDEX(UnitCosts[],MATCH(EHD[[#This Row],[WORK TYPE]],UnitCosts[Work Type],0),2)*EHD[[#This Row],['# Hopper Doors]])</f>
        <v>59485.148000000001</v>
      </c>
      <c r="N185" s="63">
        <f t="shared" si="2"/>
        <v>9011999.9219999928</v>
      </c>
    </row>
    <row r="186" spans="1:14" x14ac:dyDescent="0.25">
      <c r="A186" s="1" t="s">
        <v>218</v>
      </c>
      <c r="B186" s="1" t="str">
        <f>VLOOKUP(A186,Data[],2,FALSE)</f>
        <v>BROOKLYN</v>
      </c>
      <c r="C186" s="9" t="s">
        <v>27</v>
      </c>
      <c r="D186" s="9">
        <f>VLOOKUP(EHD[[#This Row],[DEVELOPMENT]],Data[],27,FALSE)</f>
        <v>10</v>
      </c>
      <c r="E186" s="1">
        <f>VLOOKUP(EHD[[#This Row],[DEVELOPMENT]],Data[],8,FALSE)</f>
        <v>0</v>
      </c>
      <c r="F186" s="1">
        <f>VLOOKUP(EHD[[#This Row],[DEVELOPMENT]],Data[],9,FALSE)</f>
        <v>0</v>
      </c>
      <c r="G186" s="1">
        <f>IFERROR(VLOOKUP(EHD[[#This Row],[DEVELOPMENT]],Data[],4,FALSE),"")</f>
        <v>2027</v>
      </c>
      <c r="H186" s="1" t="str">
        <f ca="1">IF(EHD[[#This Row],[RAD/PACT]]="","",IF((EHD[[#This Row],[RAD/PACT]]-YEAR(TODAY()))&lt;=5,"Yes",""))</f>
        <v/>
      </c>
      <c r="I186" s="1"/>
      <c r="J186" s="1"/>
      <c r="K186" s="1"/>
      <c r="L186" s="1"/>
      <c r="M186" s="63">
        <f>IF(EHD[[#This Row],[RAD/PACT]]&lt;=2020,0,INDEX(UnitCosts[],MATCH(EHD[[#This Row],[WORK TYPE]],UnitCosts[Work Type],0),2)*EHD[[#This Row],['# Hopper Doors]])</f>
        <v>74356.434999999998</v>
      </c>
      <c r="N186" s="63">
        <f t="shared" si="2"/>
        <v>9086356.3569999933</v>
      </c>
    </row>
    <row r="187" spans="1:14" x14ac:dyDescent="0.25">
      <c r="A187" s="1" t="s">
        <v>219</v>
      </c>
      <c r="B187" s="1" t="str">
        <f>VLOOKUP(A187,Data[],2,FALSE)</f>
        <v>BROOKLYN</v>
      </c>
      <c r="C187" s="9" t="s">
        <v>27</v>
      </c>
      <c r="D187" s="9">
        <f>VLOOKUP(EHD[[#This Row],[DEVELOPMENT]],Data[],27,FALSE)</f>
        <v>0</v>
      </c>
      <c r="E187" s="1">
        <f>VLOOKUP(EHD[[#This Row],[DEVELOPMENT]],Data[],8,FALSE)</f>
        <v>0</v>
      </c>
      <c r="F187" s="1">
        <f>VLOOKUP(EHD[[#This Row],[DEVELOPMENT]],Data[],9,FALSE)</f>
        <v>0</v>
      </c>
      <c r="G187" s="1">
        <f>IFERROR(VLOOKUP(EHD[[#This Row],[DEVELOPMENT]],Data[],4,FALSE),"")</f>
        <v>2021</v>
      </c>
      <c r="H187" s="1" t="str">
        <f ca="1">IF(EHD[[#This Row],[RAD/PACT]]="","",IF((EHD[[#This Row],[RAD/PACT]]-YEAR(TODAY()))&lt;=5,"Yes",""))</f>
        <v>Yes</v>
      </c>
      <c r="I187" s="1"/>
      <c r="J187" s="1"/>
      <c r="K187" s="1"/>
      <c r="L187" s="1"/>
      <c r="M187" s="63">
        <f>IF(EHD[[#This Row],[RAD/PACT]]&lt;=2020,0,INDEX(UnitCosts[],MATCH(EHD[[#This Row],[WORK TYPE]],UnitCosts[Work Type],0),2)*EHD[[#This Row],['# Hopper Doors]])</f>
        <v>0</v>
      </c>
      <c r="N187" s="63">
        <f t="shared" si="2"/>
        <v>9086356.3569999933</v>
      </c>
    </row>
    <row r="188" spans="1:14" x14ac:dyDescent="0.25">
      <c r="A188" s="1" t="s">
        <v>220</v>
      </c>
      <c r="B188" s="1">
        <f>VLOOKUP(A188,Data[],2,FALSE)</f>
        <v>0</v>
      </c>
      <c r="C188" s="9" t="s">
        <v>27</v>
      </c>
      <c r="D188" s="9">
        <f>VLOOKUP(EHD[[#This Row],[DEVELOPMENT]],Data[],27,FALSE)</f>
        <v>0</v>
      </c>
      <c r="E188" s="1">
        <f>VLOOKUP(EHD[[#This Row],[DEVELOPMENT]],Data[],8,FALSE)</f>
        <v>0</v>
      </c>
      <c r="F188" s="1">
        <f>VLOOKUP(EHD[[#This Row],[DEVELOPMENT]],Data[],9,FALSE)</f>
        <v>0</v>
      </c>
      <c r="G188" s="1" t="str">
        <f>IFERROR(VLOOKUP(EHD[[#This Row],[DEVELOPMENT]],Data[],4,FALSE),"")</f>
        <v/>
      </c>
      <c r="H188" s="1" t="str">
        <f ca="1">IF(EHD[[#This Row],[RAD/PACT]]="","",IF((EHD[[#This Row],[RAD/PACT]]-YEAR(TODAY()))&lt;=5,"Yes",""))</f>
        <v/>
      </c>
      <c r="I188" s="1"/>
      <c r="J188" s="1"/>
      <c r="K188" s="1"/>
      <c r="L188" s="1"/>
      <c r="M188" s="63">
        <f>IF(EHD[[#This Row],[RAD/PACT]]&lt;=2020,0,INDEX(UnitCosts[],MATCH(EHD[[#This Row],[WORK TYPE]],UnitCosts[Work Type],0),2)*EHD[[#This Row],['# Hopper Doors]])</f>
        <v>0</v>
      </c>
      <c r="N188" s="63">
        <f t="shared" si="2"/>
        <v>9086356.3569999933</v>
      </c>
    </row>
    <row r="189" spans="1:14" x14ac:dyDescent="0.25">
      <c r="A189" s="1" t="s">
        <v>221</v>
      </c>
      <c r="B189" s="1">
        <f>VLOOKUP(A189,Data[],2,FALSE)</f>
        <v>0</v>
      </c>
      <c r="C189" s="9" t="s">
        <v>27</v>
      </c>
      <c r="D189" s="9">
        <f>VLOOKUP(EHD[[#This Row],[DEVELOPMENT]],Data[],27,FALSE)</f>
        <v>0</v>
      </c>
      <c r="E189" s="1">
        <f>VLOOKUP(EHD[[#This Row],[DEVELOPMENT]],Data[],8,FALSE)</f>
        <v>0</v>
      </c>
      <c r="F189" s="1">
        <f>VLOOKUP(EHD[[#This Row],[DEVELOPMENT]],Data[],9,FALSE)</f>
        <v>0</v>
      </c>
      <c r="G189" s="1" t="str">
        <f>IFERROR(VLOOKUP(EHD[[#This Row],[DEVELOPMENT]],Data[],4,FALSE),"")</f>
        <v/>
      </c>
      <c r="H189" s="1" t="str">
        <f ca="1">IF(EHD[[#This Row],[RAD/PACT]]="","",IF((EHD[[#This Row],[RAD/PACT]]-YEAR(TODAY()))&lt;=5,"Yes",""))</f>
        <v/>
      </c>
      <c r="I189" s="1"/>
      <c r="J189" s="1"/>
      <c r="K189" s="1"/>
      <c r="L189" s="1"/>
      <c r="M189" s="63">
        <f>IF(EHD[[#This Row],[RAD/PACT]]&lt;=2020,0,INDEX(UnitCosts[],MATCH(EHD[[#This Row],[WORK TYPE]],UnitCosts[Work Type],0),2)*EHD[[#This Row],['# Hopper Doors]])</f>
        <v>0</v>
      </c>
      <c r="N189" s="63">
        <f t="shared" si="2"/>
        <v>9086356.3569999933</v>
      </c>
    </row>
    <row r="190" spans="1:14" x14ac:dyDescent="0.25">
      <c r="A190" s="1" t="s">
        <v>222</v>
      </c>
      <c r="B190" s="1">
        <f>VLOOKUP(A190,Data[],2,FALSE)</f>
        <v>0</v>
      </c>
      <c r="C190" s="9" t="s">
        <v>27</v>
      </c>
      <c r="D190" s="9">
        <f>VLOOKUP(EHD[[#This Row],[DEVELOPMENT]],Data[],27,FALSE)</f>
        <v>0</v>
      </c>
      <c r="E190" s="1">
        <f>VLOOKUP(EHD[[#This Row],[DEVELOPMENT]],Data[],8,FALSE)</f>
        <v>0</v>
      </c>
      <c r="F190" s="1">
        <f>VLOOKUP(EHD[[#This Row],[DEVELOPMENT]],Data[],9,FALSE)</f>
        <v>0</v>
      </c>
      <c r="G190" s="1" t="str">
        <f>IFERROR(VLOOKUP(EHD[[#This Row],[DEVELOPMENT]],Data[],4,FALSE),"")</f>
        <v/>
      </c>
      <c r="H190" s="1" t="str">
        <f ca="1">IF(EHD[[#This Row],[RAD/PACT]]="","",IF((EHD[[#This Row],[RAD/PACT]]-YEAR(TODAY()))&lt;=5,"Yes",""))</f>
        <v/>
      </c>
      <c r="I190" s="1"/>
      <c r="J190" s="1"/>
      <c r="K190" s="1"/>
      <c r="L190" s="1"/>
      <c r="M190" s="63">
        <f>IF(EHD[[#This Row],[RAD/PACT]]&lt;=2020,0,INDEX(UnitCosts[],MATCH(EHD[[#This Row],[WORK TYPE]],UnitCosts[Work Type],0),2)*EHD[[#This Row],['# Hopper Doors]])</f>
        <v>0</v>
      </c>
      <c r="N190" s="63">
        <f t="shared" si="2"/>
        <v>9086356.3569999933</v>
      </c>
    </row>
    <row r="191" spans="1:14" x14ac:dyDescent="0.25">
      <c r="A191" s="1" t="s">
        <v>223</v>
      </c>
      <c r="B191" s="1">
        <f>VLOOKUP(A191,Data[],2,FALSE)</f>
        <v>0</v>
      </c>
      <c r="C191" s="9" t="s">
        <v>27</v>
      </c>
      <c r="D191" s="9">
        <f>VLOOKUP(EHD[[#This Row],[DEVELOPMENT]],Data[],27,FALSE)</f>
        <v>0</v>
      </c>
      <c r="E191" s="1">
        <f>VLOOKUP(EHD[[#This Row],[DEVELOPMENT]],Data[],8,FALSE)</f>
        <v>0</v>
      </c>
      <c r="F191" s="1">
        <f>VLOOKUP(EHD[[#This Row],[DEVELOPMENT]],Data[],9,FALSE)</f>
        <v>0</v>
      </c>
      <c r="G191" s="1" t="str">
        <f>IFERROR(VLOOKUP(EHD[[#This Row],[DEVELOPMENT]],Data[],4,FALSE),"")</f>
        <v/>
      </c>
      <c r="H191" s="1" t="str">
        <f ca="1">IF(EHD[[#This Row],[RAD/PACT]]="","",IF((EHD[[#This Row],[RAD/PACT]]-YEAR(TODAY()))&lt;=5,"Yes",""))</f>
        <v/>
      </c>
      <c r="I191" s="1"/>
      <c r="J191" s="1"/>
      <c r="K191" s="1"/>
      <c r="L191" s="1"/>
      <c r="M191" s="63">
        <f>IF(EHD[[#This Row],[RAD/PACT]]&lt;=2020,0,INDEX(UnitCosts[],MATCH(EHD[[#This Row],[WORK TYPE]],UnitCosts[Work Type],0),2)*EHD[[#This Row],['# Hopper Doors]])</f>
        <v>0</v>
      </c>
      <c r="N191" s="63">
        <f t="shared" si="2"/>
        <v>9086356.3569999933</v>
      </c>
    </row>
    <row r="192" spans="1:14" x14ac:dyDescent="0.25">
      <c r="A192" s="1" t="s">
        <v>225</v>
      </c>
      <c r="B192" s="1">
        <f>VLOOKUP(A192,Data[],2,FALSE)</f>
        <v>0</v>
      </c>
      <c r="C192" s="9" t="s">
        <v>27</v>
      </c>
      <c r="D192" s="9">
        <f>VLOOKUP(EHD[[#This Row],[DEVELOPMENT]],Data[],27,FALSE)</f>
        <v>0</v>
      </c>
      <c r="E192" s="1">
        <f>VLOOKUP(EHD[[#This Row],[DEVELOPMENT]],Data[],8,FALSE)</f>
        <v>0</v>
      </c>
      <c r="F192" s="1">
        <f>VLOOKUP(EHD[[#This Row],[DEVELOPMENT]],Data[],9,FALSE)</f>
        <v>0</v>
      </c>
      <c r="G192" s="1" t="str">
        <f>IFERROR(VLOOKUP(EHD[[#This Row],[DEVELOPMENT]],Data[],4,FALSE),"")</f>
        <v/>
      </c>
      <c r="H192" s="1" t="str">
        <f ca="1">IF(EHD[[#This Row],[RAD/PACT]]="","",IF((EHD[[#This Row],[RAD/PACT]]-YEAR(TODAY()))&lt;=5,"Yes",""))</f>
        <v/>
      </c>
      <c r="I192" s="1"/>
      <c r="J192" s="1"/>
      <c r="K192" s="1"/>
      <c r="L192" s="1"/>
      <c r="M192" s="63">
        <f>IF(EHD[[#This Row],[RAD/PACT]]&lt;=2020,0,INDEX(UnitCosts[],MATCH(EHD[[#This Row],[WORK TYPE]],UnitCosts[Work Type],0),2)*EHD[[#This Row],['# Hopper Doors]])</f>
        <v>0</v>
      </c>
      <c r="N192" s="63">
        <f t="shared" si="2"/>
        <v>9086356.3569999933</v>
      </c>
    </row>
    <row r="193" spans="1:14" x14ac:dyDescent="0.25">
      <c r="A193" s="1" t="s">
        <v>226</v>
      </c>
      <c r="B193" s="1">
        <f>VLOOKUP(A193,Data[],2,FALSE)</f>
        <v>0</v>
      </c>
      <c r="C193" s="9" t="s">
        <v>27</v>
      </c>
      <c r="D193" s="9">
        <f>VLOOKUP(EHD[[#This Row],[DEVELOPMENT]],Data[],27,FALSE)</f>
        <v>0</v>
      </c>
      <c r="E193" s="1">
        <f>VLOOKUP(EHD[[#This Row],[DEVELOPMENT]],Data[],8,FALSE)</f>
        <v>0</v>
      </c>
      <c r="F193" s="1">
        <f>VLOOKUP(EHD[[#This Row],[DEVELOPMENT]],Data[],9,FALSE)</f>
        <v>0</v>
      </c>
      <c r="G193" s="1" t="str">
        <f>IFERROR(VLOOKUP(EHD[[#This Row],[DEVELOPMENT]],Data[],4,FALSE),"")</f>
        <v/>
      </c>
      <c r="H193" s="1" t="str">
        <f ca="1">IF(EHD[[#This Row],[RAD/PACT]]="","",IF((EHD[[#This Row],[RAD/PACT]]-YEAR(TODAY()))&lt;=5,"Yes",""))</f>
        <v/>
      </c>
      <c r="I193" s="1"/>
      <c r="J193" s="1"/>
      <c r="K193" s="1"/>
      <c r="L193" s="1"/>
      <c r="M193" s="63">
        <f>IF(EHD[[#This Row],[RAD/PACT]]&lt;=2020,0,INDEX(UnitCosts[],MATCH(EHD[[#This Row],[WORK TYPE]],UnitCosts[Work Type],0),2)*EHD[[#This Row],['# Hopper Doors]])</f>
        <v>0</v>
      </c>
      <c r="N193" s="63">
        <f t="shared" si="2"/>
        <v>9086356.3569999933</v>
      </c>
    </row>
    <row r="194" spans="1:14" x14ac:dyDescent="0.25">
      <c r="A194" s="1" t="s">
        <v>227</v>
      </c>
      <c r="B194" s="1">
        <f>VLOOKUP(A194,Data[],2,FALSE)</f>
        <v>0</v>
      </c>
      <c r="C194" s="9" t="s">
        <v>27</v>
      </c>
      <c r="D194" s="9">
        <f>VLOOKUP(EHD[[#This Row],[DEVELOPMENT]],Data[],27,FALSE)</f>
        <v>0</v>
      </c>
      <c r="E194" s="1">
        <f>VLOOKUP(EHD[[#This Row],[DEVELOPMENT]],Data[],8,FALSE)</f>
        <v>0</v>
      </c>
      <c r="F194" s="1">
        <f>VLOOKUP(EHD[[#This Row],[DEVELOPMENT]],Data[],9,FALSE)</f>
        <v>0</v>
      </c>
      <c r="G194" s="1" t="str">
        <f>IFERROR(VLOOKUP(EHD[[#This Row],[DEVELOPMENT]],Data[],4,FALSE),"")</f>
        <v/>
      </c>
      <c r="H194" s="1" t="str">
        <f ca="1">IF(EHD[[#This Row],[RAD/PACT]]="","",IF((EHD[[#This Row],[RAD/PACT]]-YEAR(TODAY()))&lt;=5,"Yes",""))</f>
        <v/>
      </c>
      <c r="I194" s="1"/>
      <c r="J194" s="1"/>
      <c r="K194" s="1"/>
      <c r="L194" s="1"/>
      <c r="M194" s="63">
        <f>IF(EHD[[#This Row],[RAD/PACT]]&lt;=2020,0,INDEX(UnitCosts[],MATCH(EHD[[#This Row],[WORK TYPE]],UnitCosts[Work Type],0),2)*EHD[[#This Row],['# Hopper Doors]])</f>
        <v>0</v>
      </c>
      <c r="N194" s="63">
        <f t="shared" si="2"/>
        <v>9086356.3569999933</v>
      </c>
    </row>
    <row r="195" spans="1:14" x14ac:dyDescent="0.25">
      <c r="A195" s="1" t="s">
        <v>228</v>
      </c>
      <c r="B195" s="1">
        <f>VLOOKUP(A195,Data[],2,FALSE)</f>
        <v>0</v>
      </c>
      <c r="C195" s="9" t="s">
        <v>27</v>
      </c>
      <c r="D195" s="9">
        <f>VLOOKUP(EHD[[#This Row],[DEVELOPMENT]],Data[],27,FALSE)</f>
        <v>0</v>
      </c>
      <c r="E195" s="1">
        <f>VLOOKUP(EHD[[#This Row],[DEVELOPMENT]],Data[],8,FALSE)</f>
        <v>0</v>
      </c>
      <c r="F195" s="1">
        <f>VLOOKUP(EHD[[#This Row],[DEVELOPMENT]],Data[],9,FALSE)</f>
        <v>0</v>
      </c>
      <c r="G195" s="1" t="str">
        <f>IFERROR(VLOOKUP(EHD[[#This Row],[DEVELOPMENT]],Data[],4,FALSE),"")</f>
        <v/>
      </c>
      <c r="H195" s="1" t="str">
        <f ca="1">IF(EHD[[#This Row],[RAD/PACT]]="","",IF((EHD[[#This Row],[RAD/PACT]]-YEAR(TODAY()))&lt;=5,"Yes",""))</f>
        <v/>
      </c>
      <c r="I195" s="1"/>
      <c r="J195" s="1"/>
      <c r="K195" s="1"/>
      <c r="L195" s="1"/>
      <c r="M195" s="63">
        <f>IF(EHD[[#This Row],[RAD/PACT]]&lt;=2020,0,INDEX(UnitCosts[],MATCH(EHD[[#This Row],[WORK TYPE]],UnitCosts[Work Type],0),2)*EHD[[#This Row],['# Hopper Doors]])</f>
        <v>0</v>
      </c>
      <c r="N195" s="63">
        <f t="shared" si="2"/>
        <v>9086356.3569999933</v>
      </c>
    </row>
    <row r="196" spans="1:14" x14ac:dyDescent="0.25">
      <c r="A196" s="1" t="s">
        <v>229</v>
      </c>
      <c r="B196" s="1">
        <f>VLOOKUP(A196,Data[],2,FALSE)</f>
        <v>0</v>
      </c>
      <c r="C196" s="9" t="s">
        <v>27</v>
      </c>
      <c r="D196" s="9">
        <f>VLOOKUP(EHD[[#This Row],[DEVELOPMENT]],Data[],27,FALSE)</f>
        <v>0</v>
      </c>
      <c r="E196" s="1">
        <f>VLOOKUP(EHD[[#This Row],[DEVELOPMENT]],Data[],8,FALSE)</f>
        <v>0</v>
      </c>
      <c r="F196" s="1">
        <f>VLOOKUP(EHD[[#This Row],[DEVELOPMENT]],Data[],9,FALSE)</f>
        <v>0</v>
      </c>
      <c r="G196" s="1" t="str">
        <f>IFERROR(VLOOKUP(EHD[[#This Row],[DEVELOPMENT]],Data[],4,FALSE),"")</f>
        <v/>
      </c>
      <c r="H196" s="1" t="str">
        <f ca="1">IF(EHD[[#This Row],[RAD/PACT]]="","",IF((EHD[[#This Row],[RAD/PACT]]-YEAR(TODAY()))&lt;=5,"Yes",""))</f>
        <v/>
      </c>
      <c r="I196" s="1"/>
      <c r="J196" s="1"/>
      <c r="K196" s="1"/>
      <c r="L196" s="1"/>
      <c r="M196" s="63">
        <f>IF(EHD[[#This Row],[RAD/PACT]]&lt;=2020,0,INDEX(UnitCosts[],MATCH(EHD[[#This Row],[WORK TYPE]],UnitCosts[Work Type],0),2)*EHD[[#This Row],['# Hopper Doors]])</f>
        <v>0</v>
      </c>
      <c r="N196" s="63">
        <f t="shared" ref="N196:N259" si="3">IF(I196=I195,(M196+L196)+N195,(M196+L196))</f>
        <v>9086356.3569999933</v>
      </c>
    </row>
    <row r="197" spans="1:14" x14ac:dyDescent="0.25">
      <c r="A197" s="1" t="s">
        <v>230</v>
      </c>
      <c r="B197" s="1" t="str">
        <f>VLOOKUP(A197,Data[],2,FALSE)</f>
        <v>BROOKLYN</v>
      </c>
      <c r="C197" s="9" t="s">
        <v>27</v>
      </c>
      <c r="D197" s="9">
        <f>VLOOKUP(EHD[[#This Row],[DEVELOPMENT]],Data[],27,FALSE)</f>
        <v>3</v>
      </c>
      <c r="E197" s="1">
        <f>VLOOKUP(EHD[[#This Row],[DEVELOPMENT]],Data[],8,FALSE)</f>
        <v>0</v>
      </c>
      <c r="F197" s="1">
        <f>VLOOKUP(EHD[[#This Row],[DEVELOPMENT]],Data[],9,FALSE)</f>
        <v>0</v>
      </c>
      <c r="G197" s="1">
        <f>IFERROR(VLOOKUP(EHD[[#This Row],[DEVELOPMENT]],Data[],4,FALSE),"")</f>
        <v>2026</v>
      </c>
      <c r="H197" s="1" t="str">
        <f ca="1">IF(EHD[[#This Row],[RAD/PACT]]="","",IF((EHD[[#This Row],[RAD/PACT]]-YEAR(TODAY()))&lt;=5,"Yes",""))</f>
        <v/>
      </c>
      <c r="I197" s="1"/>
      <c r="J197" s="1"/>
      <c r="K197" s="1"/>
      <c r="L197" s="1"/>
      <c r="M197" s="63">
        <f>IF(EHD[[#This Row],[RAD/PACT]]&lt;=2020,0,INDEX(UnitCosts[],MATCH(EHD[[#This Row],[WORK TYPE]],UnitCosts[Work Type],0),2)*EHD[[#This Row],['# Hopper Doors]])</f>
        <v>22306.930500000002</v>
      </c>
      <c r="N197" s="63">
        <f t="shared" si="3"/>
        <v>9108663.287499994</v>
      </c>
    </row>
    <row r="198" spans="1:14" x14ac:dyDescent="0.25">
      <c r="A198" s="1" t="s">
        <v>233</v>
      </c>
      <c r="B198" s="1" t="str">
        <f>VLOOKUP(A198,Data[],2,FALSE)</f>
        <v>BRONX</v>
      </c>
      <c r="C198" s="9" t="s">
        <v>27</v>
      </c>
      <c r="D198" s="9">
        <f>VLOOKUP(EHD[[#This Row],[DEVELOPMENT]],Data[],27,FALSE)</f>
        <v>2</v>
      </c>
      <c r="E198" s="1">
        <f>VLOOKUP(EHD[[#This Row],[DEVELOPMENT]],Data[],8,FALSE)</f>
        <v>0</v>
      </c>
      <c r="F198" s="1">
        <f>VLOOKUP(EHD[[#This Row],[DEVELOPMENT]],Data[],9,FALSE)</f>
        <v>0</v>
      </c>
      <c r="G198" s="1" t="str">
        <f>IFERROR(VLOOKUP(EHD[[#This Row],[DEVELOPMENT]],Data[],4,FALSE),"")</f>
        <v/>
      </c>
      <c r="H198" s="1" t="str">
        <f ca="1">IF(EHD[[#This Row],[RAD/PACT]]="","",IF((EHD[[#This Row],[RAD/PACT]]-YEAR(TODAY()))&lt;=5,"Yes",""))</f>
        <v/>
      </c>
      <c r="I198" s="1"/>
      <c r="J198" s="1"/>
      <c r="K198" s="1"/>
      <c r="L198" s="1"/>
      <c r="M198" s="63">
        <f>IF(EHD[[#This Row],[RAD/PACT]]&lt;=2020,0,INDEX(UnitCosts[],MATCH(EHD[[#This Row],[WORK TYPE]],UnitCosts[Work Type],0),2)*EHD[[#This Row],['# Hopper Doors]])</f>
        <v>14871.287</v>
      </c>
      <c r="N198" s="63">
        <f t="shared" si="3"/>
        <v>9123534.5744999945</v>
      </c>
    </row>
    <row r="199" spans="1:14" x14ac:dyDescent="0.25">
      <c r="A199" s="1" t="s">
        <v>234</v>
      </c>
      <c r="B199" s="1" t="str">
        <f>VLOOKUP(A199,Data[],2,FALSE)</f>
        <v>BROOKLYN</v>
      </c>
      <c r="C199" s="9" t="s">
        <v>27</v>
      </c>
      <c r="D199" s="9">
        <f>VLOOKUP(EHD[[#This Row],[DEVELOPMENT]],Data[],27,FALSE)</f>
        <v>5</v>
      </c>
      <c r="E199" s="1">
        <f>VLOOKUP(EHD[[#This Row],[DEVELOPMENT]],Data[],8,FALSE)</f>
        <v>0</v>
      </c>
      <c r="F199" s="1">
        <f>VLOOKUP(EHD[[#This Row],[DEVELOPMENT]],Data[],9,FALSE)</f>
        <v>0</v>
      </c>
      <c r="G199" s="1" t="str">
        <f>IFERROR(VLOOKUP(EHD[[#This Row],[DEVELOPMENT]],Data[],4,FALSE),"")</f>
        <v/>
      </c>
      <c r="H199" s="1" t="str">
        <f ca="1">IF(EHD[[#This Row],[RAD/PACT]]="","",IF((EHD[[#This Row],[RAD/PACT]]-YEAR(TODAY()))&lt;=5,"Yes",""))</f>
        <v/>
      </c>
      <c r="I199" s="1"/>
      <c r="J199" s="1"/>
      <c r="K199" s="1"/>
      <c r="L199" s="1"/>
      <c r="M199" s="63">
        <f>IF(EHD[[#This Row],[RAD/PACT]]&lt;=2020,0,INDEX(UnitCosts[],MATCH(EHD[[#This Row],[WORK TYPE]],UnitCosts[Work Type],0),2)*EHD[[#This Row],['# Hopper Doors]])</f>
        <v>37178.217499999999</v>
      </c>
      <c r="N199" s="63">
        <f t="shared" si="3"/>
        <v>9160712.7919999938</v>
      </c>
    </row>
    <row r="200" spans="1:14" x14ac:dyDescent="0.25">
      <c r="A200" s="1" t="s">
        <v>235</v>
      </c>
      <c r="B200" s="1" t="str">
        <f>VLOOKUP(A200,Data[],2,FALSE)</f>
        <v>BRONX</v>
      </c>
      <c r="C200" s="9" t="s">
        <v>27</v>
      </c>
      <c r="D200" s="9">
        <f>VLOOKUP(EHD[[#This Row],[DEVELOPMENT]],Data[],27,FALSE)</f>
        <v>2</v>
      </c>
      <c r="E200" s="1">
        <f>VLOOKUP(EHD[[#This Row],[DEVELOPMENT]],Data[],8,FALSE)</f>
        <v>0</v>
      </c>
      <c r="F200" s="1">
        <f>VLOOKUP(EHD[[#This Row],[DEVELOPMENT]],Data[],9,FALSE)</f>
        <v>0</v>
      </c>
      <c r="G200" s="1">
        <f>IFERROR(VLOOKUP(EHD[[#This Row],[DEVELOPMENT]],Data[],4,FALSE),"")</f>
        <v>2021</v>
      </c>
      <c r="H200" s="1" t="str">
        <f ca="1">IF(EHD[[#This Row],[RAD/PACT]]="","",IF((EHD[[#This Row],[RAD/PACT]]-YEAR(TODAY()))&lt;=5,"Yes",""))</f>
        <v>Yes</v>
      </c>
      <c r="I200" s="1"/>
      <c r="J200" s="1"/>
      <c r="K200" s="1"/>
      <c r="L200" s="1"/>
      <c r="M200" s="63">
        <f>IF(EHD[[#This Row],[RAD/PACT]]&lt;=2020,0,INDEX(UnitCosts[],MATCH(EHD[[#This Row],[WORK TYPE]],UnitCosts[Work Type],0),2)*EHD[[#This Row],['# Hopper Doors]])</f>
        <v>14871.287</v>
      </c>
      <c r="N200" s="63">
        <f t="shared" si="3"/>
        <v>9175584.0789999943</v>
      </c>
    </row>
    <row r="201" spans="1:14" x14ac:dyDescent="0.25">
      <c r="A201" s="1" t="s">
        <v>236</v>
      </c>
      <c r="B201" s="1" t="str">
        <f>VLOOKUP(A201,Data[],2,FALSE)</f>
        <v>BROOKLYN</v>
      </c>
      <c r="C201" s="9" t="s">
        <v>27</v>
      </c>
      <c r="D201" s="9">
        <f>VLOOKUP(EHD[[#This Row],[DEVELOPMENT]],Data[],27,FALSE)</f>
        <v>4</v>
      </c>
      <c r="E201" s="1">
        <f>VLOOKUP(EHD[[#This Row],[DEVELOPMENT]],Data[],8,FALSE)</f>
        <v>0</v>
      </c>
      <c r="F201" s="1">
        <f>VLOOKUP(EHD[[#This Row],[DEVELOPMENT]],Data[],9,FALSE)</f>
        <v>0</v>
      </c>
      <c r="G201" s="1" t="str">
        <f>IFERROR(VLOOKUP(EHD[[#This Row],[DEVELOPMENT]],Data[],4,FALSE),"")</f>
        <v/>
      </c>
      <c r="H201" s="1" t="str">
        <f ca="1">IF(EHD[[#This Row],[RAD/PACT]]="","",IF((EHD[[#This Row],[RAD/PACT]]-YEAR(TODAY()))&lt;=5,"Yes",""))</f>
        <v/>
      </c>
      <c r="I201" s="1"/>
      <c r="J201" s="1"/>
      <c r="K201" s="1"/>
      <c r="L201" s="1"/>
      <c r="M201" s="63">
        <f>IF(EHD[[#This Row],[RAD/PACT]]&lt;=2020,0,INDEX(UnitCosts[],MATCH(EHD[[#This Row],[WORK TYPE]],UnitCosts[Work Type],0),2)*EHD[[#This Row],['# Hopper Doors]])</f>
        <v>29742.574000000001</v>
      </c>
      <c r="N201" s="63">
        <f t="shared" si="3"/>
        <v>9205326.6529999934</v>
      </c>
    </row>
    <row r="202" spans="1:14" x14ac:dyDescent="0.25">
      <c r="A202" s="1" t="s">
        <v>237</v>
      </c>
      <c r="B202" s="1" t="str">
        <f>VLOOKUP(A202,Data[],2,FALSE)</f>
        <v>BROOKLYN</v>
      </c>
      <c r="C202" s="9" t="s">
        <v>27</v>
      </c>
      <c r="D202" s="9">
        <f>VLOOKUP(EHD[[#This Row],[DEVELOPMENT]],Data[],27,FALSE)</f>
        <v>40</v>
      </c>
      <c r="E202" s="1">
        <f>VLOOKUP(EHD[[#This Row],[DEVELOPMENT]],Data[],8,FALSE)</f>
        <v>0</v>
      </c>
      <c r="F202" s="1">
        <f>VLOOKUP(EHD[[#This Row],[DEVELOPMENT]],Data[],9,FALSE)</f>
        <v>0</v>
      </c>
      <c r="G202" s="1">
        <f>IFERROR(VLOOKUP(EHD[[#This Row],[DEVELOPMENT]],Data[],4,FALSE),"")</f>
        <v>2028</v>
      </c>
      <c r="H202" s="1" t="str">
        <f ca="1">IF(EHD[[#This Row],[RAD/PACT]]="","",IF((EHD[[#This Row],[RAD/PACT]]-YEAR(TODAY()))&lt;=5,"Yes",""))</f>
        <v/>
      </c>
      <c r="I202" s="1"/>
      <c r="J202" s="1"/>
      <c r="K202" s="1"/>
      <c r="L202" s="1"/>
      <c r="M202" s="63">
        <f>IF(EHD[[#This Row],[RAD/PACT]]&lt;=2020,0,INDEX(UnitCosts[],MATCH(EHD[[#This Row],[WORK TYPE]],UnitCosts[Work Type],0),2)*EHD[[#This Row],['# Hopper Doors]])</f>
        <v>297425.74</v>
      </c>
      <c r="N202" s="63">
        <f t="shared" si="3"/>
        <v>9502752.3929999936</v>
      </c>
    </row>
    <row r="203" spans="1:14" x14ac:dyDescent="0.25">
      <c r="A203" s="1" t="s">
        <v>238</v>
      </c>
      <c r="B203" s="1" t="str">
        <f>VLOOKUP(A203,Data[],2,FALSE)</f>
        <v>BROOKLYN</v>
      </c>
      <c r="C203" s="9" t="s">
        <v>27</v>
      </c>
      <c r="D203" s="9">
        <f>VLOOKUP(EHD[[#This Row],[DEVELOPMENT]],Data[],27,FALSE)</f>
        <v>24</v>
      </c>
      <c r="E203" s="1">
        <f>VLOOKUP(EHD[[#This Row],[DEVELOPMENT]],Data[],8,FALSE)</f>
        <v>0</v>
      </c>
      <c r="F203" s="1">
        <f>VLOOKUP(EHD[[#This Row],[DEVELOPMENT]],Data[],9,FALSE)</f>
        <v>0</v>
      </c>
      <c r="G203" s="1" t="str">
        <f>IFERROR(VLOOKUP(EHD[[#This Row],[DEVELOPMENT]],Data[],4,FALSE),"")</f>
        <v/>
      </c>
      <c r="H203" s="1" t="str">
        <f ca="1">IF(EHD[[#This Row],[RAD/PACT]]="","",IF((EHD[[#This Row],[RAD/PACT]]-YEAR(TODAY()))&lt;=5,"Yes",""))</f>
        <v/>
      </c>
      <c r="I203" s="1"/>
      <c r="J203" s="1"/>
      <c r="K203" s="1"/>
      <c r="L203" s="1"/>
      <c r="M203" s="63">
        <f>IF(EHD[[#This Row],[RAD/PACT]]&lt;=2020,0,INDEX(UnitCosts[],MATCH(EHD[[#This Row],[WORK TYPE]],UnitCosts[Work Type],0),2)*EHD[[#This Row],['# Hopper Doors]])</f>
        <v>178455.44400000002</v>
      </c>
      <c r="N203" s="63">
        <f t="shared" si="3"/>
        <v>9681207.8369999938</v>
      </c>
    </row>
    <row r="204" spans="1:14" x14ac:dyDescent="0.25">
      <c r="A204" s="1" t="s">
        <v>239</v>
      </c>
      <c r="B204" s="1" t="str">
        <f>VLOOKUP(A204,Data[],2,FALSE)</f>
        <v>BROOKLYN</v>
      </c>
      <c r="C204" s="9" t="s">
        <v>27</v>
      </c>
      <c r="D204" s="9">
        <f>VLOOKUP(EHD[[#This Row],[DEVELOPMENT]],Data[],27,FALSE)</f>
        <v>15</v>
      </c>
      <c r="E204" s="1">
        <f>VLOOKUP(EHD[[#This Row],[DEVELOPMENT]],Data[],8,FALSE)</f>
        <v>0</v>
      </c>
      <c r="F204" s="1">
        <f>VLOOKUP(EHD[[#This Row],[DEVELOPMENT]],Data[],9,FALSE)</f>
        <v>0</v>
      </c>
      <c r="G204" s="1" t="str">
        <f>IFERROR(VLOOKUP(EHD[[#This Row],[DEVELOPMENT]],Data[],4,FALSE),"")</f>
        <v/>
      </c>
      <c r="H204" s="1" t="str">
        <f ca="1">IF(EHD[[#This Row],[RAD/PACT]]="","",IF((EHD[[#This Row],[RAD/PACT]]-YEAR(TODAY()))&lt;=5,"Yes",""))</f>
        <v/>
      </c>
      <c r="I204" s="1"/>
      <c r="J204" s="1"/>
      <c r="K204" s="1"/>
      <c r="L204" s="1"/>
      <c r="M204" s="63">
        <f>IF(EHD[[#This Row],[RAD/PACT]]&lt;=2020,0,INDEX(UnitCosts[],MATCH(EHD[[#This Row],[WORK TYPE]],UnitCosts[Work Type],0),2)*EHD[[#This Row],['# Hopper Doors]])</f>
        <v>111534.6525</v>
      </c>
      <c r="N204" s="63">
        <f t="shared" si="3"/>
        <v>9792742.4894999936</v>
      </c>
    </row>
    <row r="205" spans="1:14" x14ac:dyDescent="0.25">
      <c r="A205" s="1" t="s">
        <v>240</v>
      </c>
      <c r="B205" s="1" t="str">
        <f>VLOOKUP(A205,Data[],2,FALSE)</f>
        <v>BRONX</v>
      </c>
      <c r="C205" s="9" t="s">
        <v>27</v>
      </c>
      <c r="D205" s="9">
        <f>VLOOKUP(EHD[[#This Row],[DEVELOPMENT]],Data[],27,FALSE)</f>
        <v>6</v>
      </c>
      <c r="E205" s="1">
        <f>VLOOKUP(EHD[[#This Row],[DEVELOPMENT]],Data[],8,FALSE)</f>
        <v>0</v>
      </c>
      <c r="F205" s="1">
        <f>VLOOKUP(EHD[[#This Row],[DEVELOPMENT]],Data[],9,FALSE)</f>
        <v>0</v>
      </c>
      <c r="G205" s="1" t="str">
        <f>IFERROR(VLOOKUP(EHD[[#This Row],[DEVELOPMENT]],Data[],4,FALSE),"")</f>
        <v/>
      </c>
      <c r="H205" s="1" t="str">
        <f ca="1">IF(EHD[[#This Row],[RAD/PACT]]="","",IF((EHD[[#This Row],[RAD/PACT]]-YEAR(TODAY()))&lt;=5,"Yes",""))</f>
        <v/>
      </c>
      <c r="I205" s="1"/>
      <c r="J205" s="1"/>
      <c r="K205" s="1"/>
      <c r="L205" s="1"/>
      <c r="M205" s="63">
        <f>IF(EHD[[#This Row],[RAD/PACT]]&lt;=2020,0,INDEX(UnitCosts[],MATCH(EHD[[#This Row],[WORK TYPE]],UnitCosts[Work Type],0),2)*EHD[[#This Row],['# Hopper Doors]])</f>
        <v>44613.861000000004</v>
      </c>
      <c r="N205" s="63">
        <f t="shared" si="3"/>
        <v>9837356.3504999932</v>
      </c>
    </row>
    <row r="206" spans="1:14" x14ac:dyDescent="0.25">
      <c r="A206" s="1" t="s">
        <v>242</v>
      </c>
      <c r="B206" s="1" t="str">
        <f>VLOOKUP(A206,Data[],2,FALSE)</f>
        <v>QUEENS</v>
      </c>
      <c r="C206" s="9" t="s">
        <v>27</v>
      </c>
      <c r="D206" s="9">
        <f>VLOOKUP(EHD[[#This Row],[DEVELOPMENT]],Data[],27,FALSE)</f>
        <v>14</v>
      </c>
      <c r="E206" s="1">
        <f>VLOOKUP(EHD[[#This Row],[DEVELOPMENT]],Data[],8,FALSE)</f>
        <v>0</v>
      </c>
      <c r="F206" s="1">
        <f>VLOOKUP(EHD[[#This Row],[DEVELOPMENT]],Data[],9,FALSE)</f>
        <v>0</v>
      </c>
      <c r="G206" s="1" t="str">
        <f>IFERROR(VLOOKUP(EHD[[#This Row],[DEVELOPMENT]],Data[],4,FALSE),"")</f>
        <v/>
      </c>
      <c r="H206" s="1" t="str">
        <f ca="1">IF(EHD[[#This Row],[RAD/PACT]]="","",IF((EHD[[#This Row],[RAD/PACT]]-YEAR(TODAY()))&lt;=5,"Yes",""))</f>
        <v/>
      </c>
      <c r="I206" s="1"/>
      <c r="J206" s="1"/>
      <c r="K206" s="1"/>
      <c r="L206" s="1"/>
      <c r="M206" s="63">
        <f>IF(EHD[[#This Row],[RAD/PACT]]&lt;=2020,0,INDEX(UnitCosts[],MATCH(EHD[[#This Row],[WORK TYPE]],UnitCosts[Work Type],0),2)*EHD[[#This Row],['# Hopper Doors]])</f>
        <v>104099.00900000001</v>
      </c>
      <c r="N206" s="63">
        <f t="shared" si="3"/>
        <v>9941455.3594999928</v>
      </c>
    </row>
    <row r="207" spans="1:14" x14ac:dyDescent="0.25">
      <c r="A207" s="1" t="s">
        <v>243</v>
      </c>
      <c r="B207" s="1" t="str">
        <f>VLOOKUP(A207,Data[],2,FALSE)</f>
        <v>MANHATTAN</v>
      </c>
      <c r="C207" s="9" t="s">
        <v>27</v>
      </c>
      <c r="D207" s="9">
        <f>VLOOKUP(EHD[[#This Row],[DEVELOPMENT]],Data[],27,FALSE)</f>
        <v>2</v>
      </c>
      <c r="E207" s="1">
        <f>VLOOKUP(EHD[[#This Row],[DEVELOPMENT]],Data[],8,FALSE)</f>
        <v>0</v>
      </c>
      <c r="F207" s="1">
        <f>VLOOKUP(EHD[[#This Row],[DEVELOPMENT]],Data[],9,FALSE)</f>
        <v>0</v>
      </c>
      <c r="G207" s="1" t="str">
        <f>IFERROR(VLOOKUP(EHD[[#This Row],[DEVELOPMENT]],Data[],4,FALSE),"")</f>
        <v/>
      </c>
      <c r="H207" s="1" t="str">
        <f ca="1">IF(EHD[[#This Row],[RAD/PACT]]="","",IF((EHD[[#This Row],[RAD/PACT]]-YEAR(TODAY()))&lt;=5,"Yes",""))</f>
        <v/>
      </c>
      <c r="I207" s="1"/>
      <c r="J207" s="1"/>
      <c r="K207" s="1"/>
      <c r="L207" s="1"/>
      <c r="M207" s="63">
        <f>IF(EHD[[#This Row],[RAD/PACT]]&lt;=2020,0,INDEX(UnitCosts[],MATCH(EHD[[#This Row],[WORK TYPE]],UnitCosts[Work Type],0),2)*EHD[[#This Row],['# Hopper Doors]])</f>
        <v>14871.287</v>
      </c>
      <c r="N207" s="63">
        <f t="shared" si="3"/>
        <v>9956326.6464999933</v>
      </c>
    </row>
    <row r="208" spans="1:14" x14ac:dyDescent="0.25">
      <c r="A208" s="1" t="s">
        <v>244</v>
      </c>
      <c r="B208" s="1" t="str">
        <f>VLOOKUP(A208,Data[],2,FALSE)</f>
        <v>BRONX</v>
      </c>
      <c r="C208" s="9" t="s">
        <v>27</v>
      </c>
      <c r="D208" s="9">
        <f>VLOOKUP(EHD[[#This Row],[DEVELOPMENT]],Data[],27,FALSE)</f>
        <v>1</v>
      </c>
      <c r="E208" s="1">
        <f>VLOOKUP(EHD[[#This Row],[DEVELOPMENT]],Data[],8,FALSE)</f>
        <v>0</v>
      </c>
      <c r="F208" s="1">
        <f>VLOOKUP(EHD[[#This Row],[DEVELOPMENT]],Data[],9,FALSE)</f>
        <v>0</v>
      </c>
      <c r="G208" s="1" t="str">
        <f>IFERROR(VLOOKUP(EHD[[#This Row],[DEVELOPMENT]],Data[],4,FALSE),"")</f>
        <v/>
      </c>
      <c r="H208" s="1" t="str">
        <f ca="1">IF(EHD[[#This Row],[RAD/PACT]]="","",IF((EHD[[#This Row],[RAD/PACT]]-YEAR(TODAY()))&lt;=5,"Yes",""))</f>
        <v/>
      </c>
      <c r="I208" s="1"/>
      <c r="J208" s="1"/>
      <c r="K208" s="1"/>
      <c r="L208" s="1"/>
      <c r="M208" s="63">
        <f>IF(EHD[[#This Row],[RAD/PACT]]&lt;=2020,0,INDEX(UnitCosts[],MATCH(EHD[[#This Row],[WORK TYPE]],UnitCosts[Work Type],0),2)*EHD[[#This Row],['# Hopper Doors]])</f>
        <v>7435.6435000000001</v>
      </c>
      <c r="N208" s="63">
        <f t="shared" si="3"/>
        <v>9963762.2899999935</v>
      </c>
    </row>
    <row r="209" spans="1:14" x14ac:dyDescent="0.25">
      <c r="A209" s="1" t="s">
        <v>245</v>
      </c>
      <c r="B209" s="1" t="str">
        <f>VLOOKUP(A209,Data[],2,FALSE)</f>
        <v>BRONX</v>
      </c>
      <c r="C209" s="9" t="s">
        <v>27</v>
      </c>
      <c r="D209" s="9">
        <f>VLOOKUP(EHD[[#This Row],[DEVELOPMENT]],Data[],27,FALSE)</f>
        <v>4</v>
      </c>
      <c r="E209" s="1">
        <f>VLOOKUP(EHD[[#This Row],[DEVELOPMENT]],Data[],8,FALSE)</f>
        <v>0</v>
      </c>
      <c r="F209" s="1">
        <f>VLOOKUP(EHD[[#This Row],[DEVELOPMENT]],Data[],9,FALSE)</f>
        <v>0</v>
      </c>
      <c r="G209" s="1" t="str">
        <f>IFERROR(VLOOKUP(EHD[[#This Row],[DEVELOPMENT]],Data[],4,FALSE),"")</f>
        <v/>
      </c>
      <c r="H209" s="1" t="str">
        <f ca="1">IF(EHD[[#This Row],[RAD/PACT]]="","",IF((EHD[[#This Row],[RAD/PACT]]-YEAR(TODAY()))&lt;=5,"Yes",""))</f>
        <v/>
      </c>
      <c r="I209" s="1"/>
      <c r="J209" s="1"/>
      <c r="K209" s="1"/>
      <c r="L209" s="1"/>
      <c r="M209" s="63">
        <f>IF(EHD[[#This Row],[RAD/PACT]]&lt;=2020,0,INDEX(UnitCosts[],MATCH(EHD[[#This Row],[WORK TYPE]],UnitCosts[Work Type],0),2)*EHD[[#This Row],['# Hopper Doors]])</f>
        <v>29742.574000000001</v>
      </c>
      <c r="N209" s="63">
        <f t="shared" si="3"/>
        <v>9993504.8639999926</v>
      </c>
    </row>
    <row r="210" spans="1:14" x14ac:dyDescent="0.25">
      <c r="A210" s="1" t="s">
        <v>248</v>
      </c>
      <c r="B210" s="1" t="str">
        <f>VLOOKUP(A210,Data[],2,FALSE)</f>
        <v>BRONX</v>
      </c>
      <c r="C210" s="9" t="s">
        <v>27</v>
      </c>
      <c r="D210" s="9">
        <f>VLOOKUP(EHD[[#This Row],[DEVELOPMENT]],Data[],27,FALSE)</f>
        <v>1</v>
      </c>
      <c r="E210" s="1">
        <f>VLOOKUP(EHD[[#This Row],[DEVELOPMENT]],Data[],8,FALSE)</f>
        <v>0</v>
      </c>
      <c r="F210" s="1">
        <f>VLOOKUP(EHD[[#This Row],[DEVELOPMENT]],Data[],9,FALSE)</f>
        <v>0</v>
      </c>
      <c r="G210" s="1" t="str">
        <f>IFERROR(VLOOKUP(EHD[[#This Row],[DEVELOPMENT]],Data[],4,FALSE),"")</f>
        <v/>
      </c>
      <c r="H210" s="1" t="str">
        <f ca="1">IF(EHD[[#This Row],[RAD/PACT]]="","",IF((EHD[[#This Row],[RAD/PACT]]-YEAR(TODAY()))&lt;=5,"Yes",""))</f>
        <v/>
      </c>
      <c r="I210" s="1"/>
      <c r="J210" s="1"/>
      <c r="K210" s="1"/>
      <c r="L210" s="1"/>
      <c r="M210" s="63">
        <f>IF(EHD[[#This Row],[RAD/PACT]]&lt;=2020,0,INDEX(UnitCosts[],MATCH(EHD[[#This Row],[WORK TYPE]],UnitCosts[Work Type],0),2)*EHD[[#This Row],['# Hopper Doors]])</f>
        <v>7435.6435000000001</v>
      </c>
      <c r="N210" s="63">
        <f t="shared" si="3"/>
        <v>10000940.507499993</v>
      </c>
    </row>
    <row r="211" spans="1:14" x14ac:dyDescent="0.25">
      <c r="A211" s="1" t="s">
        <v>249</v>
      </c>
      <c r="B211" s="1" t="str">
        <f>VLOOKUP(A211,Data[],2,FALSE)</f>
        <v>MANHATTAN</v>
      </c>
      <c r="C211" s="9" t="s">
        <v>27</v>
      </c>
      <c r="D211" s="9">
        <f>VLOOKUP(EHD[[#This Row],[DEVELOPMENT]],Data[],27,FALSE)</f>
        <v>2</v>
      </c>
      <c r="E211" s="1">
        <f>VLOOKUP(EHD[[#This Row],[DEVELOPMENT]],Data[],8,FALSE)</f>
        <v>0</v>
      </c>
      <c r="F211" s="1">
        <f>VLOOKUP(EHD[[#This Row],[DEVELOPMENT]],Data[],9,FALSE)</f>
        <v>0</v>
      </c>
      <c r="G211" s="1" t="str">
        <f>IFERROR(VLOOKUP(EHD[[#This Row],[DEVELOPMENT]],Data[],4,FALSE),"")</f>
        <v/>
      </c>
      <c r="H211" s="1" t="str">
        <f ca="1">IF(EHD[[#This Row],[RAD/PACT]]="","",IF((EHD[[#This Row],[RAD/PACT]]-YEAR(TODAY()))&lt;=5,"Yes",""))</f>
        <v/>
      </c>
      <c r="I211" s="1"/>
      <c r="J211" s="1"/>
      <c r="K211" s="1"/>
      <c r="L211" s="1"/>
      <c r="M211" s="63">
        <f>IF(EHD[[#This Row],[RAD/PACT]]&lt;=2020,0,INDEX(UnitCosts[],MATCH(EHD[[#This Row],[WORK TYPE]],UnitCosts[Work Type],0),2)*EHD[[#This Row],['# Hopper Doors]])</f>
        <v>14871.287</v>
      </c>
      <c r="N211" s="63">
        <f t="shared" si="3"/>
        <v>10015811.794499993</v>
      </c>
    </row>
    <row r="212" spans="1:14" x14ac:dyDescent="0.25">
      <c r="A212" s="1" t="s">
        <v>250</v>
      </c>
      <c r="B212" s="1" t="str">
        <f>VLOOKUP(A212,Data[],2,FALSE)</f>
        <v>BROOKLYN</v>
      </c>
      <c r="C212" s="9" t="s">
        <v>27</v>
      </c>
      <c r="D212" s="9">
        <f>VLOOKUP(EHD[[#This Row],[DEVELOPMENT]],Data[],27,FALSE)</f>
        <v>16</v>
      </c>
      <c r="E212" s="1">
        <f>VLOOKUP(EHD[[#This Row],[DEVELOPMENT]],Data[],8,FALSE)</f>
        <v>0</v>
      </c>
      <c r="F212" s="1">
        <f>VLOOKUP(EHD[[#This Row],[DEVELOPMENT]],Data[],9,FALSE)</f>
        <v>0</v>
      </c>
      <c r="G212" s="1" t="str">
        <f>IFERROR(VLOOKUP(EHD[[#This Row],[DEVELOPMENT]],Data[],4,FALSE),"")</f>
        <v/>
      </c>
      <c r="H212" s="1" t="str">
        <f ca="1">IF(EHD[[#This Row],[RAD/PACT]]="","",IF((EHD[[#This Row],[RAD/PACT]]-YEAR(TODAY()))&lt;=5,"Yes",""))</f>
        <v/>
      </c>
      <c r="I212" s="1"/>
      <c r="J212" s="1"/>
      <c r="K212" s="1"/>
      <c r="L212" s="1"/>
      <c r="M212" s="63">
        <f>IF(EHD[[#This Row],[RAD/PACT]]&lt;=2020,0,INDEX(UnitCosts[],MATCH(EHD[[#This Row],[WORK TYPE]],UnitCosts[Work Type],0),2)*EHD[[#This Row],['# Hopper Doors]])</f>
        <v>118970.296</v>
      </c>
      <c r="N212" s="63">
        <f t="shared" si="3"/>
        <v>10134782.090499993</v>
      </c>
    </row>
    <row r="213" spans="1:14" x14ac:dyDescent="0.25">
      <c r="A213" s="1" t="s">
        <v>251</v>
      </c>
      <c r="B213" s="1" t="str">
        <f>VLOOKUP(A213,Data[],2,FALSE)</f>
        <v>BROOKLYN</v>
      </c>
      <c r="C213" s="9" t="s">
        <v>27</v>
      </c>
      <c r="D213" s="9">
        <f>VLOOKUP(EHD[[#This Row],[DEVELOPMENT]],Data[],27,FALSE)</f>
        <v>0</v>
      </c>
      <c r="E213" s="1">
        <f>VLOOKUP(EHD[[#This Row],[DEVELOPMENT]],Data[],8,FALSE)</f>
        <v>0</v>
      </c>
      <c r="F213" s="1">
        <f>VLOOKUP(EHD[[#This Row],[DEVELOPMENT]],Data[],9,FALSE)</f>
        <v>0</v>
      </c>
      <c r="G213" s="1">
        <f>IFERROR(VLOOKUP(EHD[[#This Row],[DEVELOPMENT]],Data[],4,FALSE),"")</f>
        <v>2025</v>
      </c>
      <c r="H213" s="1" t="str">
        <f ca="1">IF(EHD[[#This Row],[RAD/PACT]]="","",IF((EHD[[#This Row],[RAD/PACT]]-YEAR(TODAY()))&lt;=5,"Yes",""))</f>
        <v/>
      </c>
      <c r="I213" s="1"/>
      <c r="J213" s="1"/>
      <c r="K213" s="1"/>
      <c r="L213" s="1"/>
      <c r="M213" s="63">
        <f>IF(EHD[[#This Row],[RAD/PACT]]&lt;=2020,0,INDEX(UnitCosts[],MATCH(EHD[[#This Row],[WORK TYPE]],UnitCosts[Work Type],0),2)*EHD[[#This Row],['# Hopper Doors]])</f>
        <v>0</v>
      </c>
      <c r="N213" s="63">
        <f t="shared" si="3"/>
        <v>10134782.090499993</v>
      </c>
    </row>
    <row r="214" spans="1:14" x14ac:dyDescent="0.25">
      <c r="A214" s="1" t="s">
        <v>253</v>
      </c>
      <c r="B214" s="1" t="str">
        <f>VLOOKUP(A214,Data[],2,FALSE)</f>
        <v>BROOKLYN</v>
      </c>
      <c r="C214" s="9" t="s">
        <v>27</v>
      </c>
      <c r="D214" s="9">
        <f>VLOOKUP(EHD[[#This Row],[DEVELOPMENT]],Data[],27,FALSE)</f>
        <v>3</v>
      </c>
      <c r="E214" s="1">
        <f>VLOOKUP(EHD[[#This Row],[DEVELOPMENT]],Data[],8,FALSE)</f>
        <v>0</v>
      </c>
      <c r="F214" s="1">
        <f>VLOOKUP(EHD[[#This Row],[DEVELOPMENT]],Data[],9,FALSE)</f>
        <v>0</v>
      </c>
      <c r="G214" s="1" t="str">
        <f>IFERROR(VLOOKUP(EHD[[#This Row],[DEVELOPMENT]],Data[],4,FALSE),"")</f>
        <v/>
      </c>
      <c r="H214" s="1" t="str">
        <f ca="1">IF(EHD[[#This Row],[RAD/PACT]]="","",IF((EHD[[#This Row],[RAD/PACT]]-YEAR(TODAY()))&lt;=5,"Yes",""))</f>
        <v/>
      </c>
      <c r="I214" s="1"/>
      <c r="J214" s="1"/>
      <c r="K214" s="1"/>
      <c r="L214" s="1"/>
      <c r="M214" s="63">
        <f>IF(EHD[[#This Row],[RAD/PACT]]&lt;=2020,0,INDEX(UnitCosts[],MATCH(EHD[[#This Row],[WORK TYPE]],UnitCosts[Work Type],0),2)*EHD[[#This Row],['# Hopper Doors]])</f>
        <v>22306.930500000002</v>
      </c>
      <c r="N214" s="63">
        <f t="shared" si="3"/>
        <v>10157089.020999994</v>
      </c>
    </row>
    <row r="215" spans="1:14" x14ac:dyDescent="0.25">
      <c r="A215" s="1" t="s">
        <v>254</v>
      </c>
      <c r="B215" s="1" t="str">
        <f>VLOOKUP(A215,Data[],2,FALSE)</f>
        <v>BRONX</v>
      </c>
      <c r="C215" s="9" t="s">
        <v>27</v>
      </c>
      <c r="D215" s="9">
        <f>VLOOKUP(EHD[[#This Row],[DEVELOPMENT]],Data[],27,FALSE)</f>
        <v>1</v>
      </c>
      <c r="E215" s="1">
        <f>VLOOKUP(EHD[[#This Row],[DEVELOPMENT]],Data[],8,FALSE)</f>
        <v>0</v>
      </c>
      <c r="F215" s="1">
        <f>VLOOKUP(EHD[[#This Row],[DEVELOPMENT]],Data[],9,FALSE)</f>
        <v>0</v>
      </c>
      <c r="G215" s="1" t="str">
        <f>IFERROR(VLOOKUP(EHD[[#This Row],[DEVELOPMENT]],Data[],4,FALSE),"")</f>
        <v/>
      </c>
      <c r="H215" s="1" t="str">
        <f ca="1">IF(EHD[[#This Row],[RAD/PACT]]="","",IF((EHD[[#This Row],[RAD/PACT]]-YEAR(TODAY()))&lt;=5,"Yes",""))</f>
        <v/>
      </c>
      <c r="I215" s="1"/>
      <c r="J215" s="1"/>
      <c r="K215" s="1"/>
      <c r="L215" s="1"/>
      <c r="M215" s="63">
        <f>IF(EHD[[#This Row],[RAD/PACT]]&lt;=2020,0,INDEX(UnitCosts[],MATCH(EHD[[#This Row],[WORK TYPE]],UnitCosts[Work Type],0),2)*EHD[[#This Row],['# Hopper Doors]])</f>
        <v>7435.6435000000001</v>
      </c>
      <c r="N215" s="63">
        <f t="shared" si="3"/>
        <v>10164524.664499994</v>
      </c>
    </row>
    <row r="216" spans="1:14" x14ac:dyDescent="0.25">
      <c r="A216" s="1" t="s">
        <v>255</v>
      </c>
      <c r="B216" s="1" t="str">
        <f>VLOOKUP(A216,Data[],2,FALSE)</f>
        <v>BROOKLYN</v>
      </c>
      <c r="C216" s="9" t="s">
        <v>27</v>
      </c>
      <c r="D216" s="9">
        <f>VLOOKUP(EHD[[#This Row],[DEVELOPMENT]],Data[],27,FALSE)</f>
        <v>6</v>
      </c>
      <c r="E216" s="1">
        <f>VLOOKUP(EHD[[#This Row],[DEVELOPMENT]],Data[],8,FALSE)</f>
        <v>0</v>
      </c>
      <c r="F216" s="1">
        <f>VLOOKUP(EHD[[#This Row],[DEVELOPMENT]],Data[],9,FALSE)</f>
        <v>0</v>
      </c>
      <c r="G216" s="1">
        <f>IFERROR(VLOOKUP(EHD[[#This Row],[DEVELOPMENT]],Data[],4,FALSE),"")</f>
        <v>2019</v>
      </c>
      <c r="H216" s="1" t="str">
        <f ca="1">IF(EHD[[#This Row],[RAD/PACT]]="","",IF((EHD[[#This Row],[RAD/PACT]]-YEAR(TODAY()))&lt;=5,"Yes",""))</f>
        <v>Yes</v>
      </c>
      <c r="I216" s="1"/>
      <c r="J216" s="1"/>
      <c r="K216" s="1"/>
      <c r="L216" s="1"/>
      <c r="M216" s="63">
        <f>IF(EHD[[#This Row],[RAD/PACT]]&lt;=2020,0,INDEX(UnitCosts[],MATCH(EHD[[#This Row],[WORK TYPE]],UnitCosts[Work Type],0),2)*EHD[[#This Row],['# Hopper Doors]])</f>
        <v>0</v>
      </c>
      <c r="N216" s="63">
        <f t="shared" si="3"/>
        <v>10164524.664499994</v>
      </c>
    </row>
    <row r="217" spans="1:14" x14ac:dyDescent="0.25">
      <c r="A217" s="1" t="s">
        <v>256</v>
      </c>
      <c r="B217" s="1" t="str">
        <f>VLOOKUP(A217,Data[],2,FALSE)</f>
        <v>BROOKLYN</v>
      </c>
      <c r="C217" s="9" t="s">
        <v>27</v>
      </c>
      <c r="D217" s="9">
        <f>VLOOKUP(EHD[[#This Row],[DEVELOPMENT]],Data[],27,FALSE)</f>
        <v>44</v>
      </c>
      <c r="E217" s="1">
        <f>VLOOKUP(EHD[[#This Row],[DEVELOPMENT]],Data[],8,FALSE)</f>
        <v>0</v>
      </c>
      <c r="F217" s="1">
        <f>VLOOKUP(EHD[[#This Row],[DEVELOPMENT]],Data[],9,FALSE)</f>
        <v>0</v>
      </c>
      <c r="G217" s="1" t="str">
        <f>IFERROR(VLOOKUP(EHD[[#This Row],[DEVELOPMENT]],Data[],4,FALSE),"")</f>
        <v/>
      </c>
      <c r="H217" s="1" t="str">
        <f ca="1">IF(EHD[[#This Row],[RAD/PACT]]="","",IF((EHD[[#This Row],[RAD/PACT]]-YEAR(TODAY()))&lt;=5,"Yes",""))</f>
        <v/>
      </c>
      <c r="I217" s="1"/>
      <c r="J217" s="1"/>
      <c r="K217" s="1"/>
      <c r="L217" s="1"/>
      <c r="M217" s="63">
        <f>IF(EHD[[#This Row],[RAD/PACT]]&lt;=2020,0,INDEX(UnitCosts[],MATCH(EHD[[#This Row],[WORK TYPE]],UnitCosts[Work Type],0),2)*EHD[[#This Row],['# Hopper Doors]])</f>
        <v>327168.31400000001</v>
      </c>
      <c r="N217" s="63">
        <f t="shared" si="3"/>
        <v>10491692.978499994</v>
      </c>
    </row>
    <row r="218" spans="1:14" x14ac:dyDescent="0.25">
      <c r="A218" s="1" t="s">
        <v>258</v>
      </c>
      <c r="B218" s="1" t="str">
        <f>VLOOKUP(A218,Data[],2,FALSE)</f>
        <v>MANHATTAN</v>
      </c>
      <c r="C218" s="9" t="s">
        <v>27</v>
      </c>
      <c r="D218" s="9">
        <f>VLOOKUP(EHD[[#This Row],[DEVELOPMENT]],Data[],27,FALSE)</f>
        <v>6</v>
      </c>
      <c r="E218" s="1">
        <f>VLOOKUP(EHD[[#This Row],[DEVELOPMENT]],Data[],8,FALSE)</f>
        <v>0</v>
      </c>
      <c r="F218" s="1">
        <f>VLOOKUP(EHD[[#This Row],[DEVELOPMENT]],Data[],9,FALSE)</f>
        <v>0</v>
      </c>
      <c r="G218" s="1" t="str">
        <f>IFERROR(VLOOKUP(EHD[[#This Row],[DEVELOPMENT]],Data[],4,FALSE),"")</f>
        <v/>
      </c>
      <c r="H218" s="1" t="str">
        <f ca="1">IF(EHD[[#This Row],[RAD/PACT]]="","",IF((EHD[[#This Row],[RAD/PACT]]-YEAR(TODAY()))&lt;=5,"Yes",""))</f>
        <v/>
      </c>
      <c r="I218" s="1"/>
      <c r="J218" s="1"/>
      <c r="K218" s="1"/>
      <c r="L218" s="1"/>
      <c r="M218" s="63">
        <f>IF(EHD[[#This Row],[RAD/PACT]]&lt;=2020,0,INDEX(UnitCosts[],MATCH(EHD[[#This Row],[WORK TYPE]],UnitCosts[Work Type],0),2)*EHD[[#This Row],['# Hopper Doors]])</f>
        <v>44613.861000000004</v>
      </c>
      <c r="N218" s="63">
        <f t="shared" si="3"/>
        <v>10536306.839499993</v>
      </c>
    </row>
    <row r="219" spans="1:14" x14ac:dyDescent="0.25">
      <c r="A219" s="1" t="s">
        <v>260</v>
      </c>
      <c r="B219" s="1" t="str">
        <f>VLOOKUP(A219,Data[],2,FALSE)</f>
        <v>QUEENS</v>
      </c>
      <c r="C219" s="9" t="s">
        <v>27</v>
      </c>
      <c r="D219" s="9">
        <f>VLOOKUP(EHD[[#This Row],[DEVELOPMENT]],Data[],27,FALSE)</f>
        <v>4</v>
      </c>
      <c r="E219" s="1">
        <f>VLOOKUP(EHD[[#This Row],[DEVELOPMENT]],Data[],8,FALSE)</f>
        <v>0</v>
      </c>
      <c r="F219" s="1">
        <f>VLOOKUP(EHD[[#This Row],[DEVELOPMENT]],Data[],9,FALSE)</f>
        <v>0</v>
      </c>
      <c r="G219" s="1" t="str">
        <f>IFERROR(VLOOKUP(EHD[[#This Row],[DEVELOPMENT]],Data[],4,FALSE),"")</f>
        <v/>
      </c>
      <c r="H219" s="1" t="str">
        <f ca="1">IF(EHD[[#This Row],[RAD/PACT]]="","",IF((EHD[[#This Row],[RAD/PACT]]-YEAR(TODAY()))&lt;=5,"Yes",""))</f>
        <v/>
      </c>
      <c r="I219" s="1"/>
      <c r="J219" s="1"/>
      <c r="K219" s="1"/>
      <c r="L219" s="1"/>
      <c r="M219" s="63">
        <f>IF(EHD[[#This Row],[RAD/PACT]]&lt;=2020,0,INDEX(UnitCosts[],MATCH(EHD[[#This Row],[WORK TYPE]],UnitCosts[Work Type],0),2)*EHD[[#This Row],['# Hopper Doors]])</f>
        <v>29742.574000000001</v>
      </c>
      <c r="N219" s="63">
        <f t="shared" si="3"/>
        <v>10566049.413499992</v>
      </c>
    </row>
    <row r="220" spans="1:14" x14ac:dyDescent="0.25">
      <c r="A220" s="1" t="s">
        <v>382</v>
      </c>
      <c r="B220" s="1" t="str">
        <f>VLOOKUP(A220,Data[],2,FALSE)</f>
        <v>MANHATTAN</v>
      </c>
      <c r="C220" s="9" t="s">
        <v>27</v>
      </c>
      <c r="D220" s="9">
        <f>VLOOKUP(EHD[[#This Row],[DEVELOPMENT]],Data[],27,FALSE)</f>
        <v>0</v>
      </c>
      <c r="E220" s="1">
        <f>VLOOKUP(EHD[[#This Row],[DEVELOPMENT]],Data[],8,FALSE)</f>
        <v>0</v>
      </c>
      <c r="F220" s="1">
        <f>VLOOKUP(EHD[[#This Row],[DEVELOPMENT]],Data[],9,FALSE)</f>
        <v>0</v>
      </c>
      <c r="G220" s="1" t="str">
        <f>IFERROR(VLOOKUP(EHD[[#This Row],[DEVELOPMENT]],Data[],4,FALSE),"")</f>
        <v/>
      </c>
      <c r="H220" s="1" t="str">
        <f ca="1">IF(EHD[[#This Row],[RAD/PACT]]="","",IF((EHD[[#This Row],[RAD/PACT]]-YEAR(TODAY()))&lt;=5,"Yes",""))</f>
        <v/>
      </c>
      <c r="I220" s="1"/>
      <c r="J220" s="1"/>
      <c r="K220" s="1"/>
      <c r="L220" s="1"/>
      <c r="M220" s="63">
        <f>IF(EHD[[#This Row],[RAD/PACT]]&lt;=2020,0,INDEX(UnitCosts[],MATCH(EHD[[#This Row],[WORK TYPE]],UnitCosts[Work Type],0),2)*EHD[[#This Row],['# Hopper Doors]])</f>
        <v>0</v>
      </c>
      <c r="N220" s="63">
        <f t="shared" si="3"/>
        <v>10566049.413499992</v>
      </c>
    </row>
    <row r="221" spans="1:14" x14ac:dyDescent="0.25">
      <c r="A221" s="1" t="s">
        <v>261</v>
      </c>
      <c r="B221" s="1" t="str">
        <f>VLOOKUP(A221,Data[],2,FALSE)</f>
        <v>QUEENS</v>
      </c>
      <c r="C221" s="9" t="s">
        <v>27</v>
      </c>
      <c r="D221" s="9">
        <f>VLOOKUP(EHD[[#This Row],[DEVELOPMENT]],Data[],27,FALSE)</f>
        <v>1</v>
      </c>
      <c r="E221" s="1">
        <f>VLOOKUP(EHD[[#This Row],[DEVELOPMENT]],Data[],8,FALSE)</f>
        <v>0</v>
      </c>
      <c r="F221" s="1">
        <f>VLOOKUP(EHD[[#This Row],[DEVELOPMENT]],Data[],9,FALSE)</f>
        <v>0</v>
      </c>
      <c r="G221" s="1" t="str">
        <f>IFERROR(VLOOKUP(EHD[[#This Row],[DEVELOPMENT]],Data[],4,FALSE),"")</f>
        <v/>
      </c>
      <c r="H221" s="1" t="str">
        <f ca="1">IF(EHD[[#This Row],[RAD/PACT]]="","",IF((EHD[[#This Row],[RAD/PACT]]-YEAR(TODAY()))&lt;=5,"Yes",""))</f>
        <v/>
      </c>
      <c r="I221" s="1"/>
      <c r="J221" s="1"/>
      <c r="K221" s="1"/>
      <c r="L221" s="1"/>
      <c r="M221" s="63">
        <f>IF(EHD[[#This Row],[RAD/PACT]]&lt;=2020,0,INDEX(UnitCosts[],MATCH(EHD[[#This Row],[WORK TYPE]],UnitCosts[Work Type],0),2)*EHD[[#This Row],['# Hopper Doors]])</f>
        <v>7435.6435000000001</v>
      </c>
      <c r="N221" s="63">
        <f t="shared" si="3"/>
        <v>10573485.056999993</v>
      </c>
    </row>
    <row r="222" spans="1:14" x14ac:dyDescent="0.25">
      <c r="A222" s="1" t="s">
        <v>146</v>
      </c>
      <c r="B222" s="1" t="str">
        <f>VLOOKUP(A222,Data[],2,FALSE)</f>
        <v>MANHATTAN</v>
      </c>
      <c r="C222" s="9" t="s">
        <v>27</v>
      </c>
      <c r="D222" s="9">
        <f>VLOOKUP(EHD[[#This Row],[DEVELOPMENT]],Data[],27,FALSE)</f>
        <v>4</v>
      </c>
      <c r="E222" s="1">
        <f>VLOOKUP(EHD[[#This Row],[DEVELOPMENT]],Data[],8,FALSE)</f>
        <v>0</v>
      </c>
      <c r="F222" s="1">
        <f>VLOOKUP(EHD[[#This Row],[DEVELOPMENT]],Data[],9,FALSE)</f>
        <v>0</v>
      </c>
      <c r="G222" s="1" t="str">
        <f>IFERROR(VLOOKUP(EHD[[#This Row],[DEVELOPMENT]],Data[],4,FALSE),"")</f>
        <v/>
      </c>
      <c r="H222" s="1" t="str">
        <f ca="1">IF(EHD[[#This Row],[RAD/PACT]]="","",IF((EHD[[#This Row],[RAD/PACT]]-YEAR(TODAY()))&lt;=5,"Yes",""))</f>
        <v/>
      </c>
      <c r="I222" s="1"/>
      <c r="J222" s="1"/>
      <c r="K222" s="1"/>
      <c r="L222" s="1"/>
      <c r="M222" s="63">
        <f>IF(EHD[[#This Row],[RAD/PACT]]&lt;=2020,0,INDEX(UnitCosts[],MATCH(EHD[[#This Row],[WORK TYPE]],UnitCosts[Work Type],0),2)*EHD[[#This Row],['# Hopper Doors]])</f>
        <v>29742.574000000001</v>
      </c>
      <c r="N222" s="63">
        <f t="shared" si="3"/>
        <v>10603227.630999992</v>
      </c>
    </row>
    <row r="223" spans="1:14" x14ac:dyDescent="0.25">
      <c r="A223" s="1" t="s">
        <v>262</v>
      </c>
      <c r="B223" s="1" t="str">
        <f>VLOOKUP(A223,Data[],2,FALSE)</f>
        <v>BROOKLYN</v>
      </c>
      <c r="C223" s="9" t="s">
        <v>27</v>
      </c>
      <c r="D223" s="9">
        <f>VLOOKUP(EHD[[#This Row],[DEVELOPMENT]],Data[],27,FALSE)</f>
        <v>5</v>
      </c>
      <c r="E223" s="1">
        <f>VLOOKUP(EHD[[#This Row],[DEVELOPMENT]],Data[],8,FALSE)</f>
        <v>0</v>
      </c>
      <c r="F223" s="1">
        <f>VLOOKUP(EHD[[#This Row],[DEVELOPMENT]],Data[],9,FALSE)</f>
        <v>0</v>
      </c>
      <c r="G223" s="1">
        <f>IFERROR(VLOOKUP(EHD[[#This Row],[DEVELOPMENT]],Data[],4,FALSE),"")</f>
        <v>2021</v>
      </c>
      <c r="H223" s="1" t="str">
        <f ca="1">IF(EHD[[#This Row],[RAD/PACT]]="","",IF((EHD[[#This Row],[RAD/PACT]]-YEAR(TODAY()))&lt;=5,"Yes",""))</f>
        <v>Yes</v>
      </c>
      <c r="I223" s="1"/>
      <c r="J223" s="1"/>
      <c r="K223" s="1"/>
      <c r="L223" s="1"/>
      <c r="M223" s="63">
        <f>IF(EHD[[#This Row],[RAD/PACT]]&lt;=2020,0,INDEX(UnitCosts[],MATCH(EHD[[#This Row],[WORK TYPE]],UnitCosts[Work Type],0),2)*EHD[[#This Row],['# Hopper Doors]])</f>
        <v>37178.217499999999</v>
      </c>
      <c r="N223" s="63">
        <f t="shared" si="3"/>
        <v>10640405.848499991</v>
      </c>
    </row>
    <row r="224" spans="1:14" x14ac:dyDescent="0.25">
      <c r="A224" s="1" t="s">
        <v>263</v>
      </c>
      <c r="B224" s="1" t="str">
        <f>VLOOKUP(A224,Data[],2,FALSE)</f>
        <v>BROOKLYN</v>
      </c>
      <c r="C224" s="9" t="s">
        <v>27</v>
      </c>
      <c r="D224" s="9">
        <f>VLOOKUP(EHD[[#This Row],[DEVELOPMENT]],Data[],27,FALSE)</f>
        <v>19</v>
      </c>
      <c r="E224" s="1">
        <f>VLOOKUP(EHD[[#This Row],[DEVELOPMENT]],Data[],8,FALSE)</f>
        <v>0</v>
      </c>
      <c r="F224" s="1">
        <f>VLOOKUP(EHD[[#This Row],[DEVELOPMENT]],Data[],9,FALSE)</f>
        <v>0</v>
      </c>
      <c r="G224" s="1">
        <f>IFERROR(VLOOKUP(EHD[[#This Row],[DEVELOPMENT]],Data[],4,FALSE),"")</f>
        <v>2020</v>
      </c>
      <c r="H224" s="1" t="str">
        <f ca="1">IF(EHD[[#This Row],[RAD/PACT]]="","",IF((EHD[[#This Row],[RAD/PACT]]-YEAR(TODAY()))&lt;=5,"Yes",""))</f>
        <v>Yes</v>
      </c>
      <c r="I224" s="1"/>
      <c r="J224" s="1"/>
      <c r="K224" s="1"/>
      <c r="L224" s="1"/>
      <c r="M224" s="63">
        <f>IF(EHD[[#This Row],[RAD/PACT]]&lt;=2020,0,INDEX(UnitCosts[],MATCH(EHD[[#This Row],[WORK TYPE]],UnitCosts[Work Type],0),2)*EHD[[#This Row],['# Hopper Doors]])</f>
        <v>0</v>
      </c>
      <c r="N224" s="63">
        <f t="shared" si="3"/>
        <v>10640405.848499991</v>
      </c>
    </row>
    <row r="225" spans="1:14" x14ac:dyDescent="0.25">
      <c r="A225" s="1" t="s">
        <v>264</v>
      </c>
      <c r="B225" s="1" t="str">
        <f>VLOOKUP(A225,Data[],2,FALSE)</f>
        <v>BROOKLYN</v>
      </c>
      <c r="C225" s="9" t="s">
        <v>27</v>
      </c>
      <c r="D225" s="9">
        <f>VLOOKUP(EHD[[#This Row],[DEVELOPMENT]],Data[],27,FALSE)</f>
        <v>4</v>
      </c>
      <c r="E225" s="1">
        <f>VLOOKUP(EHD[[#This Row],[DEVELOPMENT]],Data[],8,FALSE)</f>
        <v>0</v>
      </c>
      <c r="F225" s="1">
        <f>VLOOKUP(EHD[[#This Row],[DEVELOPMENT]],Data[],9,FALSE)</f>
        <v>0</v>
      </c>
      <c r="G225" s="1">
        <f>IFERROR(VLOOKUP(EHD[[#This Row],[DEVELOPMENT]],Data[],4,FALSE),"")</f>
        <v>2026</v>
      </c>
      <c r="H225" s="1" t="str">
        <f ca="1">IF(EHD[[#This Row],[RAD/PACT]]="","",IF((EHD[[#This Row],[RAD/PACT]]-YEAR(TODAY()))&lt;=5,"Yes",""))</f>
        <v/>
      </c>
      <c r="I225" s="1"/>
      <c r="J225" s="1"/>
      <c r="K225" s="1"/>
      <c r="L225" s="1"/>
      <c r="M225" s="63">
        <f>IF(EHD[[#This Row],[RAD/PACT]]&lt;=2020,0,INDEX(UnitCosts[],MATCH(EHD[[#This Row],[WORK TYPE]],UnitCosts[Work Type],0),2)*EHD[[#This Row],['# Hopper Doors]])</f>
        <v>29742.574000000001</v>
      </c>
      <c r="N225" s="63">
        <f t="shared" si="3"/>
        <v>10670148.42249999</v>
      </c>
    </row>
    <row r="226" spans="1:14" x14ac:dyDescent="0.25">
      <c r="A226" s="1" t="s">
        <v>265</v>
      </c>
      <c r="B226" s="1" t="str">
        <f>VLOOKUP(A226,Data[],2,FALSE)</f>
        <v>BRONX</v>
      </c>
      <c r="C226" s="9" t="s">
        <v>27</v>
      </c>
      <c r="D226" s="9">
        <f>VLOOKUP(EHD[[#This Row],[DEVELOPMENT]],Data[],27,FALSE)</f>
        <v>5</v>
      </c>
      <c r="E226" s="1">
        <f>VLOOKUP(EHD[[#This Row],[DEVELOPMENT]],Data[],8,FALSE)</f>
        <v>0</v>
      </c>
      <c r="F226" s="1">
        <f>VLOOKUP(EHD[[#This Row],[DEVELOPMENT]],Data[],9,FALSE)</f>
        <v>0</v>
      </c>
      <c r="G226" s="1" t="str">
        <f>IFERROR(VLOOKUP(EHD[[#This Row],[DEVELOPMENT]],Data[],4,FALSE),"")</f>
        <v/>
      </c>
      <c r="H226" s="1" t="str">
        <f ca="1">IF(EHD[[#This Row],[RAD/PACT]]="","",IF((EHD[[#This Row],[RAD/PACT]]-YEAR(TODAY()))&lt;=5,"Yes",""))</f>
        <v/>
      </c>
      <c r="I226" s="1"/>
      <c r="J226" s="1"/>
      <c r="K226" s="1"/>
      <c r="L226" s="1"/>
      <c r="M226" s="63">
        <f>IF(EHD[[#This Row],[RAD/PACT]]&lt;=2020,0,INDEX(UnitCosts[],MATCH(EHD[[#This Row],[WORK TYPE]],UnitCosts[Work Type],0),2)*EHD[[#This Row],['# Hopper Doors]])</f>
        <v>37178.217499999999</v>
      </c>
      <c r="N226" s="63">
        <f t="shared" si="3"/>
        <v>10707326.639999989</v>
      </c>
    </row>
    <row r="227" spans="1:14" x14ac:dyDescent="0.25">
      <c r="A227" s="1" t="s">
        <v>266</v>
      </c>
      <c r="B227" s="1" t="str">
        <f>VLOOKUP(A227,Data[],2,FALSE)</f>
        <v>BROOKLYN</v>
      </c>
      <c r="C227" s="9" t="s">
        <v>27</v>
      </c>
      <c r="D227" s="9">
        <f>VLOOKUP(EHD[[#This Row],[DEVELOPMENT]],Data[],27,FALSE)</f>
        <v>3</v>
      </c>
      <c r="E227" s="1">
        <f>VLOOKUP(EHD[[#This Row],[DEVELOPMENT]],Data[],8,FALSE)</f>
        <v>0</v>
      </c>
      <c r="F227" s="1">
        <f>VLOOKUP(EHD[[#This Row],[DEVELOPMENT]],Data[],9,FALSE)</f>
        <v>0</v>
      </c>
      <c r="G227" s="1" t="str">
        <f>IFERROR(VLOOKUP(EHD[[#This Row],[DEVELOPMENT]],Data[],4,FALSE),"")</f>
        <v/>
      </c>
      <c r="H227" s="1" t="str">
        <f ca="1">IF(EHD[[#This Row],[RAD/PACT]]="","",IF((EHD[[#This Row],[RAD/PACT]]-YEAR(TODAY()))&lt;=5,"Yes",""))</f>
        <v/>
      </c>
      <c r="I227" s="1"/>
      <c r="J227" s="1"/>
      <c r="K227" s="1"/>
      <c r="L227" s="1"/>
      <c r="M227" s="63">
        <f>IF(EHD[[#This Row],[RAD/PACT]]&lt;=2020,0,INDEX(UnitCosts[],MATCH(EHD[[#This Row],[WORK TYPE]],UnitCosts[Work Type],0),2)*EHD[[#This Row],['# Hopper Doors]])</f>
        <v>22306.930500000002</v>
      </c>
      <c r="N227" s="63">
        <f t="shared" si="3"/>
        <v>10729633.57049999</v>
      </c>
    </row>
    <row r="228" spans="1:14" x14ac:dyDescent="0.25">
      <c r="A228" s="1" t="s">
        <v>268</v>
      </c>
      <c r="B228" s="1" t="str">
        <f>VLOOKUP(A228,Data[],2,FALSE)</f>
        <v>BRONX</v>
      </c>
      <c r="C228" s="9" t="s">
        <v>27</v>
      </c>
      <c r="D228" s="9">
        <f>VLOOKUP(EHD[[#This Row],[DEVELOPMENT]],Data[],27,FALSE)</f>
        <v>11</v>
      </c>
      <c r="E228" s="1">
        <f>VLOOKUP(EHD[[#This Row],[DEVELOPMENT]],Data[],8,FALSE)</f>
        <v>0</v>
      </c>
      <c r="F228" s="1">
        <f>VLOOKUP(EHD[[#This Row],[DEVELOPMENT]],Data[],9,FALSE)</f>
        <v>0</v>
      </c>
      <c r="G228" s="1" t="str">
        <f>IFERROR(VLOOKUP(EHD[[#This Row],[DEVELOPMENT]],Data[],4,FALSE),"")</f>
        <v/>
      </c>
      <c r="H228" s="1" t="str">
        <f ca="1">IF(EHD[[#This Row],[RAD/PACT]]="","",IF((EHD[[#This Row],[RAD/PACT]]-YEAR(TODAY()))&lt;=5,"Yes",""))</f>
        <v/>
      </c>
      <c r="I228" s="1"/>
      <c r="J228" s="1"/>
      <c r="K228" s="1"/>
      <c r="L228" s="1"/>
      <c r="M228" s="63">
        <f>IF(EHD[[#This Row],[RAD/PACT]]&lt;=2020,0,INDEX(UnitCosts[],MATCH(EHD[[#This Row],[WORK TYPE]],UnitCosts[Work Type],0),2)*EHD[[#This Row],['# Hopper Doors]])</f>
        <v>81792.078500000003</v>
      </c>
      <c r="N228" s="63">
        <f t="shared" si="3"/>
        <v>10811425.648999991</v>
      </c>
    </row>
    <row r="229" spans="1:14" x14ac:dyDescent="0.25">
      <c r="A229" s="1" t="s">
        <v>270</v>
      </c>
      <c r="B229" s="1" t="str">
        <f>VLOOKUP(A229,Data[],2,FALSE)</f>
        <v>BROOKLYN</v>
      </c>
      <c r="C229" s="9" t="s">
        <v>27</v>
      </c>
      <c r="D229" s="9">
        <f>VLOOKUP(EHD[[#This Row],[DEVELOPMENT]],Data[],27,FALSE)</f>
        <v>0</v>
      </c>
      <c r="E229" s="1">
        <f>VLOOKUP(EHD[[#This Row],[DEVELOPMENT]],Data[],8,FALSE)</f>
        <v>0</v>
      </c>
      <c r="F229" s="1">
        <f>VLOOKUP(EHD[[#This Row],[DEVELOPMENT]],Data[],9,FALSE)</f>
        <v>0</v>
      </c>
      <c r="G229" s="1">
        <f>IFERROR(VLOOKUP(EHD[[#This Row],[DEVELOPMENT]],Data[],4,FALSE),"")</f>
        <v>2019</v>
      </c>
      <c r="H229" s="1" t="str">
        <f ca="1">IF(EHD[[#This Row],[RAD/PACT]]="","",IF((EHD[[#This Row],[RAD/PACT]]-YEAR(TODAY()))&lt;=5,"Yes",""))</f>
        <v>Yes</v>
      </c>
      <c r="I229" s="1"/>
      <c r="J229" s="1"/>
      <c r="K229" s="1"/>
      <c r="L229" s="1"/>
      <c r="M229" s="63">
        <f>IF(EHD[[#This Row],[RAD/PACT]]&lt;=2020,0,INDEX(UnitCosts[],MATCH(EHD[[#This Row],[WORK TYPE]],UnitCosts[Work Type],0),2)*EHD[[#This Row],['# Hopper Doors]])</f>
        <v>0</v>
      </c>
      <c r="N229" s="63">
        <f t="shared" si="3"/>
        <v>10811425.648999991</v>
      </c>
    </row>
    <row r="230" spans="1:14" x14ac:dyDescent="0.25">
      <c r="A230" s="1" t="s">
        <v>271</v>
      </c>
      <c r="B230" s="1" t="str">
        <f>VLOOKUP(A230,Data[],2,FALSE)</f>
        <v>STATEN ISLAND</v>
      </c>
      <c r="C230" s="9" t="s">
        <v>27</v>
      </c>
      <c r="D230" s="9">
        <f>VLOOKUP(EHD[[#This Row],[DEVELOPMENT]],Data[],27,FALSE)</f>
        <v>27</v>
      </c>
      <c r="E230" s="1">
        <f>VLOOKUP(EHD[[#This Row],[DEVELOPMENT]],Data[],8,FALSE)</f>
        <v>0</v>
      </c>
      <c r="F230" s="1">
        <f>VLOOKUP(EHD[[#This Row],[DEVELOPMENT]],Data[],9,FALSE)</f>
        <v>0</v>
      </c>
      <c r="G230" s="1">
        <f>IFERROR(VLOOKUP(EHD[[#This Row],[DEVELOPMENT]],Data[],4,FALSE),"")</f>
        <v>2028</v>
      </c>
      <c r="H230" s="1" t="str">
        <f ca="1">IF(EHD[[#This Row],[RAD/PACT]]="","",IF((EHD[[#This Row],[RAD/PACT]]-YEAR(TODAY()))&lt;=5,"Yes",""))</f>
        <v/>
      </c>
      <c r="I230" s="1"/>
      <c r="J230" s="1"/>
      <c r="K230" s="1"/>
      <c r="L230" s="1"/>
      <c r="M230" s="63">
        <f>IF(EHD[[#This Row],[RAD/PACT]]&lt;=2020,0,INDEX(UnitCosts[],MATCH(EHD[[#This Row],[WORK TYPE]],UnitCosts[Work Type],0),2)*EHD[[#This Row],['# Hopper Doors]])</f>
        <v>200762.37450000001</v>
      </c>
      <c r="N230" s="63">
        <f t="shared" si="3"/>
        <v>11012188.023499992</v>
      </c>
    </row>
    <row r="231" spans="1:14" x14ac:dyDescent="0.25">
      <c r="A231" s="1" t="s">
        <v>272</v>
      </c>
      <c r="B231" s="1" t="str">
        <f>VLOOKUP(A231,Data[],2,FALSE)</f>
        <v>BROOKLYN</v>
      </c>
      <c r="C231" s="9" t="s">
        <v>27</v>
      </c>
      <c r="D231" s="9">
        <f>VLOOKUP(EHD[[#This Row],[DEVELOPMENT]],Data[],27,FALSE)</f>
        <v>28</v>
      </c>
      <c r="E231" s="1">
        <f>VLOOKUP(EHD[[#This Row],[DEVELOPMENT]],Data[],8,FALSE)</f>
        <v>0</v>
      </c>
      <c r="F231" s="1">
        <f>VLOOKUP(EHD[[#This Row],[DEVELOPMENT]],Data[],9,FALSE)</f>
        <v>0</v>
      </c>
      <c r="G231" s="1" t="str">
        <f>IFERROR(VLOOKUP(EHD[[#This Row],[DEVELOPMENT]],Data[],4,FALSE),"")</f>
        <v/>
      </c>
      <c r="H231" s="1" t="str">
        <f ca="1">IF(EHD[[#This Row],[RAD/PACT]]="","",IF((EHD[[#This Row],[RAD/PACT]]-YEAR(TODAY()))&lt;=5,"Yes",""))</f>
        <v/>
      </c>
      <c r="I231" s="1"/>
      <c r="J231" s="1"/>
      <c r="K231" s="1"/>
      <c r="L231" s="1"/>
      <c r="M231" s="63">
        <f>IF(EHD[[#This Row],[RAD/PACT]]&lt;=2020,0,INDEX(UnitCosts[],MATCH(EHD[[#This Row],[WORK TYPE]],UnitCosts[Work Type],0),2)*EHD[[#This Row],['# Hopper Doors]])</f>
        <v>208198.01800000001</v>
      </c>
      <c r="N231" s="63">
        <f t="shared" si="3"/>
        <v>11220386.041499991</v>
      </c>
    </row>
    <row r="232" spans="1:14" x14ac:dyDescent="0.25">
      <c r="A232" s="1" t="s">
        <v>275</v>
      </c>
      <c r="B232" s="1" t="str">
        <f>VLOOKUP(A232,Data[],2,FALSE)</f>
        <v>BRONX</v>
      </c>
      <c r="C232" s="9" t="s">
        <v>27</v>
      </c>
      <c r="D232" s="9">
        <f>VLOOKUP(EHD[[#This Row],[DEVELOPMENT]],Data[],27,FALSE)</f>
        <v>9</v>
      </c>
      <c r="E232" s="1">
        <f>VLOOKUP(EHD[[#This Row],[DEVELOPMENT]],Data[],8,FALSE)</f>
        <v>0</v>
      </c>
      <c r="F232" s="1">
        <f>VLOOKUP(EHD[[#This Row],[DEVELOPMENT]],Data[],9,FALSE)</f>
        <v>0</v>
      </c>
      <c r="G232" s="1" t="str">
        <f>IFERROR(VLOOKUP(EHD[[#This Row],[DEVELOPMENT]],Data[],4,FALSE),"")</f>
        <v/>
      </c>
      <c r="H232" s="1" t="str">
        <f ca="1">IF(EHD[[#This Row],[RAD/PACT]]="","",IF((EHD[[#This Row],[RAD/PACT]]-YEAR(TODAY()))&lt;=5,"Yes",""))</f>
        <v/>
      </c>
      <c r="I232" s="1"/>
      <c r="J232" s="1"/>
      <c r="K232" s="1"/>
      <c r="L232" s="1"/>
      <c r="M232" s="63">
        <f>IF(EHD[[#This Row],[RAD/PACT]]&lt;=2020,0,INDEX(UnitCosts[],MATCH(EHD[[#This Row],[WORK TYPE]],UnitCosts[Work Type],0),2)*EHD[[#This Row],['# Hopper Doors]])</f>
        <v>66920.791500000007</v>
      </c>
      <c r="N232" s="63">
        <f t="shared" si="3"/>
        <v>11287306.832999991</v>
      </c>
    </row>
    <row r="233" spans="1:14" x14ac:dyDescent="0.25">
      <c r="A233" s="1" t="s">
        <v>276</v>
      </c>
      <c r="B233" s="1" t="str">
        <f>VLOOKUP(A233,Data[],2,FALSE)</f>
        <v>BRONX</v>
      </c>
      <c r="C233" s="9" t="s">
        <v>27</v>
      </c>
      <c r="D233" s="9">
        <f>VLOOKUP(EHD[[#This Row],[DEVELOPMENT]],Data[],27,FALSE)</f>
        <v>1</v>
      </c>
      <c r="E233" s="1">
        <f>VLOOKUP(EHD[[#This Row],[DEVELOPMENT]],Data[],8,FALSE)</f>
        <v>0</v>
      </c>
      <c r="F233" s="1">
        <f>VLOOKUP(EHD[[#This Row],[DEVELOPMENT]],Data[],9,FALSE)</f>
        <v>0</v>
      </c>
      <c r="G233" s="1" t="str">
        <f>IFERROR(VLOOKUP(EHD[[#This Row],[DEVELOPMENT]],Data[],4,FALSE),"")</f>
        <v/>
      </c>
      <c r="H233" s="1" t="str">
        <f ca="1">IF(EHD[[#This Row],[RAD/PACT]]="","",IF((EHD[[#This Row],[RAD/PACT]]-YEAR(TODAY()))&lt;=5,"Yes",""))</f>
        <v/>
      </c>
      <c r="I233" s="1"/>
      <c r="J233" s="1"/>
      <c r="K233" s="1"/>
      <c r="L233" s="1"/>
      <c r="M233" s="63">
        <f>IF(EHD[[#This Row],[RAD/PACT]]&lt;=2020,0,INDEX(UnitCosts[],MATCH(EHD[[#This Row],[WORK TYPE]],UnitCosts[Work Type],0),2)*EHD[[#This Row],['# Hopper Doors]])</f>
        <v>7435.6435000000001</v>
      </c>
      <c r="N233" s="63">
        <f t="shared" si="3"/>
        <v>11294742.476499991</v>
      </c>
    </row>
    <row r="234" spans="1:14" x14ac:dyDescent="0.25">
      <c r="A234" s="1" t="s">
        <v>277</v>
      </c>
      <c r="B234" s="1" t="str">
        <f>VLOOKUP(A234,Data[],2,FALSE)</f>
        <v>BRONX</v>
      </c>
      <c r="C234" s="9" t="s">
        <v>27</v>
      </c>
      <c r="D234" s="9">
        <f>VLOOKUP(EHD[[#This Row],[DEVELOPMENT]],Data[],27,FALSE)</f>
        <v>20</v>
      </c>
      <c r="E234" s="1">
        <f>VLOOKUP(EHD[[#This Row],[DEVELOPMENT]],Data[],8,FALSE)</f>
        <v>0</v>
      </c>
      <c r="F234" s="1">
        <f>VLOOKUP(EHD[[#This Row],[DEVELOPMENT]],Data[],9,FALSE)</f>
        <v>0</v>
      </c>
      <c r="G234" s="1" t="str">
        <f>IFERROR(VLOOKUP(EHD[[#This Row],[DEVELOPMENT]],Data[],4,FALSE),"")</f>
        <v/>
      </c>
      <c r="H234" s="1" t="str">
        <f ca="1">IF(EHD[[#This Row],[RAD/PACT]]="","",IF((EHD[[#This Row],[RAD/PACT]]-YEAR(TODAY()))&lt;=5,"Yes",""))</f>
        <v/>
      </c>
      <c r="I234" s="1"/>
      <c r="J234" s="1"/>
      <c r="K234" s="1"/>
      <c r="L234" s="1"/>
      <c r="M234" s="63">
        <f>IF(EHD[[#This Row],[RAD/PACT]]&lt;=2020,0,INDEX(UnitCosts[],MATCH(EHD[[#This Row],[WORK TYPE]],UnitCosts[Work Type],0),2)*EHD[[#This Row],['# Hopper Doors]])</f>
        <v>148712.87</v>
      </c>
      <c r="N234" s="63">
        <f t="shared" si="3"/>
        <v>11443455.346499991</v>
      </c>
    </row>
    <row r="235" spans="1:14" x14ac:dyDescent="0.25">
      <c r="A235" s="1" t="s">
        <v>278</v>
      </c>
      <c r="B235" s="1" t="str">
        <f>VLOOKUP(A235,Data[],2,FALSE)</f>
        <v>BRONX</v>
      </c>
      <c r="C235" s="9" t="s">
        <v>27</v>
      </c>
      <c r="D235" s="9">
        <f>VLOOKUP(EHD[[#This Row],[DEVELOPMENT]],Data[],27,FALSE)</f>
        <v>8</v>
      </c>
      <c r="E235" s="1">
        <f>VLOOKUP(EHD[[#This Row],[DEVELOPMENT]],Data[],8,FALSE)</f>
        <v>0</v>
      </c>
      <c r="F235" s="1">
        <f>VLOOKUP(EHD[[#This Row],[DEVELOPMENT]],Data[],9,FALSE)</f>
        <v>0</v>
      </c>
      <c r="G235" s="1" t="str">
        <f>IFERROR(VLOOKUP(EHD[[#This Row],[DEVELOPMENT]],Data[],4,FALSE),"")</f>
        <v/>
      </c>
      <c r="H235" s="1" t="str">
        <f ca="1">IF(EHD[[#This Row],[RAD/PACT]]="","",IF((EHD[[#This Row],[RAD/PACT]]-YEAR(TODAY()))&lt;=5,"Yes",""))</f>
        <v/>
      </c>
      <c r="I235" s="1"/>
      <c r="J235" s="1"/>
      <c r="K235" s="1"/>
      <c r="L235" s="1"/>
      <c r="M235" s="63">
        <f>IF(EHD[[#This Row],[RAD/PACT]]&lt;=2020,0,INDEX(UnitCosts[],MATCH(EHD[[#This Row],[WORK TYPE]],UnitCosts[Work Type],0),2)*EHD[[#This Row],['# Hopper Doors]])</f>
        <v>59485.148000000001</v>
      </c>
      <c r="N235" s="63">
        <f t="shared" si="3"/>
        <v>11502940.494499991</v>
      </c>
    </row>
    <row r="236" spans="1:14" x14ac:dyDescent="0.25">
      <c r="A236" s="1" t="s">
        <v>280</v>
      </c>
      <c r="B236" s="1" t="str">
        <f>VLOOKUP(A236,Data[],2,FALSE)</f>
        <v>BROOKLYN</v>
      </c>
      <c r="C236" s="9" t="s">
        <v>27</v>
      </c>
      <c r="D236" s="9">
        <f>VLOOKUP(EHD[[#This Row],[DEVELOPMENT]],Data[],27,FALSE)</f>
        <v>32</v>
      </c>
      <c r="E236" s="1">
        <f>VLOOKUP(EHD[[#This Row],[DEVELOPMENT]],Data[],8,FALSE)</f>
        <v>0</v>
      </c>
      <c r="F236" s="1">
        <f>VLOOKUP(EHD[[#This Row],[DEVELOPMENT]],Data[],9,FALSE)</f>
        <v>0</v>
      </c>
      <c r="G236" s="1">
        <f>IFERROR(VLOOKUP(EHD[[#This Row],[DEVELOPMENT]],Data[],4,FALSE),"")</f>
        <v>2028</v>
      </c>
      <c r="H236" s="1" t="str">
        <f ca="1">IF(EHD[[#This Row],[RAD/PACT]]="","",IF((EHD[[#This Row],[RAD/PACT]]-YEAR(TODAY()))&lt;=5,"Yes",""))</f>
        <v/>
      </c>
      <c r="I236" s="1"/>
      <c r="J236" s="1"/>
      <c r="K236" s="1"/>
      <c r="L236" s="1"/>
      <c r="M236" s="63">
        <f>IF(EHD[[#This Row],[RAD/PACT]]&lt;=2020,0,INDEX(UnitCosts[],MATCH(EHD[[#This Row],[WORK TYPE]],UnitCosts[Work Type],0),2)*EHD[[#This Row],['# Hopper Doors]])</f>
        <v>237940.592</v>
      </c>
      <c r="N236" s="63">
        <f t="shared" si="3"/>
        <v>11740881.086499991</v>
      </c>
    </row>
    <row r="237" spans="1:14" x14ac:dyDescent="0.25">
      <c r="A237" s="1" t="s">
        <v>281</v>
      </c>
      <c r="B237" s="1" t="str">
        <f>VLOOKUP(A237,Data[],2,FALSE)</f>
        <v>QUEENS</v>
      </c>
      <c r="C237" s="9" t="s">
        <v>27</v>
      </c>
      <c r="D237" s="9">
        <f>VLOOKUP(EHD[[#This Row],[DEVELOPMENT]],Data[],27,FALSE)</f>
        <v>13</v>
      </c>
      <c r="E237" s="1">
        <f>VLOOKUP(EHD[[#This Row],[DEVELOPMENT]],Data[],8,FALSE)</f>
        <v>0</v>
      </c>
      <c r="F237" s="1">
        <f>VLOOKUP(EHD[[#This Row],[DEVELOPMENT]],Data[],9,FALSE)</f>
        <v>0</v>
      </c>
      <c r="G237" s="1" t="str">
        <f>IFERROR(VLOOKUP(EHD[[#This Row],[DEVELOPMENT]],Data[],4,FALSE),"")</f>
        <v/>
      </c>
      <c r="H237" s="1" t="str">
        <f ca="1">IF(EHD[[#This Row],[RAD/PACT]]="","",IF((EHD[[#This Row],[RAD/PACT]]-YEAR(TODAY()))&lt;=5,"Yes",""))</f>
        <v/>
      </c>
      <c r="I237" s="1"/>
      <c r="J237" s="1"/>
      <c r="K237" s="1"/>
      <c r="L237" s="1"/>
      <c r="M237" s="63">
        <f>IF(EHD[[#This Row],[RAD/PACT]]&lt;=2020,0,INDEX(UnitCosts[],MATCH(EHD[[#This Row],[WORK TYPE]],UnitCosts[Work Type],0),2)*EHD[[#This Row],['# Hopper Doors]])</f>
        <v>96663.3655</v>
      </c>
      <c r="N237" s="63">
        <f t="shared" si="3"/>
        <v>11837544.45199999</v>
      </c>
    </row>
    <row r="238" spans="1:14" x14ac:dyDescent="0.25">
      <c r="A238" s="1" t="s">
        <v>282</v>
      </c>
      <c r="B238" s="1" t="str">
        <f>VLOOKUP(A238,Data[],2,FALSE)</f>
        <v>BROOKLYN</v>
      </c>
      <c r="C238" s="9" t="s">
        <v>27</v>
      </c>
      <c r="D238" s="9">
        <f>VLOOKUP(EHD[[#This Row],[DEVELOPMENT]],Data[],27,FALSE)</f>
        <v>3</v>
      </c>
      <c r="E238" s="1">
        <f>VLOOKUP(EHD[[#This Row],[DEVELOPMENT]],Data[],8,FALSE)</f>
        <v>0</v>
      </c>
      <c r="F238" s="1">
        <f>VLOOKUP(EHD[[#This Row],[DEVELOPMENT]],Data[],9,FALSE)</f>
        <v>0</v>
      </c>
      <c r="G238" s="1" t="str">
        <f>IFERROR(VLOOKUP(EHD[[#This Row],[DEVELOPMENT]],Data[],4,FALSE),"")</f>
        <v/>
      </c>
      <c r="H238" s="1" t="str">
        <f ca="1">IF(EHD[[#This Row],[RAD/PACT]]="","",IF((EHD[[#This Row],[RAD/PACT]]-YEAR(TODAY()))&lt;=5,"Yes",""))</f>
        <v/>
      </c>
      <c r="I238" s="1"/>
      <c r="J238" s="1"/>
      <c r="K238" s="1"/>
      <c r="L238" s="1"/>
      <c r="M238" s="63">
        <f>IF(EHD[[#This Row],[RAD/PACT]]&lt;=2020,0,INDEX(UnitCosts[],MATCH(EHD[[#This Row],[WORK TYPE]],UnitCosts[Work Type],0),2)*EHD[[#This Row],['# Hopper Doors]])</f>
        <v>22306.930500000002</v>
      </c>
      <c r="N238" s="63">
        <f t="shared" si="3"/>
        <v>11859851.382499991</v>
      </c>
    </row>
    <row r="239" spans="1:14" x14ac:dyDescent="0.25">
      <c r="A239" s="1" t="s">
        <v>283</v>
      </c>
      <c r="B239" s="1" t="str">
        <f>VLOOKUP(A239,Data[],2,FALSE)</f>
        <v>BROOKLYN</v>
      </c>
      <c r="C239" s="9" t="s">
        <v>27</v>
      </c>
      <c r="D239" s="9">
        <f>VLOOKUP(EHD[[#This Row],[DEVELOPMENT]],Data[],27,FALSE)</f>
        <v>6</v>
      </c>
      <c r="E239" s="1">
        <f>VLOOKUP(EHD[[#This Row],[DEVELOPMENT]],Data[],8,FALSE)</f>
        <v>0</v>
      </c>
      <c r="F239" s="1">
        <f>VLOOKUP(EHD[[#This Row],[DEVELOPMENT]],Data[],9,FALSE)</f>
        <v>0</v>
      </c>
      <c r="G239" s="1">
        <f>IFERROR(VLOOKUP(EHD[[#This Row],[DEVELOPMENT]],Data[],4,FALSE),"")</f>
        <v>2025</v>
      </c>
      <c r="H239" s="1" t="str">
        <f ca="1">IF(EHD[[#This Row],[RAD/PACT]]="","",IF((EHD[[#This Row],[RAD/PACT]]-YEAR(TODAY()))&lt;=5,"Yes",""))</f>
        <v/>
      </c>
      <c r="I239" s="1"/>
      <c r="J239" s="1"/>
      <c r="K239" s="1"/>
      <c r="L239" s="1"/>
      <c r="M239" s="63">
        <f>IF(EHD[[#This Row],[RAD/PACT]]&lt;=2020,0,INDEX(UnitCosts[],MATCH(EHD[[#This Row],[WORK TYPE]],UnitCosts[Work Type],0),2)*EHD[[#This Row],['# Hopper Doors]])</f>
        <v>44613.861000000004</v>
      </c>
      <c r="N239" s="63">
        <f t="shared" si="3"/>
        <v>11904465.243499991</v>
      </c>
    </row>
    <row r="240" spans="1:14" x14ac:dyDescent="0.25">
      <c r="A240" s="1" t="s">
        <v>284</v>
      </c>
      <c r="B240" s="1" t="str">
        <f>VLOOKUP(A240,Data[],2,FALSE)</f>
        <v>BROOKLYN</v>
      </c>
      <c r="C240" s="9" t="s">
        <v>27</v>
      </c>
      <c r="D240" s="9">
        <f>VLOOKUP(EHD[[#This Row],[DEVELOPMENT]],Data[],27,FALSE)</f>
        <v>6</v>
      </c>
      <c r="E240" s="1">
        <f>VLOOKUP(EHD[[#This Row],[DEVELOPMENT]],Data[],8,FALSE)</f>
        <v>0</v>
      </c>
      <c r="F240" s="1">
        <f>VLOOKUP(EHD[[#This Row],[DEVELOPMENT]],Data[],9,FALSE)</f>
        <v>0</v>
      </c>
      <c r="G240" s="1" t="str">
        <f>IFERROR(VLOOKUP(EHD[[#This Row],[DEVELOPMENT]],Data[],4,FALSE),"")</f>
        <v/>
      </c>
      <c r="H240" s="1" t="str">
        <f ca="1">IF(EHD[[#This Row],[RAD/PACT]]="","",IF((EHD[[#This Row],[RAD/PACT]]-YEAR(TODAY()))&lt;=5,"Yes",""))</f>
        <v/>
      </c>
      <c r="I240" s="1"/>
      <c r="J240" s="1"/>
      <c r="K240" s="1"/>
      <c r="L240" s="1"/>
      <c r="M240" s="63">
        <f>IF(EHD[[#This Row],[RAD/PACT]]&lt;=2020,0,INDEX(UnitCosts[],MATCH(EHD[[#This Row],[WORK TYPE]],UnitCosts[Work Type],0),2)*EHD[[#This Row],['# Hopper Doors]])</f>
        <v>44613.861000000004</v>
      </c>
      <c r="N240" s="63">
        <f t="shared" si="3"/>
        <v>11949079.10449999</v>
      </c>
    </row>
    <row r="241" spans="1:14" x14ac:dyDescent="0.25">
      <c r="A241" s="1" t="s">
        <v>383</v>
      </c>
      <c r="B241" s="1" t="str">
        <f>VLOOKUP(A241,Data[],2,FALSE)</f>
        <v>BROOKLYN</v>
      </c>
      <c r="C241" s="9" t="s">
        <v>27</v>
      </c>
      <c r="D241" s="9">
        <f>VLOOKUP(EHD[[#This Row],[DEVELOPMENT]],Data[],27,FALSE)</f>
        <v>1</v>
      </c>
      <c r="E241" s="1">
        <f>VLOOKUP(EHD[[#This Row],[DEVELOPMENT]],Data[],8,FALSE)</f>
        <v>0</v>
      </c>
      <c r="F241" s="1">
        <f>VLOOKUP(EHD[[#This Row],[DEVELOPMENT]],Data[],9,FALSE)</f>
        <v>0</v>
      </c>
      <c r="G241" s="1">
        <f>IFERROR(VLOOKUP(EHD[[#This Row],[DEVELOPMENT]],Data[],4,FALSE),"")</f>
        <v>2019</v>
      </c>
      <c r="H241" s="1" t="str">
        <f ca="1">IF(EHD[[#This Row],[RAD/PACT]]="","",IF((EHD[[#This Row],[RAD/PACT]]-YEAR(TODAY()))&lt;=5,"Yes",""))</f>
        <v>Yes</v>
      </c>
      <c r="I241" s="1"/>
      <c r="J241" s="1"/>
      <c r="K241" s="1"/>
      <c r="L241" s="1"/>
      <c r="M241" s="63">
        <f>IF(EHD[[#This Row],[RAD/PACT]]&lt;=2020,0,INDEX(UnitCosts[],MATCH(EHD[[#This Row],[WORK TYPE]],UnitCosts[Work Type],0),2)*EHD[[#This Row],['# Hopper Doors]])</f>
        <v>0</v>
      </c>
      <c r="N241" s="63">
        <f t="shared" si="3"/>
        <v>11949079.10449999</v>
      </c>
    </row>
    <row r="242" spans="1:14" x14ac:dyDescent="0.25">
      <c r="A242" s="1" t="s">
        <v>285</v>
      </c>
      <c r="B242" s="1" t="str">
        <f>VLOOKUP(A242,Data[],2,FALSE)</f>
        <v>BROOKLYN</v>
      </c>
      <c r="C242" s="9" t="s">
        <v>27</v>
      </c>
      <c r="D242" s="9">
        <f>VLOOKUP(EHD[[#This Row],[DEVELOPMENT]],Data[],27,FALSE)</f>
        <v>6</v>
      </c>
      <c r="E242" s="1">
        <f>VLOOKUP(EHD[[#This Row],[DEVELOPMENT]],Data[],8,FALSE)</f>
        <v>0</v>
      </c>
      <c r="F242" s="1">
        <f>VLOOKUP(EHD[[#This Row],[DEVELOPMENT]],Data[],9,FALSE)</f>
        <v>0</v>
      </c>
      <c r="G242" s="1">
        <f>IFERROR(VLOOKUP(EHD[[#This Row],[DEVELOPMENT]],Data[],4,FALSE),"")</f>
        <v>2025</v>
      </c>
      <c r="H242" s="1" t="str">
        <f ca="1">IF(EHD[[#This Row],[RAD/PACT]]="","",IF((EHD[[#This Row],[RAD/PACT]]-YEAR(TODAY()))&lt;=5,"Yes",""))</f>
        <v/>
      </c>
      <c r="I242" s="1"/>
      <c r="J242" s="1"/>
      <c r="K242" s="1"/>
      <c r="L242" s="1"/>
      <c r="M242" s="63">
        <f>IF(EHD[[#This Row],[RAD/PACT]]&lt;=2020,0,INDEX(UnitCosts[],MATCH(EHD[[#This Row],[WORK TYPE]],UnitCosts[Work Type],0),2)*EHD[[#This Row],['# Hopper Doors]])</f>
        <v>44613.861000000004</v>
      </c>
      <c r="N242" s="63">
        <f t="shared" si="3"/>
        <v>11993692.96549999</v>
      </c>
    </row>
    <row r="243" spans="1:14" x14ac:dyDescent="0.25">
      <c r="A243" s="1" t="s">
        <v>286</v>
      </c>
      <c r="B243" s="1" t="str">
        <f>VLOOKUP(A243,Data[],2,FALSE)</f>
        <v>BRONX</v>
      </c>
      <c r="C243" s="9" t="s">
        <v>27</v>
      </c>
      <c r="D243" s="9">
        <f>VLOOKUP(EHD[[#This Row],[DEVELOPMENT]],Data[],27,FALSE)</f>
        <v>21</v>
      </c>
      <c r="E243" s="1">
        <f>VLOOKUP(EHD[[#This Row],[DEVELOPMENT]],Data[],8,FALSE)</f>
        <v>0</v>
      </c>
      <c r="F243" s="1">
        <f>VLOOKUP(EHD[[#This Row],[DEVELOPMENT]],Data[],9,FALSE)</f>
        <v>0</v>
      </c>
      <c r="G243" s="1" t="str">
        <f>IFERROR(VLOOKUP(EHD[[#This Row],[DEVELOPMENT]],Data[],4,FALSE),"")</f>
        <v/>
      </c>
      <c r="H243" s="1" t="str">
        <f ca="1">IF(EHD[[#This Row],[RAD/PACT]]="","",IF((EHD[[#This Row],[RAD/PACT]]-YEAR(TODAY()))&lt;=5,"Yes",""))</f>
        <v/>
      </c>
      <c r="I243" s="1"/>
      <c r="J243" s="1"/>
      <c r="K243" s="1"/>
      <c r="L243" s="1"/>
      <c r="M243" s="63">
        <f>IF(EHD[[#This Row],[RAD/PACT]]&lt;=2020,0,INDEX(UnitCosts[],MATCH(EHD[[#This Row],[WORK TYPE]],UnitCosts[Work Type],0),2)*EHD[[#This Row],['# Hopper Doors]])</f>
        <v>156148.5135</v>
      </c>
      <c r="N243" s="63">
        <f t="shared" si="3"/>
        <v>12149841.478999989</v>
      </c>
    </row>
    <row r="244" spans="1:14" x14ac:dyDescent="0.25">
      <c r="A244" s="1" t="s">
        <v>287</v>
      </c>
      <c r="B244" s="1" t="str">
        <f>VLOOKUP(A244,Data[],2,FALSE)</f>
        <v>BRONX</v>
      </c>
      <c r="C244" s="9" t="s">
        <v>27</v>
      </c>
      <c r="D244" s="9">
        <f>VLOOKUP(EHD[[#This Row],[DEVELOPMENT]],Data[],27,FALSE)</f>
        <v>38</v>
      </c>
      <c r="E244" s="1">
        <f>VLOOKUP(EHD[[#This Row],[DEVELOPMENT]],Data[],8,FALSE)</f>
        <v>0</v>
      </c>
      <c r="F244" s="1">
        <f>VLOOKUP(EHD[[#This Row],[DEVELOPMENT]],Data[],9,FALSE)</f>
        <v>0</v>
      </c>
      <c r="G244" s="1">
        <f>IFERROR(VLOOKUP(EHD[[#This Row],[DEVELOPMENT]],Data[],4,FALSE),"")</f>
        <v>2022</v>
      </c>
      <c r="H244" s="1" t="str">
        <f ca="1">IF(EHD[[#This Row],[RAD/PACT]]="","",IF((EHD[[#This Row],[RAD/PACT]]-YEAR(TODAY()))&lt;=5,"Yes",""))</f>
        <v>Yes</v>
      </c>
      <c r="I244" s="1"/>
      <c r="J244" s="1"/>
      <c r="K244" s="1"/>
      <c r="L244" s="1"/>
      <c r="M244" s="63">
        <f>IF(EHD[[#This Row],[RAD/PACT]]&lt;=2020,0,INDEX(UnitCosts[],MATCH(EHD[[#This Row],[WORK TYPE]],UnitCosts[Work Type],0),2)*EHD[[#This Row],['# Hopper Doors]])</f>
        <v>282554.45299999998</v>
      </c>
      <c r="N244" s="63">
        <f t="shared" si="3"/>
        <v>12432395.931999989</v>
      </c>
    </row>
    <row r="245" spans="1:14" x14ac:dyDescent="0.25">
      <c r="A245" s="1" t="s">
        <v>288</v>
      </c>
      <c r="B245" s="1" t="str">
        <f>VLOOKUP(A245,Data[],2,FALSE)</f>
        <v>BROOKLYN</v>
      </c>
      <c r="C245" s="9" t="s">
        <v>27</v>
      </c>
      <c r="D245" s="9">
        <f>VLOOKUP(EHD[[#This Row],[DEVELOPMENT]],Data[],27,FALSE)</f>
        <v>3</v>
      </c>
      <c r="E245" s="1">
        <f>VLOOKUP(EHD[[#This Row],[DEVELOPMENT]],Data[],8,FALSE)</f>
        <v>0</v>
      </c>
      <c r="F245" s="1">
        <f>VLOOKUP(EHD[[#This Row],[DEVELOPMENT]],Data[],9,FALSE)</f>
        <v>0</v>
      </c>
      <c r="G245" s="1" t="str">
        <f>IFERROR(VLOOKUP(EHD[[#This Row],[DEVELOPMENT]],Data[],4,FALSE),"")</f>
        <v/>
      </c>
      <c r="H245" s="1" t="str">
        <f ca="1">IF(EHD[[#This Row],[RAD/PACT]]="","",IF((EHD[[#This Row],[RAD/PACT]]-YEAR(TODAY()))&lt;=5,"Yes",""))</f>
        <v/>
      </c>
      <c r="I245" s="1"/>
      <c r="J245" s="1"/>
      <c r="K245" s="1"/>
      <c r="L245" s="1"/>
      <c r="M245" s="63">
        <f>IF(EHD[[#This Row],[RAD/PACT]]&lt;=2020,0,INDEX(UnitCosts[],MATCH(EHD[[#This Row],[WORK TYPE]],UnitCosts[Work Type],0),2)*EHD[[#This Row],['# Hopper Doors]])</f>
        <v>22306.930500000002</v>
      </c>
      <c r="N245" s="63">
        <f t="shared" si="3"/>
        <v>12454702.86249999</v>
      </c>
    </row>
    <row r="246" spans="1:14" x14ac:dyDescent="0.25">
      <c r="A246" s="1" t="s">
        <v>289</v>
      </c>
      <c r="B246" s="1" t="str">
        <f>VLOOKUP(A246,Data[],2,FALSE)</f>
        <v>BROOKLYN</v>
      </c>
      <c r="C246" s="9" t="s">
        <v>27</v>
      </c>
      <c r="D246" s="9">
        <f>VLOOKUP(EHD[[#This Row],[DEVELOPMENT]],Data[],27,FALSE)</f>
        <v>22</v>
      </c>
      <c r="E246" s="1">
        <f>VLOOKUP(EHD[[#This Row],[DEVELOPMENT]],Data[],8,FALSE)</f>
        <v>0</v>
      </c>
      <c r="F246" s="1">
        <f>VLOOKUP(EHD[[#This Row],[DEVELOPMENT]],Data[],9,FALSE)</f>
        <v>0</v>
      </c>
      <c r="G246" s="1" t="str">
        <f>IFERROR(VLOOKUP(EHD[[#This Row],[DEVELOPMENT]],Data[],4,FALSE),"")</f>
        <v/>
      </c>
      <c r="H246" s="1" t="str">
        <f ca="1">IF(EHD[[#This Row],[RAD/PACT]]="","",IF((EHD[[#This Row],[RAD/PACT]]-YEAR(TODAY()))&lt;=5,"Yes",""))</f>
        <v/>
      </c>
      <c r="I246" s="1"/>
      <c r="J246" s="1"/>
      <c r="K246" s="1"/>
      <c r="L246" s="1"/>
      <c r="M246" s="63">
        <f>IF(EHD[[#This Row],[RAD/PACT]]&lt;=2020,0,INDEX(UnitCosts[],MATCH(EHD[[#This Row],[WORK TYPE]],UnitCosts[Work Type],0),2)*EHD[[#This Row],['# Hopper Doors]])</f>
        <v>163584.15700000001</v>
      </c>
      <c r="N246" s="63">
        <f t="shared" si="3"/>
        <v>12618287.019499989</v>
      </c>
    </row>
    <row r="247" spans="1:14" x14ac:dyDescent="0.25">
      <c r="A247" s="1" t="s">
        <v>290</v>
      </c>
      <c r="B247" s="1" t="str">
        <f>VLOOKUP(A247,Data[],2,FALSE)</f>
        <v>QUEENS</v>
      </c>
      <c r="C247" s="9" t="s">
        <v>27</v>
      </c>
      <c r="D247" s="9">
        <f>VLOOKUP(EHD[[#This Row],[DEVELOPMENT]],Data[],27,FALSE)</f>
        <v>121</v>
      </c>
      <c r="E247" s="1">
        <f>VLOOKUP(EHD[[#This Row],[DEVELOPMENT]],Data[],8,FALSE)</f>
        <v>0</v>
      </c>
      <c r="F247" s="1">
        <f>VLOOKUP(EHD[[#This Row],[DEVELOPMENT]],Data[],9,FALSE)</f>
        <v>0</v>
      </c>
      <c r="G247" s="1">
        <f>IFERROR(VLOOKUP(EHD[[#This Row],[DEVELOPMENT]],Data[],4,FALSE),"")</f>
        <v>2027</v>
      </c>
      <c r="H247" s="1" t="str">
        <f ca="1">IF(EHD[[#This Row],[RAD/PACT]]="","",IF((EHD[[#This Row],[RAD/PACT]]-YEAR(TODAY()))&lt;=5,"Yes",""))</f>
        <v/>
      </c>
      <c r="I247" s="1"/>
      <c r="J247" s="1"/>
      <c r="K247" s="1"/>
      <c r="L247" s="1"/>
      <c r="M247" s="63">
        <f>IF(EHD[[#This Row],[RAD/PACT]]&lt;=2020,0,INDEX(UnitCosts[],MATCH(EHD[[#This Row],[WORK TYPE]],UnitCosts[Work Type],0),2)*EHD[[#This Row],['# Hopper Doors]])</f>
        <v>899712.86349999998</v>
      </c>
      <c r="N247" s="63">
        <f t="shared" si="3"/>
        <v>13517999.88299999</v>
      </c>
    </row>
    <row r="248" spans="1:14" x14ac:dyDescent="0.25">
      <c r="A248" s="1" t="s">
        <v>386</v>
      </c>
      <c r="B248" s="1" t="str">
        <f>VLOOKUP(A248,Data[],2,FALSE)</f>
        <v>BRONX</v>
      </c>
      <c r="C248" s="9" t="s">
        <v>27</v>
      </c>
      <c r="D248" s="9">
        <f>VLOOKUP(EHD[[#This Row],[DEVELOPMENT]],Data[],27,FALSE)</f>
        <v>0</v>
      </c>
      <c r="E248" s="1">
        <f>VLOOKUP(EHD[[#This Row],[DEVELOPMENT]],Data[],8,FALSE)</f>
        <v>0</v>
      </c>
      <c r="F248" s="1">
        <f>VLOOKUP(EHD[[#This Row],[DEVELOPMENT]],Data[],9,FALSE)</f>
        <v>0</v>
      </c>
      <c r="G248" s="1" t="str">
        <f>IFERROR(VLOOKUP(EHD[[#This Row],[DEVELOPMENT]],Data[],4,FALSE),"")</f>
        <v/>
      </c>
      <c r="H248" s="1" t="str">
        <f ca="1">IF(EHD[[#This Row],[RAD/PACT]]="","",IF((EHD[[#This Row],[RAD/PACT]]-YEAR(TODAY()))&lt;=5,"Yes",""))</f>
        <v/>
      </c>
      <c r="I248" s="1"/>
      <c r="J248" s="1"/>
      <c r="K248" s="1"/>
      <c r="L248" s="1"/>
      <c r="M248" s="63">
        <f>IF(EHD[[#This Row],[RAD/PACT]]&lt;=2020,0,INDEX(UnitCosts[],MATCH(EHD[[#This Row],[WORK TYPE]],UnitCosts[Work Type],0),2)*EHD[[#This Row],['# Hopper Doors]])</f>
        <v>0</v>
      </c>
      <c r="N248" s="63">
        <f t="shared" si="3"/>
        <v>13517999.88299999</v>
      </c>
    </row>
    <row r="249" spans="1:14" x14ac:dyDescent="0.25">
      <c r="A249" s="1" t="s">
        <v>291</v>
      </c>
      <c r="B249" s="1" t="str">
        <f>VLOOKUP(A249,Data[],2,FALSE)</f>
        <v>BROOKLYN</v>
      </c>
      <c r="C249" s="9" t="s">
        <v>27</v>
      </c>
      <c r="D249" s="9">
        <f>VLOOKUP(EHD[[#This Row],[DEVELOPMENT]],Data[],27,FALSE)</f>
        <v>9</v>
      </c>
      <c r="E249" s="1">
        <f>VLOOKUP(EHD[[#This Row],[DEVELOPMENT]],Data[],8,FALSE)</f>
        <v>0</v>
      </c>
      <c r="F249" s="1">
        <f>VLOOKUP(EHD[[#This Row],[DEVELOPMENT]],Data[],9,FALSE)</f>
        <v>0</v>
      </c>
      <c r="G249" s="1">
        <f>IFERROR(VLOOKUP(EHD[[#This Row],[DEVELOPMENT]],Data[],4,FALSE),"")</f>
        <v>2021</v>
      </c>
      <c r="H249" s="1" t="str">
        <f ca="1">IF(EHD[[#This Row],[RAD/PACT]]="","",IF((EHD[[#This Row],[RAD/PACT]]-YEAR(TODAY()))&lt;=5,"Yes",""))</f>
        <v>Yes</v>
      </c>
      <c r="I249" s="1"/>
      <c r="J249" s="1"/>
      <c r="K249" s="1"/>
      <c r="L249" s="1"/>
      <c r="M249" s="63">
        <f>IF(EHD[[#This Row],[RAD/PACT]]&lt;=2020,0,INDEX(UnitCosts[],MATCH(EHD[[#This Row],[WORK TYPE]],UnitCosts[Work Type],0),2)*EHD[[#This Row],['# Hopper Doors]])</f>
        <v>66920.791500000007</v>
      </c>
      <c r="N249" s="63">
        <f t="shared" si="3"/>
        <v>13584920.67449999</v>
      </c>
    </row>
    <row r="250" spans="1:14" x14ac:dyDescent="0.25">
      <c r="A250" s="1" t="s">
        <v>387</v>
      </c>
      <c r="B250" s="1" t="str">
        <f>VLOOKUP(A250,Data[],2,FALSE)</f>
        <v>MANHATTAN</v>
      </c>
      <c r="C250" s="9" t="s">
        <v>27</v>
      </c>
      <c r="D250" s="9">
        <f>VLOOKUP(EHD[[#This Row],[DEVELOPMENT]],Data[],27,FALSE)</f>
        <v>0</v>
      </c>
      <c r="E250" s="1">
        <f>VLOOKUP(EHD[[#This Row],[DEVELOPMENT]],Data[],8,FALSE)</f>
        <v>0</v>
      </c>
      <c r="F250" s="1">
        <f>VLOOKUP(EHD[[#This Row],[DEVELOPMENT]],Data[],9,FALSE)</f>
        <v>0</v>
      </c>
      <c r="G250" s="1" t="str">
        <f>IFERROR(VLOOKUP(EHD[[#This Row],[DEVELOPMENT]],Data[],4,FALSE),"")</f>
        <v/>
      </c>
      <c r="H250" s="1" t="str">
        <f ca="1">IF(EHD[[#This Row],[RAD/PACT]]="","",IF((EHD[[#This Row],[RAD/PACT]]-YEAR(TODAY()))&lt;=5,"Yes",""))</f>
        <v/>
      </c>
      <c r="I250" s="1"/>
      <c r="J250" s="1"/>
      <c r="K250" s="1"/>
      <c r="L250" s="1"/>
      <c r="M250" s="63">
        <f>IF(EHD[[#This Row],[RAD/PACT]]&lt;=2020,0,INDEX(UnitCosts[],MATCH(EHD[[#This Row],[WORK TYPE]],UnitCosts[Work Type],0),2)*EHD[[#This Row],['# Hopper Doors]])</f>
        <v>0</v>
      </c>
      <c r="N250" s="63">
        <f t="shared" si="3"/>
        <v>13584920.67449999</v>
      </c>
    </row>
    <row r="251" spans="1:14" x14ac:dyDescent="0.25">
      <c r="A251" s="1" t="s">
        <v>293</v>
      </c>
      <c r="B251" s="1" t="str">
        <f>VLOOKUP(A251,Data[],2,FALSE)</f>
        <v>QUEENS</v>
      </c>
      <c r="C251" s="9" t="s">
        <v>27</v>
      </c>
      <c r="D251" s="9">
        <f>VLOOKUP(EHD[[#This Row],[DEVELOPMENT]],Data[],27,FALSE)</f>
        <v>39</v>
      </c>
      <c r="E251" s="1">
        <f>VLOOKUP(EHD[[#This Row],[DEVELOPMENT]],Data[],8,FALSE)</f>
        <v>0</v>
      </c>
      <c r="F251" s="1">
        <f>VLOOKUP(EHD[[#This Row],[DEVELOPMENT]],Data[],9,FALSE)</f>
        <v>0</v>
      </c>
      <c r="G251" s="1" t="str">
        <f>IFERROR(VLOOKUP(EHD[[#This Row],[DEVELOPMENT]],Data[],4,FALSE),"")</f>
        <v/>
      </c>
      <c r="H251" s="1" t="str">
        <f ca="1">IF(EHD[[#This Row],[RAD/PACT]]="","",IF((EHD[[#This Row],[RAD/PACT]]-YEAR(TODAY()))&lt;=5,"Yes",""))</f>
        <v/>
      </c>
      <c r="I251" s="1"/>
      <c r="J251" s="1"/>
      <c r="K251" s="1"/>
      <c r="L251" s="1"/>
      <c r="M251" s="63">
        <f>IF(EHD[[#This Row],[RAD/PACT]]&lt;=2020,0,INDEX(UnitCosts[],MATCH(EHD[[#This Row],[WORK TYPE]],UnitCosts[Work Type],0),2)*EHD[[#This Row],['# Hopper Doors]])</f>
        <v>289990.09649999999</v>
      </c>
      <c r="N251" s="63">
        <f t="shared" si="3"/>
        <v>13874910.77099999</v>
      </c>
    </row>
    <row r="252" spans="1:14" x14ac:dyDescent="0.25">
      <c r="A252" s="1" t="s">
        <v>294</v>
      </c>
      <c r="B252" s="1" t="str">
        <f>VLOOKUP(A252,Data[],2,FALSE)</f>
        <v>BROOKLYN</v>
      </c>
      <c r="C252" s="9" t="s">
        <v>27</v>
      </c>
      <c r="D252" s="9">
        <f>VLOOKUP(EHD[[#This Row],[DEVELOPMENT]],Data[],27,FALSE)</f>
        <v>47</v>
      </c>
      <c r="E252" s="1">
        <f>VLOOKUP(EHD[[#This Row],[DEVELOPMENT]],Data[],8,FALSE)</f>
        <v>0</v>
      </c>
      <c r="F252" s="1">
        <f>VLOOKUP(EHD[[#This Row],[DEVELOPMENT]],Data[],9,FALSE)</f>
        <v>0</v>
      </c>
      <c r="G252" s="1">
        <f>IFERROR(VLOOKUP(EHD[[#This Row],[DEVELOPMENT]],Data[],4,FALSE),"")</f>
        <v>2024</v>
      </c>
      <c r="H252" s="1" t="str">
        <f ca="1">IF(EHD[[#This Row],[RAD/PACT]]="","",IF((EHD[[#This Row],[RAD/PACT]]-YEAR(TODAY()))&lt;=5,"Yes",""))</f>
        <v>Yes</v>
      </c>
      <c r="I252" s="1"/>
      <c r="J252" s="1"/>
      <c r="K252" s="1"/>
      <c r="L252" s="1"/>
      <c r="M252" s="63">
        <f>IF(EHD[[#This Row],[RAD/PACT]]&lt;=2020,0,INDEX(UnitCosts[],MATCH(EHD[[#This Row],[WORK TYPE]],UnitCosts[Work Type],0),2)*EHD[[#This Row],['# Hopper Doors]])</f>
        <v>349475.24450000003</v>
      </c>
      <c r="N252" s="63">
        <f t="shared" si="3"/>
        <v>14224386.01549999</v>
      </c>
    </row>
    <row r="253" spans="1:14" x14ac:dyDescent="0.25">
      <c r="A253" s="1" t="s">
        <v>295</v>
      </c>
      <c r="B253" s="1" t="str">
        <f>VLOOKUP(A253,Data[],2,FALSE)</f>
        <v>BROOKLYN</v>
      </c>
      <c r="C253" s="9" t="s">
        <v>27</v>
      </c>
      <c r="D253" s="9">
        <f>VLOOKUP(EHD[[#This Row],[DEVELOPMENT]],Data[],27,FALSE)</f>
        <v>43</v>
      </c>
      <c r="E253" s="1">
        <f>VLOOKUP(EHD[[#This Row],[DEVELOPMENT]],Data[],8,FALSE)</f>
        <v>0</v>
      </c>
      <c r="F253" s="1">
        <f>VLOOKUP(EHD[[#This Row],[DEVELOPMENT]],Data[],9,FALSE)</f>
        <v>0</v>
      </c>
      <c r="G253" s="1">
        <f>IFERROR(VLOOKUP(EHD[[#This Row],[DEVELOPMENT]],Data[],4,FALSE),"")</f>
        <v>2025</v>
      </c>
      <c r="H253" s="1" t="str">
        <f ca="1">IF(EHD[[#This Row],[RAD/PACT]]="","",IF((EHD[[#This Row],[RAD/PACT]]-YEAR(TODAY()))&lt;=5,"Yes",""))</f>
        <v/>
      </c>
      <c r="I253" s="1"/>
      <c r="J253" s="1"/>
      <c r="K253" s="1"/>
      <c r="L253" s="1"/>
      <c r="M253" s="63">
        <f>IF(EHD[[#This Row],[RAD/PACT]]&lt;=2020,0,INDEX(UnitCosts[],MATCH(EHD[[#This Row],[WORK TYPE]],UnitCosts[Work Type],0),2)*EHD[[#This Row],['# Hopper Doors]])</f>
        <v>319732.67050000001</v>
      </c>
      <c r="N253" s="63">
        <f t="shared" si="3"/>
        <v>14544118.68599999</v>
      </c>
    </row>
    <row r="254" spans="1:14" x14ac:dyDescent="0.25">
      <c r="A254" s="1" t="s">
        <v>296</v>
      </c>
      <c r="B254" s="1" t="str">
        <f>VLOOKUP(A254,Data[],2,FALSE)</f>
        <v>QUEENS</v>
      </c>
      <c r="C254" s="9" t="s">
        <v>27</v>
      </c>
      <c r="D254" s="9">
        <f>VLOOKUP(EHD[[#This Row],[DEVELOPMENT]],Data[],27,FALSE)</f>
        <v>16</v>
      </c>
      <c r="E254" s="1">
        <f>VLOOKUP(EHD[[#This Row],[DEVELOPMENT]],Data[],8,FALSE)</f>
        <v>0</v>
      </c>
      <c r="F254" s="1">
        <f>VLOOKUP(EHD[[#This Row],[DEVELOPMENT]],Data[],9,FALSE)</f>
        <v>0</v>
      </c>
      <c r="G254" s="1">
        <f>IFERROR(VLOOKUP(EHD[[#This Row],[DEVELOPMENT]],Data[],4,FALSE),"")</f>
        <v>2022</v>
      </c>
      <c r="H254" s="1" t="str">
        <f ca="1">IF(EHD[[#This Row],[RAD/PACT]]="","",IF((EHD[[#This Row],[RAD/PACT]]-YEAR(TODAY()))&lt;=5,"Yes",""))</f>
        <v>Yes</v>
      </c>
      <c r="I254" s="1"/>
      <c r="J254" s="1"/>
      <c r="K254" s="1"/>
      <c r="L254" s="1"/>
      <c r="M254" s="63">
        <f>IF(EHD[[#This Row],[RAD/PACT]]&lt;=2020,0,INDEX(UnitCosts[],MATCH(EHD[[#This Row],[WORK TYPE]],UnitCosts[Work Type],0),2)*EHD[[#This Row],['# Hopper Doors]])</f>
        <v>118970.296</v>
      </c>
      <c r="N254" s="63">
        <f t="shared" si="3"/>
        <v>14663088.98199999</v>
      </c>
    </row>
    <row r="255" spans="1:14" x14ac:dyDescent="0.25">
      <c r="A255" s="1" t="s">
        <v>297</v>
      </c>
      <c r="B255" s="1" t="str">
        <f>VLOOKUP(A255,Data[],2,FALSE)</f>
        <v>QUEENS</v>
      </c>
      <c r="C255" s="9" t="s">
        <v>27</v>
      </c>
      <c r="D255" s="9">
        <f>VLOOKUP(EHD[[#This Row],[DEVELOPMENT]],Data[],27,FALSE)</f>
        <v>0</v>
      </c>
      <c r="E255" s="1">
        <f>VLOOKUP(EHD[[#This Row],[DEVELOPMENT]],Data[],8,FALSE)</f>
        <v>0</v>
      </c>
      <c r="F255" s="1">
        <f>VLOOKUP(EHD[[#This Row],[DEVELOPMENT]],Data[],9,FALSE)</f>
        <v>0</v>
      </c>
      <c r="G255" s="1" t="str">
        <f>IFERROR(VLOOKUP(EHD[[#This Row],[DEVELOPMENT]],Data[],4,FALSE),"")</f>
        <v/>
      </c>
      <c r="H255" s="1" t="str">
        <f ca="1">IF(EHD[[#This Row],[RAD/PACT]]="","",IF((EHD[[#This Row],[RAD/PACT]]-YEAR(TODAY()))&lt;=5,"Yes",""))</f>
        <v/>
      </c>
      <c r="I255" s="1"/>
      <c r="J255" s="1"/>
      <c r="K255" s="1"/>
      <c r="L255" s="1"/>
      <c r="M255" s="63">
        <f>IF(EHD[[#This Row],[RAD/PACT]]&lt;=2020,0,INDEX(UnitCosts[],MATCH(EHD[[#This Row],[WORK TYPE]],UnitCosts[Work Type],0),2)*EHD[[#This Row],['# Hopper Doors]])</f>
        <v>0</v>
      </c>
      <c r="N255" s="63">
        <f t="shared" si="3"/>
        <v>14663088.98199999</v>
      </c>
    </row>
    <row r="256" spans="1:14" x14ac:dyDescent="0.25">
      <c r="A256" s="1" t="s">
        <v>298</v>
      </c>
      <c r="B256" s="1" t="str">
        <f>VLOOKUP(A256,Data[],2,FALSE)</f>
        <v>MANHATTAN</v>
      </c>
      <c r="C256" s="9" t="s">
        <v>27</v>
      </c>
      <c r="D256" s="9">
        <f>VLOOKUP(EHD[[#This Row],[DEVELOPMENT]],Data[],27,FALSE)</f>
        <v>3</v>
      </c>
      <c r="E256" s="1">
        <f>VLOOKUP(EHD[[#This Row],[DEVELOPMENT]],Data[],8,FALSE)</f>
        <v>0</v>
      </c>
      <c r="F256" s="1">
        <f>VLOOKUP(EHD[[#This Row],[DEVELOPMENT]],Data[],9,FALSE)</f>
        <v>0</v>
      </c>
      <c r="G256" s="1" t="str">
        <f>IFERROR(VLOOKUP(EHD[[#This Row],[DEVELOPMENT]],Data[],4,FALSE),"")</f>
        <v/>
      </c>
      <c r="H256" s="1" t="str">
        <f ca="1">IF(EHD[[#This Row],[RAD/PACT]]="","",IF((EHD[[#This Row],[RAD/PACT]]-YEAR(TODAY()))&lt;=5,"Yes",""))</f>
        <v/>
      </c>
      <c r="I256" s="1"/>
      <c r="J256" s="1"/>
      <c r="K256" s="1"/>
      <c r="L256" s="1"/>
      <c r="M256" s="63">
        <f>IF(EHD[[#This Row],[RAD/PACT]]&lt;=2020,0,INDEX(UnitCosts[],MATCH(EHD[[#This Row],[WORK TYPE]],UnitCosts[Work Type],0),2)*EHD[[#This Row],['# Hopper Doors]])</f>
        <v>22306.930500000002</v>
      </c>
      <c r="N256" s="63">
        <f t="shared" si="3"/>
        <v>14685395.91249999</v>
      </c>
    </row>
    <row r="257" spans="1:14" x14ac:dyDescent="0.25">
      <c r="A257" s="1" t="s">
        <v>299</v>
      </c>
      <c r="B257" s="1" t="str">
        <f>VLOOKUP(A257,Data[],2,FALSE)</f>
        <v>MANHATTAN</v>
      </c>
      <c r="C257" s="9" t="s">
        <v>27</v>
      </c>
      <c r="D257" s="9">
        <f>VLOOKUP(EHD[[#This Row],[DEVELOPMENT]],Data[],27,FALSE)</f>
        <v>4</v>
      </c>
      <c r="E257" s="1">
        <f>VLOOKUP(EHD[[#This Row],[DEVELOPMENT]],Data[],8,FALSE)</f>
        <v>0</v>
      </c>
      <c r="F257" s="1">
        <f>VLOOKUP(EHD[[#This Row],[DEVELOPMENT]],Data[],9,FALSE)</f>
        <v>0</v>
      </c>
      <c r="G257" s="1" t="str">
        <f>IFERROR(VLOOKUP(EHD[[#This Row],[DEVELOPMENT]],Data[],4,FALSE),"")</f>
        <v/>
      </c>
      <c r="H257" s="1" t="str">
        <f ca="1">IF(EHD[[#This Row],[RAD/PACT]]="","",IF((EHD[[#This Row],[RAD/PACT]]-YEAR(TODAY()))&lt;=5,"Yes",""))</f>
        <v/>
      </c>
      <c r="I257" s="1"/>
      <c r="J257" s="1"/>
      <c r="K257" s="1"/>
      <c r="L257" s="1"/>
      <c r="M257" s="63">
        <f>IF(EHD[[#This Row],[RAD/PACT]]&lt;=2020,0,INDEX(UnitCosts[],MATCH(EHD[[#This Row],[WORK TYPE]],UnitCosts[Work Type],0),2)*EHD[[#This Row],['# Hopper Doors]])</f>
        <v>29742.574000000001</v>
      </c>
      <c r="N257" s="63">
        <f t="shared" si="3"/>
        <v>14715138.486499989</v>
      </c>
    </row>
    <row r="258" spans="1:14" x14ac:dyDescent="0.25">
      <c r="A258" s="1" t="s">
        <v>302</v>
      </c>
      <c r="B258" s="1" t="str">
        <f>VLOOKUP(A258,Data[],2,FALSE)</f>
        <v>STATEN ISLAND</v>
      </c>
      <c r="C258" s="9" t="s">
        <v>27</v>
      </c>
      <c r="D258" s="9">
        <f>VLOOKUP(EHD[[#This Row],[DEVELOPMENT]],Data[],27,FALSE)</f>
        <v>6</v>
      </c>
      <c r="E258" s="1">
        <f>VLOOKUP(EHD[[#This Row],[DEVELOPMENT]],Data[],8,FALSE)</f>
        <v>0</v>
      </c>
      <c r="F258" s="1">
        <f>VLOOKUP(EHD[[#This Row],[DEVELOPMENT]],Data[],9,FALSE)</f>
        <v>0</v>
      </c>
      <c r="G258" s="1" t="str">
        <f>IFERROR(VLOOKUP(EHD[[#This Row],[DEVELOPMENT]],Data[],4,FALSE),"")</f>
        <v/>
      </c>
      <c r="H258" s="1" t="str">
        <f ca="1">IF(EHD[[#This Row],[RAD/PACT]]="","",IF((EHD[[#This Row],[RAD/PACT]]-YEAR(TODAY()))&lt;=5,"Yes",""))</f>
        <v/>
      </c>
      <c r="I258" s="1"/>
      <c r="J258" s="1"/>
      <c r="K258" s="1"/>
      <c r="L258" s="1"/>
      <c r="M258" s="63">
        <f>IF(EHD[[#This Row],[RAD/PACT]]&lt;=2020,0,INDEX(UnitCosts[],MATCH(EHD[[#This Row],[WORK TYPE]],UnitCosts[Work Type],0),2)*EHD[[#This Row],['# Hopper Doors]])</f>
        <v>44613.861000000004</v>
      </c>
      <c r="N258" s="63">
        <f t="shared" si="3"/>
        <v>14759752.347499989</v>
      </c>
    </row>
    <row r="259" spans="1:14" x14ac:dyDescent="0.25">
      <c r="A259" s="1" t="s">
        <v>304</v>
      </c>
      <c r="B259" s="1" t="str">
        <f>VLOOKUP(A259,Data[],2,FALSE)</f>
        <v>BROOKLYN</v>
      </c>
      <c r="C259" s="9" t="s">
        <v>27</v>
      </c>
      <c r="D259" s="9">
        <f>VLOOKUP(EHD[[#This Row],[DEVELOPMENT]],Data[],27,FALSE)</f>
        <v>1</v>
      </c>
      <c r="E259" s="1">
        <f>VLOOKUP(EHD[[#This Row],[DEVELOPMENT]],Data[],8,FALSE)</f>
        <v>0</v>
      </c>
      <c r="F259" s="1">
        <f>VLOOKUP(EHD[[#This Row],[DEVELOPMENT]],Data[],9,FALSE)</f>
        <v>0</v>
      </c>
      <c r="G259" s="1">
        <f>IFERROR(VLOOKUP(EHD[[#This Row],[DEVELOPMENT]],Data[],4,FALSE),"")</f>
        <v>2021</v>
      </c>
      <c r="H259" s="1" t="str">
        <f ca="1">IF(EHD[[#This Row],[RAD/PACT]]="","",IF((EHD[[#This Row],[RAD/PACT]]-YEAR(TODAY()))&lt;=5,"Yes",""))</f>
        <v>Yes</v>
      </c>
      <c r="I259" s="1"/>
      <c r="J259" s="1"/>
      <c r="K259" s="1"/>
      <c r="L259" s="1"/>
      <c r="M259" s="63">
        <f>IF(EHD[[#This Row],[RAD/PACT]]&lt;=2020,0,INDEX(UnitCosts[],MATCH(EHD[[#This Row],[WORK TYPE]],UnitCosts[Work Type],0),2)*EHD[[#This Row],['# Hopper Doors]])</f>
        <v>7435.6435000000001</v>
      </c>
      <c r="N259" s="63">
        <f t="shared" si="3"/>
        <v>14767187.990999989</v>
      </c>
    </row>
    <row r="260" spans="1:14" x14ac:dyDescent="0.25">
      <c r="A260" s="1" t="s">
        <v>305</v>
      </c>
      <c r="B260" s="1" t="str">
        <f>VLOOKUP(A260,Data[],2,FALSE)</f>
        <v>BRONX</v>
      </c>
      <c r="C260" s="9" t="s">
        <v>27</v>
      </c>
      <c r="D260" s="9">
        <f>VLOOKUP(EHD[[#This Row],[DEVELOPMENT]],Data[],27,FALSE)</f>
        <v>7</v>
      </c>
      <c r="E260" s="1">
        <f>VLOOKUP(EHD[[#This Row],[DEVELOPMENT]],Data[],8,FALSE)</f>
        <v>0</v>
      </c>
      <c r="F260" s="1">
        <f>VLOOKUP(EHD[[#This Row],[DEVELOPMENT]],Data[],9,FALSE)</f>
        <v>0</v>
      </c>
      <c r="G260" s="1">
        <f>IFERROR(VLOOKUP(EHD[[#This Row],[DEVELOPMENT]],Data[],4,FALSE),"")</f>
        <v>2024</v>
      </c>
      <c r="H260" s="1" t="str">
        <f ca="1">IF(EHD[[#This Row],[RAD/PACT]]="","",IF((EHD[[#This Row],[RAD/PACT]]-YEAR(TODAY()))&lt;=5,"Yes",""))</f>
        <v>Yes</v>
      </c>
      <c r="I260" s="1"/>
      <c r="J260" s="1"/>
      <c r="K260" s="1"/>
      <c r="L260" s="1"/>
      <c r="M260" s="63">
        <f>IF(EHD[[#This Row],[RAD/PACT]]&lt;=2020,0,INDEX(UnitCosts[],MATCH(EHD[[#This Row],[WORK TYPE]],UnitCosts[Work Type],0),2)*EHD[[#This Row],['# Hopper Doors]])</f>
        <v>52049.504500000003</v>
      </c>
      <c r="N260" s="63">
        <f t="shared" ref="N260:N323" si="4">IF(I260=I259,(M260+L260)+N259,(M260+L260))</f>
        <v>14819237.495499989</v>
      </c>
    </row>
    <row r="261" spans="1:14" x14ac:dyDescent="0.25">
      <c r="A261" s="1" t="s">
        <v>306</v>
      </c>
      <c r="B261" s="1" t="str">
        <f>VLOOKUP(A261,Data[],2,FALSE)</f>
        <v>MANHATTAN</v>
      </c>
      <c r="C261" s="9" t="s">
        <v>27</v>
      </c>
      <c r="D261" s="9">
        <f>VLOOKUP(EHD[[#This Row],[DEVELOPMENT]],Data[],27,FALSE)</f>
        <v>1</v>
      </c>
      <c r="E261" s="1">
        <f>VLOOKUP(EHD[[#This Row],[DEVELOPMENT]],Data[],8,FALSE)</f>
        <v>0</v>
      </c>
      <c r="F261" s="1">
        <f>VLOOKUP(EHD[[#This Row],[DEVELOPMENT]],Data[],9,FALSE)</f>
        <v>0</v>
      </c>
      <c r="G261" s="1">
        <f>IFERROR(VLOOKUP(EHD[[#This Row],[DEVELOPMENT]],Data[],4,FALSE),"")</f>
        <v>2019</v>
      </c>
      <c r="H261" s="1" t="str">
        <f ca="1">IF(EHD[[#This Row],[RAD/PACT]]="","",IF((EHD[[#This Row],[RAD/PACT]]-YEAR(TODAY()))&lt;=5,"Yes",""))</f>
        <v>Yes</v>
      </c>
      <c r="I261" s="1"/>
      <c r="J261" s="1"/>
      <c r="K261" s="1"/>
      <c r="L261" s="1"/>
      <c r="M261" s="63">
        <f>IF(EHD[[#This Row],[RAD/PACT]]&lt;=2020,0,INDEX(UnitCosts[],MATCH(EHD[[#This Row],[WORK TYPE]],UnitCosts[Work Type],0),2)*EHD[[#This Row],['# Hopper Doors]])</f>
        <v>0</v>
      </c>
      <c r="N261" s="63">
        <f t="shared" si="4"/>
        <v>14819237.495499989</v>
      </c>
    </row>
    <row r="262" spans="1:14" x14ac:dyDescent="0.25">
      <c r="A262" s="1" t="s">
        <v>307</v>
      </c>
      <c r="B262" s="1" t="str">
        <f>VLOOKUP(A262,Data[],2,FALSE)</f>
        <v>MANHATTAN</v>
      </c>
      <c r="C262" s="9" t="s">
        <v>27</v>
      </c>
      <c r="D262" s="9">
        <f>VLOOKUP(EHD[[#This Row],[DEVELOPMENT]],Data[],27,FALSE)</f>
        <v>0</v>
      </c>
      <c r="E262" s="1">
        <f>VLOOKUP(EHD[[#This Row],[DEVELOPMENT]],Data[],8,FALSE)</f>
        <v>0</v>
      </c>
      <c r="F262" s="1">
        <f>VLOOKUP(EHD[[#This Row],[DEVELOPMENT]],Data[],9,FALSE)</f>
        <v>0</v>
      </c>
      <c r="G262" s="1">
        <f>IFERROR(VLOOKUP(EHD[[#This Row],[DEVELOPMENT]],Data[],4,FALSE),"")</f>
        <v>2019</v>
      </c>
      <c r="H262" s="1" t="str">
        <f ca="1">IF(EHD[[#This Row],[RAD/PACT]]="","",IF((EHD[[#This Row],[RAD/PACT]]-YEAR(TODAY()))&lt;=5,"Yes",""))</f>
        <v>Yes</v>
      </c>
      <c r="I262" s="1"/>
      <c r="J262" s="1"/>
      <c r="K262" s="1"/>
      <c r="L262" s="1"/>
      <c r="M262" s="63">
        <f>IF(EHD[[#This Row],[RAD/PACT]]&lt;=2020,0,INDEX(UnitCosts[],MATCH(EHD[[#This Row],[WORK TYPE]],UnitCosts[Work Type],0),2)*EHD[[#This Row],['# Hopper Doors]])</f>
        <v>0</v>
      </c>
      <c r="N262" s="63">
        <f t="shared" si="4"/>
        <v>14819237.495499989</v>
      </c>
    </row>
    <row r="263" spans="1:14" x14ac:dyDescent="0.25">
      <c r="A263" s="1" t="s">
        <v>308</v>
      </c>
      <c r="B263" s="1" t="str">
        <f>VLOOKUP(A263,Data[],2,FALSE)</f>
        <v>MANHATTAN</v>
      </c>
      <c r="C263" s="9" t="s">
        <v>27</v>
      </c>
      <c r="D263" s="9">
        <f>VLOOKUP(EHD[[#This Row],[DEVELOPMENT]],Data[],27,FALSE)</f>
        <v>1</v>
      </c>
      <c r="E263" s="1">
        <f>VLOOKUP(EHD[[#This Row],[DEVELOPMENT]],Data[],8,FALSE)</f>
        <v>0</v>
      </c>
      <c r="F263" s="1">
        <f>VLOOKUP(EHD[[#This Row],[DEVELOPMENT]],Data[],9,FALSE)</f>
        <v>0</v>
      </c>
      <c r="G263" s="1">
        <f>IFERROR(VLOOKUP(EHD[[#This Row],[DEVELOPMENT]],Data[],4,FALSE),"")</f>
        <v>2019</v>
      </c>
      <c r="H263" s="1" t="str">
        <f ca="1">IF(EHD[[#This Row],[RAD/PACT]]="","",IF((EHD[[#This Row],[RAD/PACT]]-YEAR(TODAY()))&lt;=5,"Yes",""))</f>
        <v>Yes</v>
      </c>
      <c r="I263" s="1"/>
      <c r="J263" s="1"/>
      <c r="K263" s="1"/>
      <c r="L263" s="1"/>
      <c r="M263" s="63">
        <f>IF(EHD[[#This Row],[RAD/PACT]]&lt;=2020,0,INDEX(UnitCosts[],MATCH(EHD[[#This Row],[WORK TYPE]],UnitCosts[Work Type],0),2)*EHD[[#This Row],['# Hopper Doors]])</f>
        <v>0</v>
      </c>
      <c r="N263" s="63">
        <f t="shared" si="4"/>
        <v>14819237.495499989</v>
      </c>
    </row>
    <row r="264" spans="1:14" x14ac:dyDescent="0.25">
      <c r="A264" s="1" t="s">
        <v>309</v>
      </c>
      <c r="B264" s="1" t="str">
        <f>VLOOKUP(A264,Data[],2,FALSE)</f>
        <v>BROOKLYN</v>
      </c>
      <c r="C264" s="9" t="s">
        <v>27</v>
      </c>
      <c r="D264" s="9">
        <f>VLOOKUP(EHD[[#This Row],[DEVELOPMENT]],Data[],27,FALSE)</f>
        <v>1</v>
      </c>
      <c r="E264" s="1">
        <f>VLOOKUP(EHD[[#This Row],[DEVELOPMENT]],Data[],8,FALSE)</f>
        <v>0</v>
      </c>
      <c r="F264" s="1">
        <f>VLOOKUP(EHD[[#This Row],[DEVELOPMENT]],Data[],9,FALSE)</f>
        <v>0</v>
      </c>
      <c r="G264" s="1" t="str">
        <f>IFERROR(VLOOKUP(EHD[[#This Row],[DEVELOPMENT]],Data[],4,FALSE),"")</f>
        <v/>
      </c>
      <c r="H264" s="1" t="str">
        <f ca="1">IF(EHD[[#This Row],[RAD/PACT]]="","",IF((EHD[[#This Row],[RAD/PACT]]-YEAR(TODAY()))&lt;=5,"Yes",""))</f>
        <v/>
      </c>
      <c r="I264" s="1"/>
      <c r="J264" s="1"/>
      <c r="K264" s="1"/>
      <c r="L264" s="1"/>
      <c r="M264" s="63">
        <f>IF(EHD[[#This Row],[RAD/PACT]]&lt;=2020,0,INDEX(UnitCosts[],MATCH(EHD[[#This Row],[WORK TYPE]],UnitCosts[Work Type],0),2)*EHD[[#This Row],['# Hopper Doors]])</f>
        <v>7435.6435000000001</v>
      </c>
      <c r="N264" s="63">
        <f t="shared" si="4"/>
        <v>14826673.138999989</v>
      </c>
    </row>
    <row r="265" spans="1:14" x14ac:dyDescent="0.25">
      <c r="A265" s="1" t="s">
        <v>310</v>
      </c>
      <c r="B265" s="1" t="str">
        <f>VLOOKUP(A265,Data[],2,FALSE)</f>
        <v>BRONX</v>
      </c>
      <c r="C265" s="9" t="s">
        <v>27</v>
      </c>
      <c r="D265" s="9">
        <f>VLOOKUP(EHD[[#This Row],[DEVELOPMENT]],Data[],27,FALSE)</f>
        <v>7</v>
      </c>
      <c r="E265" s="1">
        <f>VLOOKUP(EHD[[#This Row],[DEVELOPMENT]],Data[],8,FALSE)</f>
        <v>0</v>
      </c>
      <c r="F265" s="1">
        <f>VLOOKUP(EHD[[#This Row],[DEVELOPMENT]],Data[],9,FALSE)</f>
        <v>0</v>
      </c>
      <c r="G265" s="1" t="str">
        <f>IFERROR(VLOOKUP(EHD[[#This Row],[DEVELOPMENT]],Data[],4,FALSE),"")</f>
        <v/>
      </c>
      <c r="H265" s="1" t="str">
        <f ca="1">IF(EHD[[#This Row],[RAD/PACT]]="","",IF((EHD[[#This Row],[RAD/PACT]]-YEAR(TODAY()))&lt;=5,"Yes",""))</f>
        <v/>
      </c>
      <c r="I265" s="1"/>
      <c r="J265" s="1"/>
      <c r="K265" s="1"/>
      <c r="L265" s="1"/>
      <c r="M265" s="63">
        <f>IF(EHD[[#This Row],[RAD/PACT]]&lt;=2020,0,INDEX(UnitCosts[],MATCH(EHD[[#This Row],[WORK TYPE]],UnitCosts[Work Type],0),2)*EHD[[#This Row],['# Hopper Doors]])</f>
        <v>52049.504500000003</v>
      </c>
      <c r="N265" s="63">
        <f t="shared" si="4"/>
        <v>14878722.643499989</v>
      </c>
    </row>
    <row r="266" spans="1:14" x14ac:dyDescent="0.25">
      <c r="A266" s="1" t="s">
        <v>311</v>
      </c>
      <c r="B266" s="1" t="str">
        <f>VLOOKUP(A266,Data[],2,FALSE)</f>
        <v>BROOKLYN</v>
      </c>
      <c r="C266" s="9" t="s">
        <v>27</v>
      </c>
      <c r="D266" s="9">
        <f>VLOOKUP(EHD[[#This Row],[DEVELOPMENT]],Data[],27,FALSE)</f>
        <v>35</v>
      </c>
      <c r="E266" s="1">
        <f>VLOOKUP(EHD[[#This Row],[DEVELOPMENT]],Data[],8,FALSE)</f>
        <v>0</v>
      </c>
      <c r="F266" s="1">
        <f>VLOOKUP(EHD[[#This Row],[DEVELOPMENT]],Data[],9,FALSE)</f>
        <v>0</v>
      </c>
      <c r="G266" s="1">
        <f>IFERROR(VLOOKUP(EHD[[#This Row],[DEVELOPMENT]],Data[],4,FALSE),"")</f>
        <v>2028</v>
      </c>
      <c r="H266" s="1" t="str">
        <f ca="1">IF(EHD[[#This Row],[RAD/PACT]]="","",IF((EHD[[#This Row],[RAD/PACT]]-YEAR(TODAY()))&lt;=5,"Yes",""))</f>
        <v/>
      </c>
      <c r="I266" s="1"/>
      <c r="J266" s="1"/>
      <c r="K266" s="1"/>
      <c r="L266" s="1"/>
      <c r="M266" s="63">
        <f>IF(EHD[[#This Row],[RAD/PACT]]&lt;=2020,0,INDEX(UnitCosts[],MATCH(EHD[[#This Row],[WORK TYPE]],UnitCosts[Work Type],0),2)*EHD[[#This Row],['# Hopper Doors]])</f>
        <v>260247.52249999999</v>
      </c>
      <c r="N266" s="63">
        <f t="shared" si="4"/>
        <v>15138970.16599999</v>
      </c>
    </row>
    <row r="267" spans="1:14" x14ac:dyDescent="0.25">
      <c r="A267" s="1" t="s">
        <v>313</v>
      </c>
      <c r="B267" s="1" t="str">
        <f>VLOOKUP(A267,Data[],2,FALSE)</f>
        <v>BRONX</v>
      </c>
      <c r="C267" s="9" t="s">
        <v>27</v>
      </c>
      <c r="D267" s="9">
        <f>VLOOKUP(EHD[[#This Row],[DEVELOPMENT]],Data[],27,FALSE)</f>
        <v>28</v>
      </c>
      <c r="E267" s="1">
        <f>VLOOKUP(EHD[[#This Row],[DEVELOPMENT]],Data[],8,FALSE)</f>
        <v>0</v>
      </c>
      <c r="F267" s="1">
        <f>VLOOKUP(EHD[[#This Row],[DEVELOPMENT]],Data[],9,FALSE)</f>
        <v>0</v>
      </c>
      <c r="G267" s="1" t="str">
        <f>IFERROR(VLOOKUP(EHD[[#This Row],[DEVELOPMENT]],Data[],4,FALSE),"")</f>
        <v/>
      </c>
      <c r="H267" s="1" t="str">
        <f ca="1">IF(EHD[[#This Row],[RAD/PACT]]="","",IF((EHD[[#This Row],[RAD/PACT]]-YEAR(TODAY()))&lt;=5,"Yes",""))</f>
        <v/>
      </c>
      <c r="I267" s="1"/>
      <c r="J267" s="1"/>
      <c r="K267" s="1"/>
      <c r="L267" s="1"/>
      <c r="M267" s="63">
        <f>IF(EHD[[#This Row],[RAD/PACT]]&lt;=2020,0,INDEX(UnitCosts[],MATCH(EHD[[#This Row],[WORK TYPE]],UnitCosts[Work Type],0),2)*EHD[[#This Row],['# Hopper Doors]])</f>
        <v>208198.01800000001</v>
      </c>
      <c r="N267" s="63">
        <f t="shared" si="4"/>
        <v>15347168.183999989</v>
      </c>
    </row>
    <row r="268" spans="1:14" x14ac:dyDescent="0.25">
      <c r="A268" s="1" t="s">
        <v>314</v>
      </c>
      <c r="B268" s="1" t="str">
        <f>VLOOKUP(A268,Data[],2,FALSE)</f>
        <v>BRONX</v>
      </c>
      <c r="C268" s="9" t="s">
        <v>27</v>
      </c>
      <c r="D268" s="9">
        <f>VLOOKUP(EHD[[#This Row],[DEVELOPMENT]],Data[],27,FALSE)</f>
        <v>22</v>
      </c>
      <c r="E268" s="1">
        <f>VLOOKUP(EHD[[#This Row],[DEVELOPMENT]],Data[],8,FALSE)</f>
        <v>0</v>
      </c>
      <c r="F268" s="1">
        <f>VLOOKUP(EHD[[#This Row],[DEVELOPMENT]],Data[],9,FALSE)</f>
        <v>0</v>
      </c>
      <c r="G268" s="1">
        <f>IFERROR(VLOOKUP(EHD[[#This Row],[DEVELOPMENT]],Data[],4,FALSE),"")</f>
        <v>2023</v>
      </c>
      <c r="H268" s="1" t="str">
        <f ca="1">IF(EHD[[#This Row],[RAD/PACT]]="","",IF((EHD[[#This Row],[RAD/PACT]]-YEAR(TODAY()))&lt;=5,"Yes",""))</f>
        <v>Yes</v>
      </c>
      <c r="I268" s="1"/>
      <c r="J268" s="1"/>
      <c r="K268" s="1"/>
      <c r="L268" s="1"/>
      <c r="M268" s="63">
        <f>IF(EHD[[#This Row],[RAD/PACT]]&lt;=2020,0,INDEX(UnitCosts[],MATCH(EHD[[#This Row],[WORK TYPE]],UnitCosts[Work Type],0),2)*EHD[[#This Row],['# Hopper Doors]])</f>
        <v>163584.15700000001</v>
      </c>
      <c r="N268" s="63">
        <f t="shared" si="4"/>
        <v>15510752.340999989</v>
      </c>
    </row>
    <row r="269" spans="1:14" x14ac:dyDescent="0.25">
      <c r="A269" s="1" t="s">
        <v>315</v>
      </c>
      <c r="B269" s="1" t="str">
        <f>VLOOKUP(A269,Data[],2,FALSE)</f>
        <v>STATEN ISLAND</v>
      </c>
      <c r="C269" s="9" t="s">
        <v>27</v>
      </c>
      <c r="D269" s="9">
        <f>VLOOKUP(EHD[[#This Row],[DEVELOPMENT]],Data[],27,FALSE)</f>
        <v>15</v>
      </c>
      <c r="E269" s="1">
        <f>VLOOKUP(EHD[[#This Row],[DEVELOPMENT]],Data[],8,FALSE)</f>
        <v>0</v>
      </c>
      <c r="F269" s="1">
        <f>VLOOKUP(EHD[[#This Row],[DEVELOPMENT]],Data[],9,FALSE)</f>
        <v>0</v>
      </c>
      <c r="G269" s="1" t="str">
        <f>IFERROR(VLOOKUP(EHD[[#This Row],[DEVELOPMENT]],Data[],4,FALSE),"")</f>
        <v/>
      </c>
      <c r="H269" s="1" t="str">
        <f ca="1">IF(EHD[[#This Row],[RAD/PACT]]="","",IF((EHD[[#This Row],[RAD/PACT]]-YEAR(TODAY()))&lt;=5,"Yes",""))</f>
        <v/>
      </c>
      <c r="I269" s="1"/>
      <c r="J269" s="1"/>
      <c r="K269" s="1"/>
      <c r="L269" s="1"/>
      <c r="M269" s="63">
        <f>IF(EHD[[#This Row],[RAD/PACT]]&lt;=2020,0,INDEX(UnitCosts[],MATCH(EHD[[#This Row],[WORK TYPE]],UnitCosts[Work Type],0),2)*EHD[[#This Row],['# Hopper Doors]])</f>
        <v>111534.6525</v>
      </c>
      <c r="N269" s="63">
        <f t="shared" si="4"/>
        <v>15622286.993499989</v>
      </c>
    </row>
    <row r="270" spans="1:14" x14ac:dyDescent="0.25">
      <c r="A270" s="1" t="s">
        <v>316</v>
      </c>
      <c r="B270" s="1" t="str">
        <f>VLOOKUP(A270,Data[],2,FALSE)</f>
        <v>QUEENS</v>
      </c>
      <c r="C270" s="9" t="s">
        <v>27</v>
      </c>
      <c r="D270" s="9">
        <f>VLOOKUP(EHD[[#This Row],[DEVELOPMENT]],Data[],27,FALSE)</f>
        <v>33</v>
      </c>
      <c r="E270" s="1">
        <f>VLOOKUP(EHD[[#This Row],[DEVELOPMENT]],Data[],8,FALSE)</f>
        <v>0</v>
      </c>
      <c r="F270" s="1">
        <f>VLOOKUP(EHD[[#This Row],[DEVELOPMENT]],Data[],9,FALSE)</f>
        <v>0</v>
      </c>
      <c r="G270" s="1">
        <f>IFERROR(VLOOKUP(EHD[[#This Row],[DEVELOPMENT]],Data[],4,FALSE),"")</f>
        <v>2021</v>
      </c>
      <c r="H270" s="1" t="str">
        <f ca="1">IF(EHD[[#This Row],[RAD/PACT]]="","",IF((EHD[[#This Row],[RAD/PACT]]-YEAR(TODAY()))&lt;=5,"Yes",""))</f>
        <v>Yes</v>
      </c>
      <c r="I270" s="1"/>
      <c r="J270" s="1"/>
      <c r="K270" s="1"/>
      <c r="L270" s="1"/>
      <c r="M270" s="63">
        <f>IF(EHD[[#This Row],[RAD/PACT]]&lt;=2020,0,INDEX(UnitCosts[],MATCH(EHD[[#This Row],[WORK TYPE]],UnitCosts[Work Type],0),2)*EHD[[#This Row],['# Hopper Doors]])</f>
        <v>245376.23550000001</v>
      </c>
      <c r="N270" s="63">
        <f t="shared" si="4"/>
        <v>15867663.228999989</v>
      </c>
    </row>
    <row r="271" spans="1:14" x14ac:dyDescent="0.25">
      <c r="A271" s="1" t="s">
        <v>317</v>
      </c>
      <c r="B271" s="1" t="str">
        <f>VLOOKUP(A271,Data[],2,FALSE)</f>
        <v>QUEENS</v>
      </c>
      <c r="C271" s="9" t="s">
        <v>27</v>
      </c>
      <c r="D271" s="9">
        <f>VLOOKUP(EHD[[#This Row],[DEVELOPMENT]],Data[],27,FALSE)</f>
        <v>27</v>
      </c>
      <c r="E271" s="1">
        <f>VLOOKUP(EHD[[#This Row],[DEVELOPMENT]],Data[],8,FALSE)</f>
        <v>0</v>
      </c>
      <c r="F271" s="1">
        <f>VLOOKUP(EHD[[#This Row],[DEVELOPMENT]],Data[],9,FALSE)</f>
        <v>0</v>
      </c>
      <c r="G271" s="1">
        <f>IFERROR(VLOOKUP(EHD[[#This Row],[DEVELOPMENT]],Data[],4,FALSE),"")</f>
        <v>2021</v>
      </c>
      <c r="H271" s="1" t="str">
        <f ca="1">IF(EHD[[#This Row],[RAD/PACT]]="","",IF((EHD[[#This Row],[RAD/PACT]]-YEAR(TODAY()))&lt;=5,"Yes",""))</f>
        <v>Yes</v>
      </c>
      <c r="I271" s="1"/>
      <c r="J271" s="1"/>
      <c r="K271" s="1"/>
      <c r="L271" s="1"/>
      <c r="M271" s="63">
        <f>IF(EHD[[#This Row],[RAD/PACT]]&lt;=2020,0,INDEX(UnitCosts[],MATCH(EHD[[#This Row],[WORK TYPE]],UnitCosts[Work Type],0),2)*EHD[[#This Row],['# Hopper Doors]])</f>
        <v>200762.37450000001</v>
      </c>
      <c r="N271" s="63">
        <f t="shared" si="4"/>
        <v>16068425.60349999</v>
      </c>
    </row>
    <row r="272" spans="1:14" x14ac:dyDescent="0.25">
      <c r="A272" s="1" t="s">
        <v>318</v>
      </c>
      <c r="B272" s="1" t="str">
        <f>VLOOKUP(A272,Data[],2,FALSE)</f>
        <v>MANHATTAN</v>
      </c>
      <c r="C272" s="9" t="s">
        <v>27</v>
      </c>
      <c r="D272" s="9">
        <f>VLOOKUP(EHD[[#This Row],[DEVELOPMENT]],Data[],27,FALSE)</f>
        <v>1</v>
      </c>
      <c r="E272" s="1">
        <f>VLOOKUP(EHD[[#This Row],[DEVELOPMENT]],Data[],8,FALSE)</f>
        <v>0</v>
      </c>
      <c r="F272" s="1">
        <f>VLOOKUP(EHD[[#This Row],[DEVELOPMENT]],Data[],9,FALSE)</f>
        <v>0</v>
      </c>
      <c r="G272" s="1" t="str">
        <f>IFERROR(VLOOKUP(EHD[[#This Row],[DEVELOPMENT]],Data[],4,FALSE),"")</f>
        <v/>
      </c>
      <c r="H272" s="1" t="str">
        <f ca="1">IF(EHD[[#This Row],[RAD/PACT]]="","",IF((EHD[[#This Row],[RAD/PACT]]-YEAR(TODAY()))&lt;=5,"Yes",""))</f>
        <v/>
      </c>
      <c r="I272" s="1"/>
      <c r="J272" s="1"/>
      <c r="K272" s="1"/>
      <c r="L272" s="1"/>
      <c r="M272" s="63">
        <f>IF(EHD[[#This Row],[RAD/PACT]]&lt;=2020,0,INDEX(UnitCosts[],MATCH(EHD[[#This Row],[WORK TYPE]],UnitCosts[Work Type],0),2)*EHD[[#This Row],['# Hopper Doors]])</f>
        <v>7435.6435000000001</v>
      </c>
      <c r="N272" s="63">
        <f t="shared" si="4"/>
        <v>16075861.24699999</v>
      </c>
    </row>
    <row r="273" spans="1:14" x14ac:dyDescent="0.25">
      <c r="A273" s="1" t="s">
        <v>319</v>
      </c>
      <c r="B273" s="1" t="str">
        <f>VLOOKUP(A273,Data[],2,FALSE)</f>
        <v>STATEN ISLAND</v>
      </c>
      <c r="C273" s="9" t="s">
        <v>27</v>
      </c>
      <c r="D273" s="9">
        <f>VLOOKUP(EHD[[#This Row],[DEVELOPMENT]],Data[],27,FALSE)</f>
        <v>12</v>
      </c>
      <c r="E273" s="1">
        <f>VLOOKUP(EHD[[#This Row],[DEVELOPMENT]],Data[],8,FALSE)</f>
        <v>0</v>
      </c>
      <c r="F273" s="1">
        <f>VLOOKUP(EHD[[#This Row],[DEVELOPMENT]],Data[],9,FALSE)</f>
        <v>0</v>
      </c>
      <c r="G273" s="1" t="str">
        <f>IFERROR(VLOOKUP(EHD[[#This Row],[DEVELOPMENT]],Data[],4,FALSE),"")</f>
        <v/>
      </c>
      <c r="H273" s="1" t="str">
        <f ca="1">IF(EHD[[#This Row],[RAD/PACT]]="","",IF((EHD[[#This Row],[RAD/PACT]]-YEAR(TODAY()))&lt;=5,"Yes",""))</f>
        <v/>
      </c>
      <c r="I273" s="1"/>
      <c r="J273" s="1"/>
      <c r="K273" s="1"/>
      <c r="L273" s="1"/>
      <c r="M273" s="63">
        <f>IF(EHD[[#This Row],[RAD/PACT]]&lt;=2020,0,INDEX(UnitCosts[],MATCH(EHD[[#This Row],[WORK TYPE]],UnitCosts[Work Type],0),2)*EHD[[#This Row],['# Hopper Doors]])</f>
        <v>89227.722000000009</v>
      </c>
      <c r="N273" s="63">
        <f t="shared" si="4"/>
        <v>16165088.968999989</v>
      </c>
    </row>
    <row r="274" spans="1:14" x14ac:dyDescent="0.25">
      <c r="A274" s="1" t="s">
        <v>320</v>
      </c>
      <c r="B274" s="1" t="str">
        <f>VLOOKUP(A274,Data[],2,FALSE)</f>
        <v>BROOKLYN</v>
      </c>
      <c r="C274" s="9" t="s">
        <v>27</v>
      </c>
      <c r="D274" s="9">
        <f>VLOOKUP(EHD[[#This Row],[DEVELOPMENT]],Data[],27,FALSE)</f>
        <v>5</v>
      </c>
      <c r="E274" s="1">
        <f>VLOOKUP(EHD[[#This Row],[DEVELOPMENT]],Data[],8,FALSE)</f>
        <v>0</v>
      </c>
      <c r="F274" s="1">
        <f>VLOOKUP(EHD[[#This Row],[DEVELOPMENT]],Data[],9,FALSE)</f>
        <v>0</v>
      </c>
      <c r="G274" s="1">
        <f>IFERROR(VLOOKUP(EHD[[#This Row],[DEVELOPMENT]],Data[],4,FALSE),"")</f>
        <v>2025</v>
      </c>
      <c r="H274" s="1" t="str">
        <f ca="1">IF(EHD[[#This Row],[RAD/PACT]]="","",IF((EHD[[#This Row],[RAD/PACT]]-YEAR(TODAY()))&lt;=5,"Yes",""))</f>
        <v/>
      </c>
      <c r="I274" s="1"/>
      <c r="J274" s="1"/>
      <c r="K274" s="1"/>
      <c r="L274" s="1"/>
      <c r="M274" s="63">
        <f>IF(EHD[[#This Row],[RAD/PACT]]&lt;=2020,0,INDEX(UnitCosts[],MATCH(EHD[[#This Row],[WORK TYPE]],UnitCosts[Work Type],0),2)*EHD[[#This Row],['# Hopper Doors]])</f>
        <v>37178.217499999999</v>
      </c>
      <c r="N274" s="63">
        <f t="shared" si="4"/>
        <v>16202267.186499989</v>
      </c>
    </row>
    <row r="275" spans="1:14" x14ac:dyDescent="0.25">
      <c r="A275" s="1" t="s">
        <v>321</v>
      </c>
      <c r="B275" s="1" t="str">
        <f>VLOOKUP(A275,Data[],2,FALSE)</f>
        <v>BROOKLYN</v>
      </c>
      <c r="C275" s="9" t="s">
        <v>27</v>
      </c>
      <c r="D275" s="9">
        <f>VLOOKUP(EHD[[#This Row],[DEVELOPMENT]],Data[],27,FALSE)</f>
        <v>7</v>
      </c>
      <c r="E275" s="1">
        <f>VLOOKUP(EHD[[#This Row],[DEVELOPMENT]],Data[],8,FALSE)</f>
        <v>0</v>
      </c>
      <c r="F275" s="1">
        <f>VLOOKUP(EHD[[#This Row],[DEVELOPMENT]],Data[],9,FALSE)</f>
        <v>0</v>
      </c>
      <c r="G275" s="1">
        <f>IFERROR(VLOOKUP(EHD[[#This Row],[DEVELOPMENT]],Data[],4,FALSE),"")</f>
        <v>2025</v>
      </c>
      <c r="H275" s="1" t="str">
        <f ca="1">IF(EHD[[#This Row],[RAD/PACT]]="","",IF((EHD[[#This Row],[RAD/PACT]]-YEAR(TODAY()))&lt;=5,"Yes",""))</f>
        <v/>
      </c>
      <c r="I275" s="1"/>
      <c r="J275" s="1"/>
      <c r="K275" s="1"/>
      <c r="L275" s="1"/>
      <c r="M275" s="63">
        <f>IF(EHD[[#This Row],[RAD/PACT]]&lt;=2020,0,INDEX(UnitCosts[],MATCH(EHD[[#This Row],[WORK TYPE]],UnitCosts[Work Type],0),2)*EHD[[#This Row],['# Hopper Doors]])</f>
        <v>52049.504500000003</v>
      </c>
      <c r="N275" s="63">
        <f t="shared" si="4"/>
        <v>16254316.690999988</v>
      </c>
    </row>
    <row r="276" spans="1:14" x14ac:dyDescent="0.25">
      <c r="A276" s="1" t="s">
        <v>322</v>
      </c>
      <c r="B276" s="1" t="str">
        <f>VLOOKUP(A276,Data[],2,FALSE)</f>
        <v>MANHATTAN</v>
      </c>
      <c r="C276" s="9" t="s">
        <v>27</v>
      </c>
      <c r="D276" s="9">
        <f>VLOOKUP(EHD[[#This Row],[DEVELOPMENT]],Data[],27,FALSE)</f>
        <v>2</v>
      </c>
      <c r="E276" s="1">
        <f>VLOOKUP(EHD[[#This Row],[DEVELOPMENT]],Data[],8,FALSE)</f>
        <v>0</v>
      </c>
      <c r="F276" s="1">
        <f>VLOOKUP(EHD[[#This Row],[DEVELOPMENT]],Data[],9,FALSE)</f>
        <v>0</v>
      </c>
      <c r="G276" s="1" t="str">
        <f>IFERROR(VLOOKUP(EHD[[#This Row],[DEVELOPMENT]],Data[],4,FALSE),"")</f>
        <v/>
      </c>
      <c r="H276" s="1" t="str">
        <f ca="1">IF(EHD[[#This Row],[RAD/PACT]]="","",IF((EHD[[#This Row],[RAD/PACT]]-YEAR(TODAY()))&lt;=5,"Yes",""))</f>
        <v/>
      </c>
      <c r="I276" s="1"/>
      <c r="J276" s="1"/>
      <c r="K276" s="1"/>
      <c r="L276" s="1"/>
      <c r="M276" s="63">
        <f>IF(EHD[[#This Row],[RAD/PACT]]&lt;=2020,0,INDEX(UnitCosts[],MATCH(EHD[[#This Row],[WORK TYPE]],UnitCosts[Work Type],0),2)*EHD[[#This Row],['# Hopper Doors]])</f>
        <v>14871.287</v>
      </c>
      <c r="N276" s="63">
        <f t="shared" si="4"/>
        <v>16269187.977999989</v>
      </c>
    </row>
    <row r="277" spans="1:14" x14ac:dyDescent="0.25">
      <c r="A277" s="106" t="s">
        <v>323</v>
      </c>
      <c r="B277" s="1" t="str">
        <f>VLOOKUP(A277,Data[],2,FALSE)</f>
        <v>BROOKLYN</v>
      </c>
      <c r="C277" s="9" t="s">
        <v>27</v>
      </c>
      <c r="D277" s="9">
        <f>VLOOKUP(EHD[[#This Row],[DEVELOPMENT]],Data[],27,FALSE)</f>
        <v>11</v>
      </c>
      <c r="E277" s="1">
        <f>VLOOKUP(EHD[[#This Row],[DEVELOPMENT]],Data[],8,FALSE)</f>
        <v>0</v>
      </c>
      <c r="F277" s="1">
        <f>VLOOKUP(EHD[[#This Row],[DEVELOPMENT]],Data[],9,FALSE)</f>
        <v>0</v>
      </c>
      <c r="G277" s="1" t="str">
        <f>IFERROR(VLOOKUP(EHD[[#This Row],[DEVELOPMENT]],Data[],4,FALSE),"")</f>
        <v/>
      </c>
      <c r="H277" s="1" t="str">
        <f ca="1">IF(EHD[[#This Row],[RAD/PACT]]="","",IF((EHD[[#This Row],[RAD/PACT]]-YEAR(TODAY()))&lt;=5,"Yes",""))</f>
        <v/>
      </c>
      <c r="I277" s="1"/>
      <c r="J277" s="1"/>
      <c r="K277" s="1"/>
      <c r="L277" s="1"/>
      <c r="M277" s="63">
        <f>IF(EHD[[#This Row],[RAD/PACT]]&lt;=2020,0,INDEX(UnitCosts[],MATCH(EHD[[#This Row],[WORK TYPE]],UnitCosts[Work Type],0),2)*EHD[[#This Row],['# Hopper Doors]])</f>
        <v>81792.078500000003</v>
      </c>
      <c r="N277" s="63">
        <f t="shared" si="4"/>
        <v>16350980.05649999</v>
      </c>
    </row>
    <row r="278" spans="1:14" x14ac:dyDescent="0.25">
      <c r="A278" s="1" t="s">
        <v>325</v>
      </c>
      <c r="B278" s="1" t="str">
        <f>VLOOKUP(A278,Data[],2,FALSE)</f>
        <v>BROOKLYN</v>
      </c>
      <c r="C278" s="9" t="s">
        <v>27</v>
      </c>
      <c r="D278" s="9">
        <f>VLOOKUP(EHD[[#This Row],[DEVELOPMENT]],Data[],27,FALSE)</f>
        <v>5</v>
      </c>
      <c r="E278" s="1">
        <f>VLOOKUP(EHD[[#This Row],[DEVELOPMENT]],Data[],8,FALSE)</f>
        <v>0</v>
      </c>
      <c r="F278" s="1">
        <f>VLOOKUP(EHD[[#This Row],[DEVELOPMENT]],Data[],9,FALSE)</f>
        <v>0</v>
      </c>
      <c r="G278" s="1" t="str">
        <f>IFERROR(VLOOKUP(EHD[[#This Row],[DEVELOPMENT]],Data[],4,FALSE),"")</f>
        <v/>
      </c>
      <c r="H278" s="1" t="str">
        <f ca="1">IF(EHD[[#This Row],[RAD/PACT]]="","",IF((EHD[[#This Row],[RAD/PACT]]-YEAR(TODAY()))&lt;=5,"Yes",""))</f>
        <v/>
      </c>
      <c r="I278" s="1"/>
      <c r="J278" s="1"/>
      <c r="K278" s="1"/>
      <c r="L278" s="1"/>
      <c r="M278" s="63">
        <f>IF(EHD[[#This Row],[RAD/PACT]]&lt;=2020,0,INDEX(UnitCosts[],MATCH(EHD[[#This Row],[WORK TYPE]],UnitCosts[Work Type],0),2)*EHD[[#This Row],['# Hopper Doors]])</f>
        <v>37178.217499999999</v>
      </c>
      <c r="N278" s="63">
        <f t="shared" si="4"/>
        <v>16388158.273999989</v>
      </c>
    </row>
    <row r="279" spans="1:14" x14ac:dyDescent="0.25">
      <c r="A279" s="1" t="s">
        <v>326</v>
      </c>
      <c r="B279" s="1" t="str">
        <f>VLOOKUP(A279,Data[],2,FALSE)</f>
        <v>BROOKLYN</v>
      </c>
      <c r="C279" s="9" t="s">
        <v>27</v>
      </c>
      <c r="D279" s="9">
        <f>VLOOKUP(EHD[[#This Row],[DEVELOPMENT]],Data[],27,FALSE)</f>
        <v>5</v>
      </c>
      <c r="E279" s="1">
        <f>VLOOKUP(EHD[[#This Row],[DEVELOPMENT]],Data[],8,FALSE)</f>
        <v>0</v>
      </c>
      <c r="F279" s="1">
        <f>VLOOKUP(EHD[[#This Row],[DEVELOPMENT]],Data[],9,FALSE)</f>
        <v>0</v>
      </c>
      <c r="G279" s="1">
        <f>IFERROR(VLOOKUP(EHD[[#This Row],[DEVELOPMENT]],Data[],4,FALSE),"")</f>
        <v>2021</v>
      </c>
      <c r="H279" s="1" t="str">
        <f ca="1">IF(EHD[[#This Row],[RAD/PACT]]="","",IF((EHD[[#This Row],[RAD/PACT]]-YEAR(TODAY()))&lt;=5,"Yes",""))</f>
        <v>Yes</v>
      </c>
      <c r="I279" s="1"/>
      <c r="J279" s="1"/>
      <c r="K279" s="1"/>
      <c r="L279" s="1"/>
      <c r="M279" s="63">
        <f>IF(EHD[[#This Row],[RAD/PACT]]&lt;=2020,0,INDEX(UnitCosts[],MATCH(EHD[[#This Row],[WORK TYPE]],UnitCosts[Work Type],0),2)*EHD[[#This Row],['# Hopper Doors]])</f>
        <v>37178.217499999999</v>
      </c>
      <c r="N279" s="63">
        <f t="shared" si="4"/>
        <v>16425336.491499988</v>
      </c>
    </row>
    <row r="280" spans="1:14" x14ac:dyDescent="0.25">
      <c r="A280" s="1" t="s">
        <v>327</v>
      </c>
      <c r="B280" s="1" t="str">
        <f>VLOOKUP(A280,Data[],2,FALSE)</f>
        <v>BROOKLYN</v>
      </c>
      <c r="C280" s="9" t="s">
        <v>27</v>
      </c>
      <c r="D280" s="9">
        <f>VLOOKUP(EHD[[#This Row],[DEVELOPMENT]],Data[],27,FALSE)</f>
        <v>9</v>
      </c>
      <c r="E280" s="1">
        <f>VLOOKUP(EHD[[#This Row],[DEVELOPMENT]],Data[],8,FALSE)</f>
        <v>0</v>
      </c>
      <c r="F280" s="1">
        <f>VLOOKUP(EHD[[#This Row],[DEVELOPMENT]],Data[],9,FALSE)</f>
        <v>0</v>
      </c>
      <c r="G280" s="1">
        <f>IFERROR(VLOOKUP(EHD[[#This Row],[DEVELOPMENT]],Data[],4,FALSE),"")</f>
        <v>2021</v>
      </c>
      <c r="H280" s="1" t="str">
        <f ca="1">IF(EHD[[#This Row],[RAD/PACT]]="","",IF((EHD[[#This Row],[RAD/PACT]]-YEAR(TODAY()))&lt;=5,"Yes",""))</f>
        <v>Yes</v>
      </c>
      <c r="I280" s="1"/>
      <c r="J280" s="1"/>
      <c r="K280" s="1"/>
      <c r="L280" s="1"/>
      <c r="M280" s="63">
        <f>IF(EHD[[#This Row],[RAD/PACT]]&lt;=2020,0,INDEX(UnitCosts[],MATCH(EHD[[#This Row],[WORK TYPE]],UnitCosts[Work Type],0),2)*EHD[[#This Row],['# Hopper Doors]])</f>
        <v>66920.791500000007</v>
      </c>
      <c r="N280" s="63">
        <f t="shared" si="4"/>
        <v>16492257.282999989</v>
      </c>
    </row>
    <row r="281" spans="1:14" x14ac:dyDescent="0.25">
      <c r="A281" s="1" t="s">
        <v>328</v>
      </c>
      <c r="B281" s="1" t="str">
        <f>VLOOKUP(A281,Data[],2,FALSE)</f>
        <v>BROOKLYN</v>
      </c>
      <c r="C281" s="9" t="s">
        <v>27</v>
      </c>
      <c r="D281" s="9">
        <f>VLOOKUP(EHD[[#This Row],[DEVELOPMENT]],Data[],27,FALSE)</f>
        <v>6</v>
      </c>
      <c r="E281" s="1">
        <f>VLOOKUP(EHD[[#This Row],[DEVELOPMENT]],Data[],8,FALSE)</f>
        <v>0</v>
      </c>
      <c r="F281" s="1">
        <f>VLOOKUP(EHD[[#This Row],[DEVELOPMENT]],Data[],9,FALSE)</f>
        <v>0</v>
      </c>
      <c r="G281" s="1" t="str">
        <f>IFERROR(VLOOKUP(EHD[[#This Row],[DEVELOPMENT]],Data[],4,FALSE),"")</f>
        <v/>
      </c>
      <c r="H281" s="1" t="str">
        <f ca="1">IF(EHD[[#This Row],[RAD/PACT]]="","",IF((EHD[[#This Row],[RAD/PACT]]-YEAR(TODAY()))&lt;=5,"Yes",""))</f>
        <v/>
      </c>
      <c r="I281" s="1"/>
      <c r="J281" s="1"/>
      <c r="K281" s="1"/>
      <c r="L281" s="1"/>
      <c r="M281" s="63">
        <f>IF(EHD[[#This Row],[RAD/PACT]]&lt;=2020,0,INDEX(UnitCosts[],MATCH(EHD[[#This Row],[WORK TYPE]],UnitCosts[Work Type],0),2)*EHD[[#This Row],['# Hopper Doors]])</f>
        <v>44613.861000000004</v>
      </c>
      <c r="N281" s="63">
        <f t="shared" si="4"/>
        <v>16536871.143999988</v>
      </c>
    </row>
    <row r="282" spans="1:14" x14ac:dyDescent="0.25">
      <c r="A282" s="1" t="s">
        <v>330</v>
      </c>
      <c r="B282" s="1" t="str">
        <f>VLOOKUP(A282,Data[],2,FALSE)</f>
        <v>BRONX</v>
      </c>
      <c r="C282" s="9" t="s">
        <v>27</v>
      </c>
      <c r="D282" s="9">
        <f>VLOOKUP(EHD[[#This Row],[DEVELOPMENT]],Data[],27,FALSE)</f>
        <v>60</v>
      </c>
      <c r="E282" s="1">
        <f>VLOOKUP(EHD[[#This Row],[DEVELOPMENT]],Data[],8,FALSE)</f>
        <v>0</v>
      </c>
      <c r="F282" s="1">
        <f>VLOOKUP(EHD[[#This Row],[DEVELOPMENT]],Data[],9,FALSE)</f>
        <v>0</v>
      </c>
      <c r="G282" s="1">
        <f>IFERROR(VLOOKUP(EHD[[#This Row],[DEVELOPMENT]],Data[],4,FALSE),"")</f>
        <v>2022</v>
      </c>
      <c r="H282" s="1" t="str">
        <f ca="1">IF(EHD[[#This Row],[RAD/PACT]]="","",IF((EHD[[#This Row],[RAD/PACT]]-YEAR(TODAY()))&lt;=5,"Yes",""))</f>
        <v>Yes</v>
      </c>
      <c r="I282" s="1"/>
      <c r="J282" s="1"/>
      <c r="K282" s="1"/>
      <c r="L282" s="1"/>
      <c r="M282" s="63">
        <f>IF(EHD[[#This Row],[RAD/PACT]]&lt;=2020,0,INDEX(UnitCosts[],MATCH(EHD[[#This Row],[WORK TYPE]],UnitCosts[Work Type],0),2)*EHD[[#This Row],['# Hopper Doors]])</f>
        <v>446138.61</v>
      </c>
      <c r="N282" s="63">
        <f t="shared" si="4"/>
        <v>16983009.753999989</v>
      </c>
    </row>
    <row r="283" spans="1:14" x14ac:dyDescent="0.25">
      <c r="A283" s="1" t="s">
        <v>331</v>
      </c>
      <c r="B283" s="1" t="str">
        <f>VLOOKUP(A283,Data[],2,FALSE)</f>
        <v>BRONX</v>
      </c>
      <c r="C283" s="9" t="s">
        <v>27</v>
      </c>
      <c r="D283" s="9">
        <f>VLOOKUP(EHD[[#This Row],[DEVELOPMENT]],Data[],27,FALSE)</f>
        <v>4</v>
      </c>
      <c r="E283" s="1">
        <f>VLOOKUP(EHD[[#This Row],[DEVELOPMENT]],Data[],8,FALSE)</f>
        <v>0</v>
      </c>
      <c r="F283" s="1">
        <f>VLOOKUP(EHD[[#This Row],[DEVELOPMENT]],Data[],9,FALSE)</f>
        <v>0</v>
      </c>
      <c r="G283" s="1">
        <f>IFERROR(VLOOKUP(EHD[[#This Row],[DEVELOPMENT]],Data[],4,FALSE),"")</f>
        <v>2022</v>
      </c>
      <c r="H283" s="1" t="str">
        <f ca="1">IF(EHD[[#This Row],[RAD/PACT]]="","",IF((EHD[[#This Row],[RAD/PACT]]-YEAR(TODAY()))&lt;=5,"Yes",""))</f>
        <v>Yes</v>
      </c>
      <c r="I283" s="1"/>
      <c r="J283" s="1"/>
      <c r="K283" s="1"/>
      <c r="L283" s="1"/>
      <c r="M283" s="63">
        <f>IF(EHD[[#This Row],[RAD/PACT]]&lt;=2020,0,INDEX(UnitCosts[],MATCH(EHD[[#This Row],[WORK TYPE]],UnitCosts[Work Type],0),2)*EHD[[#This Row],['# Hopper Doors]])</f>
        <v>29742.574000000001</v>
      </c>
      <c r="N283" s="63">
        <f t="shared" si="4"/>
        <v>17012752.32799999</v>
      </c>
    </row>
    <row r="284" spans="1:14" x14ac:dyDescent="0.25">
      <c r="A284" s="1" t="s">
        <v>332</v>
      </c>
      <c r="B284" s="1" t="str">
        <f>VLOOKUP(A284,Data[],2,FALSE)</f>
        <v>BROOKLYN</v>
      </c>
      <c r="C284" s="9" t="s">
        <v>27</v>
      </c>
      <c r="D284" s="9">
        <f>VLOOKUP(EHD[[#This Row],[DEVELOPMENT]],Data[],27,FALSE)</f>
        <v>8</v>
      </c>
      <c r="E284" s="1">
        <f>VLOOKUP(EHD[[#This Row],[DEVELOPMENT]],Data[],8,FALSE)</f>
        <v>0</v>
      </c>
      <c r="F284" s="1">
        <f>VLOOKUP(EHD[[#This Row],[DEVELOPMENT]],Data[],9,FALSE)</f>
        <v>0</v>
      </c>
      <c r="G284" s="1" t="str">
        <f>IFERROR(VLOOKUP(EHD[[#This Row],[DEVELOPMENT]],Data[],4,FALSE),"")</f>
        <v/>
      </c>
      <c r="H284" s="1" t="str">
        <f ca="1">IF(EHD[[#This Row],[RAD/PACT]]="","",IF((EHD[[#This Row],[RAD/PACT]]-YEAR(TODAY()))&lt;=5,"Yes",""))</f>
        <v/>
      </c>
      <c r="I284" s="1"/>
      <c r="J284" s="1"/>
      <c r="K284" s="1"/>
      <c r="L284" s="1"/>
      <c r="M284" s="63">
        <f>IF(EHD[[#This Row],[RAD/PACT]]&lt;=2020,0,INDEX(UnitCosts[],MATCH(EHD[[#This Row],[WORK TYPE]],UnitCosts[Work Type],0),2)*EHD[[#This Row],['# Hopper Doors]])</f>
        <v>59485.148000000001</v>
      </c>
      <c r="N284" s="63">
        <f t="shared" si="4"/>
        <v>17072237.475999989</v>
      </c>
    </row>
    <row r="285" spans="1:14" x14ac:dyDescent="0.25">
      <c r="A285" s="1" t="s">
        <v>333</v>
      </c>
      <c r="B285" s="1" t="str">
        <f>VLOOKUP(A285,Data[],2,FALSE)</f>
        <v>STATEN ISLAND</v>
      </c>
      <c r="C285" s="9" t="s">
        <v>27</v>
      </c>
      <c r="D285" s="9">
        <f>VLOOKUP(EHD[[#This Row],[DEVELOPMENT]],Data[],27,FALSE)</f>
        <v>13</v>
      </c>
      <c r="E285" s="1">
        <f>VLOOKUP(EHD[[#This Row],[DEVELOPMENT]],Data[],8,FALSE)</f>
        <v>0</v>
      </c>
      <c r="F285" s="1">
        <f>VLOOKUP(EHD[[#This Row],[DEVELOPMENT]],Data[],9,FALSE)</f>
        <v>0</v>
      </c>
      <c r="G285" s="1" t="str">
        <f>IFERROR(VLOOKUP(EHD[[#This Row],[DEVELOPMENT]],Data[],4,FALSE),"")</f>
        <v/>
      </c>
      <c r="H285" s="1" t="str">
        <f ca="1">IF(EHD[[#This Row],[RAD/PACT]]="","",IF((EHD[[#This Row],[RAD/PACT]]-YEAR(TODAY()))&lt;=5,"Yes",""))</f>
        <v/>
      </c>
      <c r="I285" s="1"/>
      <c r="J285" s="1"/>
      <c r="K285" s="1"/>
      <c r="L285" s="1"/>
      <c r="M285" s="63">
        <f>IF(EHD[[#This Row],[RAD/PACT]]&lt;=2020,0,INDEX(UnitCosts[],MATCH(EHD[[#This Row],[WORK TYPE]],UnitCosts[Work Type],0),2)*EHD[[#This Row],['# Hopper Doors]])</f>
        <v>96663.3655</v>
      </c>
      <c r="N285" s="63">
        <f t="shared" si="4"/>
        <v>17168900.841499988</v>
      </c>
    </row>
    <row r="286" spans="1:14" x14ac:dyDescent="0.25">
      <c r="A286" s="1" t="s">
        <v>334</v>
      </c>
      <c r="B286" s="1" t="str">
        <f>VLOOKUP(A286,Data[],2,FALSE)</f>
        <v>BROOKLYN</v>
      </c>
      <c r="C286" s="9" t="s">
        <v>27</v>
      </c>
      <c r="D286" s="9">
        <f>VLOOKUP(EHD[[#This Row],[DEVELOPMENT]],Data[],27,FALSE)</f>
        <v>3</v>
      </c>
      <c r="E286" s="1">
        <f>VLOOKUP(EHD[[#This Row],[DEVELOPMENT]],Data[],8,FALSE)</f>
        <v>0</v>
      </c>
      <c r="F286" s="1">
        <f>VLOOKUP(EHD[[#This Row],[DEVELOPMENT]],Data[],9,FALSE)</f>
        <v>0</v>
      </c>
      <c r="G286" s="1">
        <f>IFERROR(VLOOKUP(EHD[[#This Row],[DEVELOPMENT]],Data[],4,FALSE),"")</f>
        <v>2026</v>
      </c>
      <c r="H286" s="1" t="str">
        <f ca="1">IF(EHD[[#This Row],[RAD/PACT]]="","",IF((EHD[[#This Row],[RAD/PACT]]-YEAR(TODAY()))&lt;=5,"Yes",""))</f>
        <v/>
      </c>
      <c r="I286" s="1"/>
      <c r="J286" s="1"/>
      <c r="K286" s="1"/>
      <c r="L286" s="1"/>
      <c r="M286" s="63">
        <f>IF(EHD[[#This Row],[RAD/PACT]]&lt;=2020,0,INDEX(UnitCosts[],MATCH(EHD[[#This Row],[WORK TYPE]],UnitCosts[Work Type],0),2)*EHD[[#This Row],['# Hopper Doors]])</f>
        <v>22306.930500000002</v>
      </c>
      <c r="N286" s="63">
        <f t="shared" si="4"/>
        <v>17191207.771999989</v>
      </c>
    </row>
    <row r="287" spans="1:14" x14ac:dyDescent="0.25">
      <c r="A287" s="1" t="s">
        <v>335</v>
      </c>
      <c r="B287" s="1" t="str">
        <f>VLOOKUP(A287,Data[],2,FALSE)</f>
        <v>BROOKLYN</v>
      </c>
      <c r="C287" s="9" t="s">
        <v>27</v>
      </c>
      <c r="D287" s="9">
        <f>VLOOKUP(EHD[[#This Row],[DEVELOPMENT]],Data[],27,FALSE)</f>
        <v>12</v>
      </c>
      <c r="E287" s="1">
        <f>VLOOKUP(EHD[[#This Row],[DEVELOPMENT]],Data[],8,FALSE)</f>
        <v>0</v>
      </c>
      <c r="F287" s="1">
        <f>VLOOKUP(EHD[[#This Row],[DEVELOPMENT]],Data[],9,FALSE)</f>
        <v>0</v>
      </c>
      <c r="G287" s="1">
        <f>IFERROR(VLOOKUP(EHD[[#This Row],[DEVELOPMENT]],Data[],4,FALSE),"")</f>
        <v>2026</v>
      </c>
      <c r="H287" s="1" t="str">
        <f ca="1">IF(EHD[[#This Row],[RAD/PACT]]="","",IF((EHD[[#This Row],[RAD/PACT]]-YEAR(TODAY()))&lt;=5,"Yes",""))</f>
        <v/>
      </c>
      <c r="I287" s="1"/>
      <c r="J287" s="1"/>
      <c r="K287" s="1"/>
      <c r="L287" s="1"/>
      <c r="M287" s="63">
        <f>IF(EHD[[#This Row],[RAD/PACT]]&lt;=2020,0,INDEX(UnitCosts[],MATCH(EHD[[#This Row],[WORK TYPE]],UnitCosts[Work Type],0),2)*EHD[[#This Row],['# Hopper Doors]])</f>
        <v>89227.722000000009</v>
      </c>
      <c r="N287" s="63">
        <f t="shared" si="4"/>
        <v>17280435.493999988</v>
      </c>
    </row>
    <row r="288" spans="1:14" x14ac:dyDescent="0.25">
      <c r="A288" s="1" t="s">
        <v>336</v>
      </c>
      <c r="B288" s="1" t="str">
        <f>VLOOKUP(A288,Data[],2,FALSE)</f>
        <v>BRONX</v>
      </c>
      <c r="C288" s="9" t="s">
        <v>27</v>
      </c>
      <c r="D288" s="9">
        <f>VLOOKUP(EHD[[#This Row],[DEVELOPMENT]],Data[],27,FALSE)</f>
        <v>5</v>
      </c>
      <c r="E288" s="1">
        <f>VLOOKUP(EHD[[#This Row],[DEVELOPMENT]],Data[],8,FALSE)</f>
        <v>0</v>
      </c>
      <c r="F288" s="1">
        <f>VLOOKUP(EHD[[#This Row],[DEVELOPMENT]],Data[],9,FALSE)</f>
        <v>0</v>
      </c>
      <c r="G288" s="1" t="str">
        <f>IFERROR(VLOOKUP(EHD[[#This Row],[DEVELOPMENT]],Data[],4,FALSE),"")</f>
        <v/>
      </c>
      <c r="H288" s="1" t="str">
        <f ca="1">IF(EHD[[#This Row],[RAD/PACT]]="","",IF((EHD[[#This Row],[RAD/PACT]]-YEAR(TODAY()))&lt;=5,"Yes",""))</f>
        <v/>
      </c>
      <c r="I288" s="1"/>
      <c r="J288" s="1"/>
      <c r="K288" s="1"/>
      <c r="L288" s="1"/>
      <c r="M288" s="63">
        <f>IF(EHD[[#This Row],[RAD/PACT]]&lt;=2020,0,INDEX(UnitCosts[],MATCH(EHD[[#This Row],[WORK TYPE]],UnitCosts[Work Type],0),2)*EHD[[#This Row],['# Hopper Doors]])</f>
        <v>37178.217499999999</v>
      </c>
      <c r="N288" s="63">
        <f t="shared" si="4"/>
        <v>17317613.711499989</v>
      </c>
    </row>
    <row r="289" spans="1:14" x14ac:dyDescent="0.25">
      <c r="A289" s="1" t="s">
        <v>337</v>
      </c>
      <c r="B289" s="1" t="str">
        <f>VLOOKUP(A289,Data[],2,FALSE)</f>
        <v>BROOKLYN</v>
      </c>
      <c r="C289" s="9" t="s">
        <v>27</v>
      </c>
      <c r="D289" s="9">
        <f>VLOOKUP(EHD[[#This Row],[DEVELOPMENT]],Data[],27,FALSE)</f>
        <v>31</v>
      </c>
      <c r="E289" s="1">
        <f>VLOOKUP(EHD[[#This Row],[DEVELOPMENT]],Data[],8,FALSE)</f>
        <v>0</v>
      </c>
      <c r="F289" s="1">
        <f>VLOOKUP(EHD[[#This Row],[DEVELOPMENT]],Data[],9,FALSE)</f>
        <v>0</v>
      </c>
      <c r="G289" s="1">
        <f>IFERROR(VLOOKUP(EHD[[#This Row],[DEVELOPMENT]],Data[],4,FALSE),"")</f>
        <v>2024</v>
      </c>
      <c r="H289" s="1" t="str">
        <f ca="1">IF(EHD[[#This Row],[RAD/PACT]]="","",IF((EHD[[#This Row],[RAD/PACT]]-YEAR(TODAY()))&lt;=5,"Yes",""))</f>
        <v>Yes</v>
      </c>
      <c r="I289" s="1"/>
      <c r="J289" s="1"/>
      <c r="K289" s="1"/>
      <c r="L289" s="1"/>
      <c r="M289" s="63">
        <f>IF(EHD[[#This Row],[RAD/PACT]]&lt;=2020,0,INDEX(UnitCosts[],MATCH(EHD[[#This Row],[WORK TYPE]],UnitCosts[Work Type],0),2)*EHD[[#This Row],['# Hopper Doors]])</f>
        <v>230504.9485</v>
      </c>
      <c r="N289" s="63">
        <f t="shared" si="4"/>
        <v>17548118.659999989</v>
      </c>
    </row>
    <row r="290" spans="1:14" x14ac:dyDescent="0.25">
      <c r="A290" s="1" t="s">
        <v>338</v>
      </c>
      <c r="B290" s="1" t="str">
        <f>VLOOKUP(A290,Data[],2,FALSE)</f>
        <v>BROOKLYN</v>
      </c>
      <c r="C290" s="9" t="s">
        <v>27</v>
      </c>
      <c r="D290" s="9">
        <f>VLOOKUP(EHD[[#This Row],[DEVELOPMENT]],Data[],27,FALSE)</f>
        <v>1</v>
      </c>
      <c r="E290" s="1">
        <f>VLOOKUP(EHD[[#This Row],[DEVELOPMENT]],Data[],8,FALSE)</f>
        <v>0</v>
      </c>
      <c r="F290" s="1">
        <f>VLOOKUP(EHD[[#This Row],[DEVELOPMENT]],Data[],9,FALSE)</f>
        <v>0</v>
      </c>
      <c r="G290" s="1" t="str">
        <f>IFERROR(VLOOKUP(EHD[[#This Row],[DEVELOPMENT]],Data[],4,FALSE),"")</f>
        <v/>
      </c>
      <c r="H290" s="1" t="str">
        <f ca="1">IF(EHD[[#This Row],[RAD/PACT]]="","",IF((EHD[[#This Row],[RAD/PACT]]-YEAR(TODAY()))&lt;=5,"Yes",""))</f>
        <v/>
      </c>
      <c r="I290" s="1"/>
      <c r="J290" s="1"/>
      <c r="K290" s="1"/>
      <c r="L290" s="1"/>
      <c r="M290" s="63">
        <f>IF(EHD[[#This Row],[RAD/PACT]]&lt;=2020,0,INDEX(UnitCosts[],MATCH(EHD[[#This Row],[WORK TYPE]],UnitCosts[Work Type],0),2)*EHD[[#This Row],['# Hopper Doors]])</f>
        <v>7435.6435000000001</v>
      </c>
      <c r="N290" s="63">
        <f t="shared" si="4"/>
        <v>17555554.303499989</v>
      </c>
    </row>
    <row r="291" spans="1:14" x14ac:dyDescent="0.25">
      <c r="A291" s="1" t="s">
        <v>340</v>
      </c>
      <c r="B291" s="1" t="str">
        <f>VLOOKUP(A291,Data[],2,FALSE)</f>
        <v>MANHATTAN</v>
      </c>
      <c r="C291" s="9" t="s">
        <v>27</v>
      </c>
      <c r="D291" s="9">
        <f>VLOOKUP(EHD[[#This Row],[DEVELOPMENT]],Data[],27,FALSE)</f>
        <v>6</v>
      </c>
      <c r="E291" s="1">
        <f>VLOOKUP(EHD[[#This Row],[DEVELOPMENT]],Data[],8,FALSE)</f>
        <v>0</v>
      </c>
      <c r="F291" s="1">
        <f>VLOOKUP(EHD[[#This Row],[DEVELOPMENT]],Data[],9,FALSE)</f>
        <v>0</v>
      </c>
      <c r="G291" s="1">
        <f>IFERROR(VLOOKUP(EHD[[#This Row],[DEVELOPMENT]],Data[],4,FALSE),"")</f>
        <v>2019</v>
      </c>
      <c r="H291" s="1" t="str">
        <f ca="1">IF(EHD[[#This Row],[RAD/PACT]]="","",IF((EHD[[#This Row],[RAD/PACT]]-YEAR(TODAY()))&lt;=5,"Yes",""))</f>
        <v>Yes</v>
      </c>
      <c r="I291" s="1"/>
      <c r="J291" s="1"/>
      <c r="K291" s="1"/>
      <c r="L291" s="1"/>
      <c r="M291" s="63">
        <f>IF(EHD[[#This Row],[RAD/PACT]]&lt;=2020,0,INDEX(UnitCosts[],MATCH(EHD[[#This Row],[WORK TYPE]],UnitCosts[Work Type],0),2)*EHD[[#This Row],['# Hopper Doors]])</f>
        <v>0</v>
      </c>
      <c r="N291" s="63">
        <f t="shared" si="4"/>
        <v>17555554.303499989</v>
      </c>
    </row>
    <row r="292" spans="1:14" x14ac:dyDescent="0.25">
      <c r="A292" s="1" t="s">
        <v>341</v>
      </c>
      <c r="B292" s="1" t="str">
        <f>VLOOKUP(A292,Data[],2,FALSE)</f>
        <v>MANHATTAN</v>
      </c>
      <c r="C292" s="9" t="s">
        <v>27</v>
      </c>
      <c r="D292" s="9">
        <f>VLOOKUP(EHD[[#This Row],[DEVELOPMENT]],Data[],27,FALSE)</f>
        <v>3</v>
      </c>
      <c r="E292" s="1">
        <f>VLOOKUP(EHD[[#This Row],[DEVELOPMENT]],Data[],8,FALSE)</f>
        <v>0</v>
      </c>
      <c r="F292" s="1">
        <f>VLOOKUP(EHD[[#This Row],[DEVELOPMENT]],Data[],9,FALSE)</f>
        <v>0</v>
      </c>
      <c r="G292" s="1" t="str">
        <f>IFERROR(VLOOKUP(EHD[[#This Row],[DEVELOPMENT]],Data[],4,FALSE),"")</f>
        <v/>
      </c>
      <c r="H292" s="1" t="str">
        <f ca="1">IF(EHD[[#This Row],[RAD/PACT]]="","",IF((EHD[[#This Row],[RAD/PACT]]-YEAR(TODAY()))&lt;=5,"Yes",""))</f>
        <v/>
      </c>
      <c r="I292" s="1"/>
      <c r="J292" s="1"/>
      <c r="K292" s="1"/>
      <c r="L292" s="1"/>
      <c r="M292" s="63">
        <f>IF(EHD[[#This Row],[RAD/PACT]]&lt;=2020,0,INDEX(UnitCosts[],MATCH(EHD[[#This Row],[WORK TYPE]],UnitCosts[Work Type],0),2)*EHD[[#This Row],['# Hopper Doors]])</f>
        <v>22306.930500000002</v>
      </c>
      <c r="N292" s="63">
        <f t="shared" si="4"/>
        <v>17577861.23399999</v>
      </c>
    </row>
    <row r="293" spans="1:14" x14ac:dyDescent="0.25">
      <c r="A293" s="1" t="s">
        <v>342</v>
      </c>
      <c r="B293" s="1" t="str">
        <f>VLOOKUP(A293,Data[],2,FALSE)</f>
        <v>MANHATTAN</v>
      </c>
      <c r="C293" s="9" t="s">
        <v>27</v>
      </c>
      <c r="D293" s="9">
        <f>VLOOKUP(EHD[[#This Row],[DEVELOPMENT]],Data[],27,FALSE)</f>
        <v>1</v>
      </c>
      <c r="E293" s="1">
        <f>VLOOKUP(EHD[[#This Row],[DEVELOPMENT]],Data[],8,FALSE)</f>
        <v>0</v>
      </c>
      <c r="F293" s="1">
        <f>VLOOKUP(EHD[[#This Row],[DEVELOPMENT]],Data[],9,FALSE)</f>
        <v>0</v>
      </c>
      <c r="G293" s="1" t="str">
        <f>IFERROR(VLOOKUP(EHD[[#This Row],[DEVELOPMENT]],Data[],4,FALSE),"")</f>
        <v/>
      </c>
      <c r="H293" s="1" t="str">
        <f ca="1">IF(EHD[[#This Row],[RAD/PACT]]="","",IF((EHD[[#This Row],[RAD/PACT]]-YEAR(TODAY()))&lt;=5,"Yes",""))</f>
        <v/>
      </c>
      <c r="I293" s="1"/>
      <c r="J293" s="1"/>
      <c r="K293" s="1"/>
      <c r="L293" s="1"/>
      <c r="M293" s="63">
        <f>IF(EHD[[#This Row],[RAD/PACT]]&lt;=2020,0,INDEX(UnitCosts[],MATCH(EHD[[#This Row],[WORK TYPE]],UnitCosts[Work Type],0),2)*EHD[[#This Row],['# Hopper Doors]])</f>
        <v>7435.6435000000001</v>
      </c>
      <c r="N293" s="63">
        <f t="shared" si="4"/>
        <v>17585296.87749999</v>
      </c>
    </row>
    <row r="294" spans="1:14" x14ac:dyDescent="0.25">
      <c r="A294" s="1" t="s">
        <v>343</v>
      </c>
      <c r="B294" s="1" t="str">
        <f>VLOOKUP(A294,Data[],2,FALSE)</f>
        <v>MANHATTAN</v>
      </c>
      <c r="C294" s="9" t="s">
        <v>27</v>
      </c>
      <c r="D294" s="9">
        <f>VLOOKUP(EHD[[#This Row],[DEVELOPMENT]],Data[],27,FALSE)</f>
        <v>2</v>
      </c>
      <c r="E294" s="1">
        <f>VLOOKUP(EHD[[#This Row],[DEVELOPMENT]],Data[],8,FALSE)</f>
        <v>0</v>
      </c>
      <c r="F294" s="1">
        <f>VLOOKUP(EHD[[#This Row],[DEVELOPMENT]],Data[],9,FALSE)</f>
        <v>0</v>
      </c>
      <c r="G294" s="1">
        <f>IFERROR(VLOOKUP(EHD[[#This Row],[DEVELOPMENT]],Data[],4,FALSE),"")</f>
        <v>2019</v>
      </c>
      <c r="H294" s="1" t="str">
        <f ca="1">IF(EHD[[#This Row],[RAD/PACT]]="","",IF((EHD[[#This Row],[RAD/PACT]]-YEAR(TODAY()))&lt;=5,"Yes",""))</f>
        <v>Yes</v>
      </c>
      <c r="I294" s="1"/>
      <c r="J294" s="1"/>
      <c r="K294" s="1"/>
      <c r="L294" s="1"/>
      <c r="M294" s="63">
        <f>IF(EHD[[#This Row],[RAD/PACT]]&lt;=2020,0,INDEX(UnitCosts[],MATCH(EHD[[#This Row],[WORK TYPE]],UnitCosts[Work Type],0),2)*EHD[[#This Row],['# Hopper Doors]])</f>
        <v>0</v>
      </c>
      <c r="N294" s="63">
        <f t="shared" si="4"/>
        <v>17585296.87749999</v>
      </c>
    </row>
    <row r="295" spans="1:14" x14ac:dyDescent="0.25">
      <c r="A295" s="1" t="s">
        <v>344</v>
      </c>
      <c r="B295" s="1" t="str">
        <f>VLOOKUP(A295,Data[],2,FALSE)</f>
        <v>MANHATTAN</v>
      </c>
      <c r="C295" s="9" t="s">
        <v>27</v>
      </c>
      <c r="D295" s="9">
        <f>VLOOKUP(EHD[[#This Row],[DEVELOPMENT]],Data[],27,FALSE)</f>
        <v>2</v>
      </c>
      <c r="E295" s="1">
        <f>VLOOKUP(EHD[[#This Row],[DEVELOPMENT]],Data[],8,FALSE)</f>
        <v>0</v>
      </c>
      <c r="F295" s="1">
        <f>VLOOKUP(EHD[[#This Row],[DEVELOPMENT]],Data[],9,FALSE)</f>
        <v>0</v>
      </c>
      <c r="G295" s="1">
        <f>IFERROR(VLOOKUP(EHD[[#This Row],[DEVELOPMENT]],Data[],4,FALSE),"")</f>
        <v>2019</v>
      </c>
      <c r="H295" s="1" t="str">
        <f ca="1">IF(EHD[[#This Row],[RAD/PACT]]="","",IF((EHD[[#This Row],[RAD/PACT]]-YEAR(TODAY()))&lt;=5,"Yes",""))</f>
        <v>Yes</v>
      </c>
      <c r="I295" s="1"/>
      <c r="J295" s="1"/>
      <c r="K295" s="1"/>
      <c r="L295" s="1"/>
      <c r="M295" s="63">
        <f>IF(EHD[[#This Row],[RAD/PACT]]&lt;=2020,0,INDEX(UnitCosts[],MATCH(EHD[[#This Row],[WORK TYPE]],UnitCosts[Work Type],0),2)*EHD[[#This Row],['# Hopper Doors]])</f>
        <v>0</v>
      </c>
      <c r="N295" s="63">
        <f t="shared" si="4"/>
        <v>17585296.87749999</v>
      </c>
    </row>
    <row r="296" spans="1:14" x14ac:dyDescent="0.25">
      <c r="A296" s="1" t="s">
        <v>345</v>
      </c>
      <c r="B296" s="1" t="str">
        <f>VLOOKUP(A296,Data[],2,FALSE)</f>
        <v>BROOKLYN</v>
      </c>
      <c r="C296" s="9" t="s">
        <v>27</v>
      </c>
      <c r="D296" s="9">
        <f>VLOOKUP(EHD[[#This Row],[DEVELOPMENT]],Data[],27,FALSE)</f>
        <v>0</v>
      </c>
      <c r="E296" s="1">
        <f>VLOOKUP(EHD[[#This Row],[DEVELOPMENT]],Data[],8,FALSE)</f>
        <v>0</v>
      </c>
      <c r="F296" s="1">
        <f>VLOOKUP(EHD[[#This Row],[DEVELOPMENT]],Data[],9,FALSE)</f>
        <v>0</v>
      </c>
      <c r="G296" s="1">
        <f>IFERROR(VLOOKUP(EHD[[#This Row],[DEVELOPMENT]],Data[],4,FALSE),"")</f>
        <v>2019</v>
      </c>
      <c r="H296" s="1" t="str">
        <f ca="1">IF(EHD[[#This Row],[RAD/PACT]]="","",IF((EHD[[#This Row],[RAD/PACT]]-YEAR(TODAY()))&lt;=5,"Yes",""))</f>
        <v>Yes</v>
      </c>
      <c r="I296" s="1"/>
      <c r="J296" s="1"/>
      <c r="K296" s="1"/>
      <c r="L296" s="1"/>
      <c r="M296" s="63">
        <f>IF(EHD[[#This Row],[RAD/PACT]]&lt;=2020,0,INDEX(UnitCosts[],MATCH(EHD[[#This Row],[WORK TYPE]],UnitCosts[Work Type],0),2)*EHD[[#This Row],['# Hopper Doors]])</f>
        <v>0</v>
      </c>
      <c r="N296" s="63">
        <f t="shared" si="4"/>
        <v>17585296.87749999</v>
      </c>
    </row>
    <row r="297" spans="1:14" x14ac:dyDescent="0.25">
      <c r="A297" s="1" t="s">
        <v>346</v>
      </c>
      <c r="B297" s="1" t="str">
        <f>VLOOKUP(A297,Data[],2,FALSE)</f>
        <v>STATEN ISLAND</v>
      </c>
      <c r="C297" s="9" t="s">
        <v>27</v>
      </c>
      <c r="D297" s="9">
        <f>VLOOKUP(EHD[[#This Row],[DEVELOPMENT]],Data[],27,FALSE)</f>
        <v>8</v>
      </c>
      <c r="E297" s="1">
        <f>VLOOKUP(EHD[[#This Row],[DEVELOPMENT]],Data[],8,FALSE)</f>
        <v>0</v>
      </c>
      <c r="F297" s="1">
        <f>VLOOKUP(EHD[[#This Row],[DEVELOPMENT]],Data[],9,FALSE)</f>
        <v>0</v>
      </c>
      <c r="G297" s="1" t="str">
        <f>IFERROR(VLOOKUP(EHD[[#This Row],[DEVELOPMENT]],Data[],4,FALSE),"")</f>
        <v/>
      </c>
      <c r="H297" s="1" t="str">
        <f ca="1">IF(EHD[[#This Row],[RAD/PACT]]="","",IF((EHD[[#This Row],[RAD/PACT]]-YEAR(TODAY()))&lt;=5,"Yes",""))</f>
        <v/>
      </c>
      <c r="I297" s="1"/>
      <c r="J297" s="1"/>
      <c r="K297" s="1"/>
      <c r="L297" s="1"/>
      <c r="M297" s="63">
        <f>IF(EHD[[#This Row],[RAD/PACT]]&lt;=2020,0,INDEX(UnitCosts[],MATCH(EHD[[#This Row],[WORK TYPE]],UnitCosts[Work Type],0),2)*EHD[[#This Row],['# Hopper Doors]])</f>
        <v>59485.148000000001</v>
      </c>
      <c r="N297" s="63">
        <f t="shared" si="4"/>
        <v>17644782.025499988</v>
      </c>
    </row>
    <row r="298" spans="1:14" x14ac:dyDescent="0.25">
      <c r="A298" s="1" t="s">
        <v>347</v>
      </c>
      <c r="B298" s="1" t="str">
        <f>VLOOKUP(A298,Data[],2,FALSE)</f>
        <v>STATEN ISLAND</v>
      </c>
      <c r="C298" s="9" t="s">
        <v>27</v>
      </c>
      <c r="D298" s="9">
        <f>VLOOKUP(EHD[[#This Row],[DEVELOPMENT]],Data[],27,FALSE)</f>
        <v>0</v>
      </c>
      <c r="E298" s="1">
        <f>VLOOKUP(EHD[[#This Row],[DEVELOPMENT]],Data[],8,FALSE)</f>
        <v>0</v>
      </c>
      <c r="F298" s="1">
        <f>VLOOKUP(EHD[[#This Row],[DEVELOPMENT]],Data[],9,FALSE)</f>
        <v>0</v>
      </c>
      <c r="G298" s="1" t="str">
        <f>IFERROR(VLOOKUP(EHD[[#This Row],[DEVELOPMENT]],Data[],4,FALSE),"")</f>
        <v/>
      </c>
      <c r="H298" s="1" t="str">
        <f ca="1">IF(EHD[[#This Row],[RAD/PACT]]="","",IF((EHD[[#This Row],[RAD/PACT]]-YEAR(TODAY()))&lt;=5,"Yes",""))</f>
        <v/>
      </c>
      <c r="I298" s="1"/>
      <c r="J298" s="1"/>
      <c r="K298" s="1"/>
      <c r="L298" s="1"/>
      <c r="M298" s="63">
        <f>IF(EHD[[#This Row],[RAD/PACT]]&lt;=2020,0,INDEX(UnitCosts[],MATCH(EHD[[#This Row],[WORK TYPE]],UnitCosts[Work Type],0),2)*EHD[[#This Row],['# Hopper Doors]])</f>
        <v>0</v>
      </c>
      <c r="N298" s="63">
        <f t="shared" si="4"/>
        <v>17644782.025499988</v>
      </c>
    </row>
    <row r="299" spans="1:14" x14ac:dyDescent="0.25">
      <c r="A299" s="1" t="s">
        <v>348</v>
      </c>
      <c r="B299" s="1" t="str">
        <f>VLOOKUP(A299,Data[],2,FALSE)</f>
        <v>BRONX</v>
      </c>
      <c r="C299" s="9" t="s">
        <v>27</v>
      </c>
      <c r="D299" s="9">
        <f>VLOOKUP(EHD[[#This Row],[DEVELOPMENT]],Data[],27,FALSE)</f>
        <v>7</v>
      </c>
      <c r="E299" s="1">
        <f>VLOOKUP(EHD[[#This Row],[DEVELOPMENT]],Data[],8,FALSE)</f>
        <v>0</v>
      </c>
      <c r="F299" s="1">
        <f>VLOOKUP(EHD[[#This Row],[DEVELOPMENT]],Data[],9,FALSE)</f>
        <v>0</v>
      </c>
      <c r="G299" s="1" t="str">
        <f>IFERROR(VLOOKUP(EHD[[#This Row],[DEVELOPMENT]],Data[],4,FALSE),"")</f>
        <v/>
      </c>
      <c r="H299" s="1" t="str">
        <f ca="1">IF(EHD[[#This Row],[RAD/PACT]]="","",IF((EHD[[#This Row],[RAD/PACT]]-YEAR(TODAY()))&lt;=5,"Yes",""))</f>
        <v/>
      </c>
      <c r="I299" s="1"/>
      <c r="J299" s="1"/>
      <c r="K299" s="1"/>
      <c r="L299" s="1"/>
      <c r="M299" s="63">
        <f>IF(EHD[[#This Row],[RAD/PACT]]&lt;=2020,0,INDEX(UnitCosts[],MATCH(EHD[[#This Row],[WORK TYPE]],UnitCosts[Work Type],0),2)*EHD[[#This Row],['# Hopper Doors]])</f>
        <v>52049.504500000003</v>
      </c>
      <c r="N299" s="63">
        <f t="shared" si="4"/>
        <v>17696831.52999999</v>
      </c>
    </row>
    <row r="300" spans="1:14" x14ac:dyDescent="0.25">
      <c r="A300" s="1" t="s">
        <v>349</v>
      </c>
      <c r="B300" s="1" t="str">
        <f>VLOOKUP(A300,Data[],2,FALSE)</f>
        <v>BRONX</v>
      </c>
      <c r="C300" s="9" t="s">
        <v>27</v>
      </c>
      <c r="D300" s="9">
        <f>VLOOKUP(EHD[[#This Row],[DEVELOPMENT]],Data[],27,FALSE)</f>
        <v>1</v>
      </c>
      <c r="E300" s="1">
        <f>VLOOKUP(EHD[[#This Row],[DEVELOPMENT]],Data[],8,FALSE)</f>
        <v>0</v>
      </c>
      <c r="F300" s="1">
        <f>VLOOKUP(EHD[[#This Row],[DEVELOPMENT]],Data[],9,FALSE)</f>
        <v>0</v>
      </c>
      <c r="G300" s="1" t="str">
        <f>IFERROR(VLOOKUP(EHD[[#This Row],[DEVELOPMENT]],Data[],4,FALSE),"")</f>
        <v/>
      </c>
      <c r="H300" s="1" t="str">
        <f ca="1">IF(EHD[[#This Row],[RAD/PACT]]="","",IF((EHD[[#This Row],[RAD/PACT]]-YEAR(TODAY()))&lt;=5,"Yes",""))</f>
        <v/>
      </c>
      <c r="I300" s="1"/>
      <c r="J300" s="1"/>
      <c r="K300" s="1"/>
      <c r="L300" s="1"/>
      <c r="M300" s="63">
        <f>IF(EHD[[#This Row],[RAD/PACT]]&lt;=2020,0,INDEX(UnitCosts[],MATCH(EHD[[#This Row],[WORK TYPE]],UnitCosts[Work Type],0),2)*EHD[[#This Row],['# Hopper Doors]])</f>
        <v>7435.6435000000001</v>
      </c>
      <c r="N300" s="63">
        <f t="shared" si="4"/>
        <v>17704267.17349999</v>
      </c>
    </row>
    <row r="301" spans="1:14" x14ac:dyDescent="0.25">
      <c r="A301" s="1" t="s">
        <v>351</v>
      </c>
      <c r="B301" s="1" t="str">
        <f>VLOOKUP(A301,Data[],2,FALSE)</f>
        <v>BROOKLYN</v>
      </c>
      <c r="C301" s="9" t="s">
        <v>27</v>
      </c>
      <c r="D301" s="9">
        <f>VLOOKUP(EHD[[#This Row],[DEVELOPMENT]],Data[],27,FALSE)</f>
        <v>32</v>
      </c>
      <c r="E301" s="1">
        <f>VLOOKUP(EHD[[#This Row],[DEVELOPMENT]],Data[],8,FALSE)</f>
        <v>0</v>
      </c>
      <c r="F301" s="1">
        <f>VLOOKUP(EHD[[#This Row],[DEVELOPMENT]],Data[],9,FALSE)</f>
        <v>0</v>
      </c>
      <c r="G301" s="1" t="str">
        <f>IFERROR(VLOOKUP(EHD[[#This Row],[DEVELOPMENT]],Data[],4,FALSE),"")</f>
        <v/>
      </c>
      <c r="H301" s="1" t="str">
        <f ca="1">IF(EHD[[#This Row],[RAD/PACT]]="","",IF((EHD[[#This Row],[RAD/PACT]]-YEAR(TODAY()))&lt;=5,"Yes",""))</f>
        <v/>
      </c>
      <c r="I301" s="1"/>
      <c r="J301" s="1"/>
      <c r="K301" s="1"/>
      <c r="L301" s="1"/>
      <c r="M301" s="63">
        <f>IF(EHD[[#This Row],[RAD/PACT]]&lt;=2020,0,INDEX(UnitCosts[],MATCH(EHD[[#This Row],[WORK TYPE]],UnitCosts[Work Type],0),2)*EHD[[#This Row],['# Hopper Doors]])</f>
        <v>237940.592</v>
      </c>
      <c r="N301" s="63">
        <f t="shared" si="4"/>
        <v>17942207.76549999</v>
      </c>
    </row>
    <row r="302" spans="1:14" x14ac:dyDescent="0.25">
      <c r="A302" s="1" t="s">
        <v>352</v>
      </c>
      <c r="B302" s="1" t="str">
        <f>VLOOKUP(A302,Data[],2,FALSE)</f>
        <v>BROOKLYN</v>
      </c>
      <c r="C302" s="9" t="s">
        <v>27</v>
      </c>
      <c r="D302" s="9">
        <f>VLOOKUP(EHD[[#This Row],[DEVELOPMENT]],Data[],27,FALSE)</f>
        <v>5</v>
      </c>
      <c r="E302" s="1">
        <f>VLOOKUP(EHD[[#This Row],[DEVELOPMENT]],Data[],8,FALSE)</f>
        <v>0</v>
      </c>
      <c r="F302" s="1">
        <f>VLOOKUP(EHD[[#This Row],[DEVELOPMENT]],Data[],9,FALSE)</f>
        <v>0</v>
      </c>
      <c r="G302" s="1">
        <f>IFERROR(VLOOKUP(EHD[[#This Row],[DEVELOPMENT]],Data[],4,FALSE),"")</f>
        <v>2019</v>
      </c>
      <c r="H302" s="1" t="str">
        <f ca="1">IF(EHD[[#This Row],[RAD/PACT]]="","",IF((EHD[[#This Row],[RAD/PACT]]-YEAR(TODAY()))&lt;=5,"Yes",""))</f>
        <v>Yes</v>
      </c>
      <c r="I302" s="1"/>
      <c r="J302" s="1"/>
      <c r="K302" s="1"/>
      <c r="L302" s="1"/>
      <c r="M302" s="63">
        <f>IF(EHD[[#This Row],[RAD/PACT]]&lt;=2020,0,INDEX(UnitCosts[],MATCH(EHD[[#This Row],[WORK TYPE]],UnitCosts[Work Type],0),2)*EHD[[#This Row],['# Hopper Doors]])</f>
        <v>0</v>
      </c>
      <c r="N302" s="63">
        <f t="shared" si="4"/>
        <v>17942207.76549999</v>
      </c>
    </row>
    <row r="303" spans="1:14" x14ac:dyDescent="0.25">
      <c r="A303" s="1" t="s">
        <v>353</v>
      </c>
      <c r="B303" s="1" t="str">
        <f>VLOOKUP(A303,Data[],2,FALSE)</f>
        <v>BROOKLYN</v>
      </c>
      <c r="C303" s="9" t="s">
        <v>27</v>
      </c>
      <c r="D303" s="9">
        <f>VLOOKUP(EHD[[#This Row],[DEVELOPMENT]],Data[],27,FALSE)</f>
        <v>134</v>
      </c>
      <c r="E303" s="1">
        <f>VLOOKUP(EHD[[#This Row],[DEVELOPMENT]],Data[],8,FALSE)</f>
        <v>0</v>
      </c>
      <c r="F303" s="1">
        <f>VLOOKUP(EHD[[#This Row],[DEVELOPMENT]],Data[],9,FALSE)</f>
        <v>0</v>
      </c>
      <c r="G303" s="1">
        <f>IFERROR(VLOOKUP(EHD[[#This Row],[DEVELOPMENT]],Data[],4,FALSE),"")</f>
        <v>2020</v>
      </c>
      <c r="H303" s="1" t="str">
        <f ca="1">IF(EHD[[#This Row],[RAD/PACT]]="","",IF((EHD[[#This Row],[RAD/PACT]]-YEAR(TODAY()))&lt;=5,"Yes",""))</f>
        <v>Yes</v>
      </c>
      <c r="I303" s="1"/>
      <c r="J303" s="1"/>
      <c r="K303" s="1"/>
      <c r="L303" s="1"/>
      <c r="M303" s="63">
        <f>IF(EHD[[#This Row],[RAD/PACT]]&lt;=2020,0,INDEX(UnitCosts[],MATCH(EHD[[#This Row],[WORK TYPE]],UnitCosts[Work Type],0),2)*EHD[[#This Row],['# Hopper Doors]])</f>
        <v>0</v>
      </c>
      <c r="N303" s="63">
        <f t="shared" si="4"/>
        <v>17942207.76549999</v>
      </c>
    </row>
    <row r="304" spans="1:14" x14ac:dyDescent="0.25">
      <c r="A304" s="1" t="s">
        <v>355</v>
      </c>
      <c r="B304" s="1" t="str">
        <f>VLOOKUP(A304,Data[],2,FALSE)</f>
        <v>QUEENS</v>
      </c>
      <c r="C304" s="9" t="s">
        <v>27</v>
      </c>
      <c r="D304" s="9">
        <f>VLOOKUP(EHD[[#This Row],[DEVELOPMENT]],Data[],27,FALSE)</f>
        <v>56</v>
      </c>
      <c r="E304" s="1">
        <f>VLOOKUP(EHD[[#This Row],[DEVELOPMENT]],Data[],8,FALSE)</f>
        <v>0</v>
      </c>
      <c r="F304" s="1">
        <f>VLOOKUP(EHD[[#This Row],[DEVELOPMENT]],Data[],9,FALSE)</f>
        <v>0</v>
      </c>
      <c r="G304" s="1" t="str">
        <f>IFERROR(VLOOKUP(EHD[[#This Row],[DEVELOPMENT]],Data[],4,FALSE),"")</f>
        <v/>
      </c>
      <c r="H304" s="1" t="str">
        <f ca="1">IF(EHD[[#This Row],[RAD/PACT]]="","",IF((EHD[[#This Row],[RAD/PACT]]-YEAR(TODAY()))&lt;=5,"Yes",""))</f>
        <v/>
      </c>
      <c r="I304" s="1"/>
      <c r="J304" s="1"/>
      <c r="K304" s="1"/>
      <c r="L304" s="1"/>
      <c r="M304" s="63">
        <f>IF(EHD[[#This Row],[RAD/PACT]]&lt;=2020,0,INDEX(UnitCosts[],MATCH(EHD[[#This Row],[WORK TYPE]],UnitCosts[Work Type],0),2)*EHD[[#This Row],['# Hopper Doors]])</f>
        <v>416396.03600000002</v>
      </c>
      <c r="N304" s="63">
        <f t="shared" si="4"/>
        <v>18358603.801499989</v>
      </c>
    </row>
    <row r="305" spans="1:14" x14ac:dyDescent="0.25">
      <c r="A305" s="1" t="s">
        <v>360</v>
      </c>
      <c r="B305" s="1" t="str">
        <f>VLOOKUP(A305,Data[],2,FALSE)</f>
        <v>MANHATTAN</v>
      </c>
      <c r="C305" s="9" t="s">
        <v>27</v>
      </c>
      <c r="D305" s="9">
        <f>VLOOKUP(EHD[[#This Row],[DEVELOPMENT]],Data[],27,FALSE)</f>
        <v>2</v>
      </c>
      <c r="E305" s="1">
        <f>VLOOKUP(EHD[[#This Row],[DEVELOPMENT]],Data[],8,FALSE)</f>
        <v>0</v>
      </c>
      <c r="F305" s="1">
        <f>VLOOKUP(EHD[[#This Row],[DEVELOPMENT]],Data[],9,FALSE)</f>
        <v>0</v>
      </c>
      <c r="G305" s="1" t="str">
        <f>IFERROR(VLOOKUP(EHD[[#This Row],[DEVELOPMENT]],Data[],4,FALSE),"")</f>
        <v/>
      </c>
      <c r="H305" s="1" t="str">
        <f ca="1">IF(EHD[[#This Row],[RAD/PACT]]="","",IF((EHD[[#This Row],[RAD/PACT]]-YEAR(TODAY()))&lt;=5,"Yes",""))</f>
        <v/>
      </c>
      <c r="I305" s="1"/>
      <c r="J305" s="1"/>
      <c r="K305" s="1"/>
      <c r="L305" s="1"/>
      <c r="M305" s="63">
        <f>IF(EHD[[#This Row],[RAD/PACT]]&lt;=2020,0,INDEX(UnitCosts[],MATCH(EHD[[#This Row],[WORK TYPE]],UnitCosts[Work Type],0),2)*EHD[[#This Row],['# Hopper Doors]])</f>
        <v>14871.287</v>
      </c>
      <c r="N305" s="63">
        <f t="shared" si="4"/>
        <v>18373475.088499989</v>
      </c>
    </row>
    <row r="306" spans="1:14" x14ac:dyDescent="0.25">
      <c r="A306" s="1" t="s">
        <v>361</v>
      </c>
      <c r="B306" s="1" t="str">
        <f>VLOOKUP(A306,Data[],2,FALSE)</f>
        <v>BROOKLYN</v>
      </c>
      <c r="C306" s="9" t="s">
        <v>27</v>
      </c>
      <c r="D306" s="9">
        <f>VLOOKUP(EHD[[#This Row],[DEVELOPMENT]],Data[],27,FALSE)</f>
        <v>6</v>
      </c>
      <c r="E306" s="1">
        <f>VLOOKUP(EHD[[#This Row],[DEVELOPMENT]],Data[],8,FALSE)</f>
        <v>0</v>
      </c>
      <c r="F306" s="1">
        <f>VLOOKUP(EHD[[#This Row],[DEVELOPMENT]],Data[],9,FALSE)</f>
        <v>0</v>
      </c>
      <c r="G306" s="1" t="str">
        <f>IFERROR(VLOOKUP(EHD[[#This Row],[DEVELOPMENT]],Data[],4,FALSE),"")</f>
        <v/>
      </c>
      <c r="H306" s="1" t="str">
        <f ca="1">IF(EHD[[#This Row],[RAD/PACT]]="","",IF((EHD[[#This Row],[RAD/PACT]]-YEAR(TODAY()))&lt;=5,"Yes",""))</f>
        <v/>
      </c>
      <c r="I306" s="1"/>
      <c r="J306" s="1"/>
      <c r="K306" s="1"/>
      <c r="L306" s="1"/>
      <c r="M306" s="63">
        <f>IF(EHD[[#This Row],[RAD/PACT]]&lt;=2020,0,INDEX(UnitCosts[],MATCH(EHD[[#This Row],[WORK TYPE]],UnitCosts[Work Type],0),2)*EHD[[#This Row],['# Hopper Doors]])</f>
        <v>44613.861000000004</v>
      </c>
      <c r="N306" s="63">
        <f t="shared" si="4"/>
        <v>18418088.949499991</v>
      </c>
    </row>
    <row r="307" spans="1:14" x14ac:dyDescent="0.25">
      <c r="A307" s="106" t="s">
        <v>378</v>
      </c>
      <c r="B307" s="1" t="str">
        <f>VLOOKUP(A307,Data[],2,FALSE)</f>
        <v>BROOKLYN</v>
      </c>
      <c r="C307" s="9" t="s">
        <v>27</v>
      </c>
      <c r="D307" s="9">
        <f>VLOOKUP(EHD[[#This Row],[DEVELOPMENT]],Data[],27,FALSE)</f>
        <v>25</v>
      </c>
      <c r="E307" s="1" t="str">
        <f>VLOOKUP(EHD[[#This Row],[DEVELOPMENT]],Data[],8,FALSE)</f>
        <v>Zone 1</v>
      </c>
      <c r="F307" s="1">
        <f>VLOOKUP(EHD[[#This Row],[DEVELOPMENT]],Data[],9,FALSE)</f>
        <v>0</v>
      </c>
      <c r="G307" s="1" t="str">
        <f>IFERROR(VLOOKUP(EHD[[#This Row],[DEVELOPMENT]],Data[],4,FALSE),"")</f>
        <v/>
      </c>
      <c r="H307" s="1" t="str">
        <f ca="1">IF(EHD[[#This Row],[RAD/PACT]]="","",IF((EHD[[#This Row],[RAD/PACT]]-YEAR(TODAY()))&lt;=5,"Yes",""))</f>
        <v/>
      </c>
      <c r="I307" s="1"/>
      <c r="J307" s="1"/>
      <c r="K307" s="1"/>
      <c r="L307" s="1"/>
      <c r="M307" s="63">
        <f>IF(EHD[[#This Row],[RAD/PACT]]&lt;=2020,0,INDEX(UnitCosts[],MATCH(EHD[[#This Row],[WORK TYPE]],UnitCosts[Work Type],0),2)*EHD[[#This Row],['# Hopper Doors]])</f>
        <v>185891.08749999999</v>
      </c>
      <c r="N307" s="63">
        <f t="shared" si="4"/>
        <v>18603980.036999989</v>
      </c>
    </row>
    <row r="308" spans="1:14" x14ac:dyDescent="0.25">
      <c r="A308" s="106" t="s">
        <v>380</v>
      </c>
      <c r="B308" s="1" t="str">
        <f>VLOOKUP(A308,Data[],2,FALSE)</f>
        <v>BROOKLYN</v>
      </c>
      <c r="C308" s="9" t="s">
        <v>27</v>
      </c>
      <c r="D308" s="9">
        <f>VLOOKUP(EHD[[#This Row],[DEVELOPMENT]],Data[],27,FALSE)</f>
        <v>0</v>
      </c>
      <c r="E308" s="1" t="str">
        <f>VLOOKUP(EHD[[#This Row],[DEVELOPMENT]],Data[],8,FALSE)</f>
        <v>Zone 1</v>
      </c>
      <c r="F308" s="1">
        <f>VLOOKUP(EHD[[#This Row],[DEVELOPMENT]],Data[],9,FALSE)</f>
        <v>0</v>
      </c>
      <c r="G308" s="1">
        <f>IFERROR(VLOOKUP(EHD[[#This Row],[DEVELOPMENT]],Data[],4,FALSE),"")</f>
        <v>2019</v>
      </c>
      <c r="H308" s="1" t="str">
        <f ca="1">IF(EHD[[#This Row],[RAD/PACT]]="","",IF((EHD[[#This Row],[RAD/PACT]]-YEAR(TODAY()))&lt;=5,"Yes",""))</f>
        <v>Yes</v>
      </c>
      <c r="I308" s="1"/>
      <c r="J308" s="1"/>
      <c r="K308" s="1"/>
      <c r="L308" s="1"/>
      <c r="M308" s="63">
        <f>IF(EHD[[#This Row],[RAD/PACT]]&lt;=2020,0,INDEX(UnitCosts[],MATCH(EHD[[#This Row],[WORK TYPE]],UnitCosts[Work Type],0),2)*EHD[[#This Row],['# Hopper Doors]])</f>
        <v>0</v>
      </c>
      <c r="N308" s="63">
        <f t="shared" si="4"/>
        <v>18603980.036999989</v>
      </c>
    </row>
    <row r="309" spans="1:14" x14ac:dyDescent="0.25">
      <c r="A309" s="1" t="s">
        <v>381</v>
      </c>
      <c r="B309" s="1" t="str">
        <f>VLOOKUP(A309,Data[],2,FALSE)</f>
        <v>BROOKLYN</v>
      </c>
      <c r="C309" s="9" t="s">
        <v>27</v>
      </c>
      <c r="D309" s="9">
        <f>VLOOKUP(EHD[[#This Row],[DEVELOPMENT]],Data[],27,FALSE)</f>
        <v>4</v>
      </c>
      <c r="E309" s="1" t="str">
        <f>VLOOKUP(EHD[[#This Row],[DEVELOPMENT]],Data[],8,FALSE)</f>
        <v>Zone 1</v>
      </c>
      <c r="F309" s="1">
        <f>VLOOKUP(EHD[[#This Row],[DEVELOPMENT]],Data[],9,FALSE)</f>
        <v>0</v>
      </c>
      <c r="G309" s="1">
        <f>IFERROR(VLOOKUP(EHD[[#This Row],[DEVELOPMENT]],Data[],4,FALSE),"")</f>
        <v>2019</v>
      </c>
      <c r="H309" s="1" t="str">
        <f ca="1">IF(EHD[[#This Row],[RAD/PACT]]="","",IF((EHD[[#This Row],[RAD/PACT]]-YEAR(TODAY()))&lt;=5,"Yes",""))</f>
        <v>Yes</v>
      </c>
      <c r="I309" s="1"/>
      <c r="J309" s="1"/>
      <c r="K309" s="1"/>
      <c r="L309" s="1"/>
      <c r="M309" s="63">
        <f>IF(EHD[[#This Row],[RAD/PACT]]&lt;=2020,0,INDEX(UnitCosts[],MATCH(EHD[[#This Row],[WORK TYPE]],UnitCosts[Work Type],0),2)*EHD[[#This Row],['# Hopper Doors]])</f>
        <v>0</v>
      </c>
      <c r="N309" s="63">
        <f t="shared" si="4"/>
        <v>18603980.036999989</v>
      </c>
    </row>
    <row r="310" spans="1:14" x14ac:dyDescent="0.25">
      <c r="A310" s="1" t="s">
        <v>169</v>
      </c>
      <c r="B310" s="1" t="str">
        <f>VLOOKUP(A310,Data[],2,FALSE)</f>
        <v>MANHATTAN</v>
      </c>
      <c r="C310" s="9" t="s">
        <v>27</v>
      </c>
      <c r="D310" s="9">
        <f>VLOOKUP(EHD[[#This Row],[DEVELOPMENT]],Data[],27,FALSE)</f>
        <v>24</v>
      </c>
      <c r="E310" s="1" t="str">
        <f>VLOOKUP(EHD[[#This Row],[DEVELOPMENT]],Data[],8,FALSE)</f>
        <v>Zone 4</v>
      </c>
      <c r="F310" s="1">
        <f>VLOOKUP(EHD[[#This Row],[DEVELOPMENT]],Data[],9,FALSE)</f>
        <v>0</v>
      </c>
      <c r="G310" s="1" t="str">
        <f>IFERROR(VLOOKUP(EHD[[#This Row],[DEVELOPMENT]],Data[],4,FALSE),"")</f>
        <v/>
      </c>
      <c r="H310" s="1" t="str">
        <f ca="1">IF(EHD[[#This Row],[RAD/PACT]]="","",IF((EHD[[#This Row],[RAD/PACT]]-YEAR(TODAY()))&lt;=5,"Yes",""))</f>
        <v/>
      </c>
      <c r="I310" s="1"/>
      <c r="J310" s="1"/>
      <c r="K310" s="1"/>
      <c r="L310" s="1"/>
      <c r="M310" s="63">
        <f>IF(EHD[[#This Row],[RAD/PACT]]&lt;=2020,0,INDEX(UnitCosts[],MATCH(EHD[[#This Row],[WORK TYPE]],UnitCosts[Work Type],0),2)*EHD[[#This Row],['# Hopper Doors]])</f>
        <v>178455.44400000002</v>
      </c>
      <c r="N310" s="63">
        <f t="shared" si="4"/>
        <v>18782435.480999988</v>
      </c>
    </row>
    <row r="311" spans="1:14" x14ac:dyDescent="0.25">
      <c r="A311" s="1" t="s">
        <v>206</v>
      </c>
      <c r="B311" s="1" t="str">
        <f>VLOOKUP(A311,Data[],2,FALSE)</f>
        <v>BROOKLYN</v>
      </c>
      <c r="C311" s="9" t="s">
        <v>27</v>
      </c>
      <c r="D311" s="9">
        <f>VLOOKUP(EHD[[#This Row],[DEVELOPMENT]],Data[],27,FALSE)</f>
        <v>8</v>
      </c>
      <c r="E311" s="1" t="str">
        <f>VLOOKUP(EHD[[#This Row],[DEVELOPMENT]],Data[],8,FALSE)</f>
        <v>Zone 4</v>
      </c>
      <c r="F311" s="1">
        <f>VLOOKUP(EHD[[#This Row],[DEVELOPMENT]],Data[],9,FALSE)</f>
        <v>0</v>
      </c>
      <c r="G311" s="1">
        <f>IFERROR(VLOOKUP(EHD[[#This Row],[DEVELOPMENT]],Data[],4,FALSE),"")</f>
        <v>2025</v>
      </c>
      <c r="H311" s="1" t="str">
        <f ca="1">IF(EHD[[#This Row],[RAD/PACT]]="","",IF((EHD[[#This Row],[RAD/PACT]]-YEAR(TODAY()))&lt;=5,"Yes",""))</f>
        <v/>
      </c>
      <c r="I311" s="1"/>
      <c r="J311" s="1"/>
      <c r="K311" s="1"/>
      <c r="L311" s="1"/>
      <c r="M311" s="63">
        <f>IF(EHD[[#This Row],[RAD/PACT]]&lt;=2020,0,INDEX(UnitCosts[],MATCH(EHD[[#This Row],[WORK TYPE]],UnitCosts[Work Type],0),2)*EHD[[#This Row],['# Hopper Doors]])</f>
        <v>59485.148000000001</v>
      </c>
      <c r="N311" s="63">
        <f t="shared" si="4"/>
        <v>18841920.628999986</v>
      </c>
    </row>
    <row r="312" spans="1:14" x14ac:dyDescent="0.25">
      <c r="A312" s="1" t="s">
        <v>212</v>
      </c>
      <c r="B312" s="1" t="str">
        <f>VLOOKUP(A312,Data[],2,FALSE)</f>
        <v>BRONX</v>
      </c>
      <c r="C312" s="9" t="s">
        <v>27</v>
      </c>
      <c r="D312" s="9">
        <f>VLOOKUP(EHD[[#This Row],[DEVELOPMENT]],Data[],27,FALSE)</f>
        <v>0</v>
      </c>
      <c r="E312" s="1" t="str">
        <f>VLOOKUP(EHD[[#This Row],[DEVELOPMENT]],Data[],8,FALSE)</f>
        <v>Zone 4</v>
      </c>
      <c r="F312" s="1">
        <f>VLOOKUP(EHD[[#This Row],[DEVELOPMENT]],Data[],9,FALSE)</f>
        <v>0</v>
      </c>
      <c r="G312" s="1" t="str">
        <f>IFERROR(VLOOKUP(EHD[[#This Row],[DEVELOPMENT]],Data[],4,FALSE),"")</f>
        <v/>
      </c>
      <c r="H312" s="1" t="str">
        <f ca="1">IF(EHD[[#This Row],[RAD/PACT]]="","",IF((EHD[[#This Row],[RAD/PACT]]-YEAR(TODAY()))&lt;=5,"Yes",""))</f>
        <v/>
      </c>
      <c r="I312" s="1"/>
      <c r="J312" s="1"/>
      <c r="K312" s="1"/>
      <c r="L312" s="1"/>
      <c r="M312" s="63">
        <f>IF(EHD[[#This Row],[RAD/PACT]]&lt;=2020,0,INDEX(UnitCosts[],MATCH(EHD[[#This Row],[WORK TYPE]],UnitCosts[Work Type],0),2)*EHD[[#This Row],['# Hopper Doors]])</f>
        <v>0</v>
      </c>
      <c r="N312" s="63">
        <f t="shared" si="4"/>
        <v>18841920.628999986</v>
      </c>
    </row>
    <row r="313" spans="1:14" x14ac:dyDescent="0.25">
      <c r="A313" s="1" t="s">
        <v>213</v>
      </c>
      <c r="B313" s="1" t="str">
        <f>VLOOKUP(A313,Data[],2,FALSE)</f>
        <v>BRONX</v>
      </c>
      <c r="C313" s="9" t="s">
        <v>27</v>
      </c>
      <c r="D313" s="9">
        <f>VLOOKUP(EHD[[#This Row],[DEVELOPMENT]],Data[],27,FALSE)</f>
        <v>0</v>
      </c>
      <c r="E313" s="1" t="str">
        <f>VLOOKUP(EHD[[#This Row],[DEVELOPMENT]],Data[],8,FALSE)</f>
        <v>Zone 4</v>
      </c>
      <c r="F313" s="1">
        <f>VLOOKUP(EHD[[#This Row],[DEVELOPMENT]],Data[],9,FALSE)</f>
        <v>0</v>
      </c>
      <c r="G313" s="1" t="str">
        <f>IFERROR(VLOOKUP(EHD[[#This Row],[DEVELOPMENT]],Data[],4,FALSE),"")</f>
        <v/>
      </c>
      <c r="H313" s="1" t="str">
        <f ca="1">IF(EHD[[#This Row],[RAD/PACT]]="","",IF((EHD[[#This Row],[RAD/PACT]]-YEAR(TODAY()))&lt;=5,"Yes",""))</f>
        <v/>
      </c>
      <c r="I313" s="1"/>
      <c r="J313" s="1"/>
      <c r="K313" s="1"/>
      <c r="L313" s="1"/>
      <c r="M313" s="63">
        <f>IF(EHD[[#This Row],[RAD/PACT]]&lt;=2020,0,INDEX(UnitCosts[],MATCH(EHD[[#This Row],[WORK TYPE]],UnitCosts[Work Type],0),2)*EHD[[#This Row],['# Hopper Doors]])</f>
        <v>0</v>
      </c>
      <c r="N313" s="63">
        <f t="shared" si="4"/>
        <v>18841920.628999986</v>
      </c>
    </row>
    <row r="314" spans="1:14" x14ac:dyDescent="0.25">
      <c r="A314" s="1" t="s">
        <v>224</v>
      </c>
      <c r="B314" s="1">
        <f>VLOOKUP(A314,Data[],2,FALSE)</f>
        <v>0</v>
      </c>
      <c r="C314" s="9" t="s">
        <v>27</v>
      </c>
      <c r="D314" s="9">
        <f>VLOOKUP(EHD[[#This Row],[DEVELOPMENT]],Data[],27,FALSE)</f>
        <v>0</v>
      </c>
      <c r="E314" s="1" t="str">
        <f>VLOOKUP(EHD[[#This Row],[DEVELOPMENT]],Data[],8,FALSE)</f>
        <v>Zone 4</v>
      </c>
      <c r="F314" s="1">
        <f>VLOOKUP(EHD[[#This Row],[DEVELOPMENT]],Data[],9,FALSE)</f>
        <v>0</v>
      </c>
      <c r="G314" s="1" t="str">
        <f>IFERROR(VLOOKUP(EHD[[#This Row],[DEVELOPMENT]],Data[],4,FALSE),"")</f>
        <v/>
      </c>
      <c r="H314" s="1" t="str">
        <f ca="1">IF(EHD[[#This Row],[RAD/PACT]]="","",IF((EHD[[#This Row],[RAD/PACT]]-YEAR(TODAY()))&lt;=5,"Yes",""))</f>
        <v/>
      </c>
      <c r="I314" s="1"/>
      <c r="J314" s="1"/>
      <c r="K314" s="1"/>
      <c r="L314" s="1"/>
      <c r="M314" s="63">
        <f>IF(EHD[[#This Row],[RAD/PACT]]&lt;=2020,0,INDEX(UnitCosts[],MATCH(EHD[[#This Row],[WORK TYPE]],UnitCosts[Work Type],0),2)*EHD[[#This Row],['# Hopper Doors]])</f>
        <v>0</v>
      </c>
      <c r="N314" s="63">
        <f t="shared" si="4"/>
        <v>18841920.628999986</v>
      </c>
    </row>
    <row r="315" spans="1:14" x14ac:dyDescent="0.25">
      <c r="A315" s="1" t="s">
        <v>232</v>
      </c>
      <c r="B315" s="1" t="str">
        <f>VLOOKUP(A315,Data[],2,FALSE)</f>
        <v>BRONX</v>
      </c>
      <c r="C315" s="9" t="s">
        <v>27</v>
      </c>
      <c r="D315" s="9">
        <f>VLOOKUP(EHD[[#This Row],[DEVELOPMENT]],Data[],27,FALSE)</f>
        <v>15</v>
      </c>
      <c r="E315" s="1" t="str">
        <f>VLOOKUP(EHD[[#This Row],[DEVELOPMENT]],Data[],8,FALSE)</f>
        <v>Zone 4</v>
      </c>
      <c r="F315" s="1">
        <f>VLOOKUP(EHD[[#This Row],[DEVELOPMENT]],Data[],9,FALSE)</f>
        <v>0</v>
      </c>
      <c r="G315" s="1" t="str">
        <f>IFERROR(VLOOKUP(EHD[[#This Row],[DEVELOPMENT]],Data[],4,FALSE),"")</f>
        <v/>
      </c>
      <c r="H315" s="1" t="str">
        <f ca="1">IF(EHD[[#This Row],[RAD/PACT]]="","",IF((EHD[[#This Row],[RAD/PACT]]-YEAR(TODAY()))&lt;=5,"Yes",""))</f>
        <v/>
      </c>
      <c r="I315" s="1"/>
      <c r="J315" s="1"/>
      <c r="K315" s="1"/>
      <c r="L315" s="1"/>
      <c r="M315" s="63">
        <f>IF(EHD[[#This Row],[RAD/PACT]]&lt;=2020,0,INDEX(UnitCosts[],MATCH(EHD[[#This Row],[WORK TYPE]],UnitCosts[Work Type],0),2)*EHD[[#This Row],['# Hopper Doors]])</f>
        <v>111534.6525</v>
      </c>
      <c r="N315" s="63">
        <f t="shared" si="4"/>
        <v>18953455.281499986</v>
      </c>
    </row>
    <row r="316" spans="1:14" x14ac:dyDescent="0.25">
      <c r="A316" s="1" t="s">
        <v>252</v>
      </c>
      <c r="B316" s="1" t="str">
        <f>VLOOKUP(A316,Data[],2,FALSE)</f>
        <v>BROOKLYN</v>
      </c>
      <c r="C316" s="9" t="s">
        <v>27</v>
      </c>
      <c r="D316" s="9">
        <f>VLOOKUP(EHD[[#This Row],[DEVELOPMENT]],Data[],27,FALSE)</f>
        <v>0</v>
      </c>
      <c r="E316" s="1" t="str">
        <f>VLOOKUP(EHD[[#This Row],[DEVELOPMENT]],Data[],8,FALSE)</f>
        <v>Zone 4</v>
      </c>
      <c r="F316" s="1">
        <f>VLOOKUP(EHD[[#This Row],[DEVELOPMENT]],Data[],9,FALSE)</f>
        <v>0</v>
      </c>
      <c r="G316" s="1">
        <f>IFERROR(VLOOKUP(EHD[[#This Row],[DEVELOPMENT]],Data[],4,FALSE),"")</f>
        <v>2025</v>
      </c>
      <c r="H316" s="1" t="str">
        <f ca="1">IF(EHD[[#This Row],[RAD/PACT]]="","",IF((EHD[[#This Row],[RAD/PACT]]-YEAR(TODAY()))&lt;=5,"Yes",""))</f>
        <v/>
      </c>
      <c r="I316" s="1"/>
      <c r="J316" s="1"/>
      <c r="K316" s="1"/>
      <c r="L316" s="1"/>
      <c r="M316" s="63">
        <f>IF(EHD[[#This Row],[RAD/PACT]]&lt;=2020,0,INDEX(UnitCosts[],MATCH(EHD[[#This Row],[WORK TYPE]],UnitCosts[Work Type],0),2)*EHD[[#This Row],['# Hopper Doors]])</f>
        <v>0</v>
      </c>
      <c r="N316" s="63">
        <f t="shared" si="4"/>
        <v>18953455.281499986</v>
      </c>
    </row>
    <row r="317" spans="1:14" x14ac:dyDescent="0.25">
      <c r="A317" s="1" t="s">
        <v>273</v>
      </c>
      <c r="B317" s="1" t="str">
        <f>VLOOKUP(A317,Data[],2,FALSE)</f>
        <v>BRONX</v>
      </c>
      <c r="C317" s="9" t="s">
        <v>27</v>
      </c>
      <c r="D317" s="9">
        <f>VLOOKUP(EHD[[#This Row],[DEVELOPMENT]],Data[],27,FALSE)</f>
        <v>5</v>
      </c>
      <c r="E317" s="1" t="str">
        <f>VLOOKUP(EHD[[#This Row],[DEVELOPMENT]],Data[],8,FALSE)</f>
        <v>Zone 4</v>
      </c>
      <c r="F317" s="1">
        <f>VLOOKUP(EHD[[#This Row],[DEVELOPMENT]],Data[],9,FALSE)</f>
        <v>0</v>
      </c>
      <c r="G317" s="1" t="str">
        <f>IFERROR(VLOOKUP(EHD[[#This Row],[DEVELOPMENT]],Data[],4,FALSE),"")</f>
        <v/>
      </c>
      <c r="H317" s="1" t="str">
        <f ca="1">IF(EHD[[#This Row],[RAD/PACT]]="","",IF((EHD[[#This Row],[RAD/PACT]]-YEAR(TODAY()))&lt;=5,"Yes",""))</f>
        <v/>
      </c>
      <c r="I317" s="1"/>
      <c r="J317" s="1"/>
      <c r="K317" s="1"/>
      <c r="L317" s="1"/>
      <c r="M317" s="63">
        <f>IF(EHD[[#This Row],[RAD/PACT]]&lt;=2020,0,INDEX(UnitCosts[],MATCH(EHD[[#This Row],[WORK TYPE]],UnitCosts[Work Type],0),2)*EHD[[#This Row],['# Hopper Doors]])</f>
        <v>37178.217499999999</v>
      </c>
      <c r="N317" s="63">
        <f t="shared" si="4"/>
        <v>18990633.498999987</v>
      </c>
    </row>
    <row r="318" spans="1:14" x14ac:dyDescent="0.25">
      <c r="A318" s="1" t="s">
        <v>300</v>
      </c>
      <c r="B318" s="1" t="str">
        <f>VLOOKUP(A318,Data[],2,FALSE)</f>
        <v>MANHATTAN</v>
      </c>
      <c r="C318" s="9" t="s">
        <v>27</v>
      </c>
      <c r="D318" s="9">
        <f>VLOOKUP(EHD[[#This Row],[DEVELOPMENT]],Data[],27,FALSE)</f>
        <v>1</v>
      </c>
      <c r="E318" s="1" t="str">
        <f>VLOOKUP(EHD[[#This Row],[DEVELOPMENT]],Data[],8,FALSE)</f>
        <v>Zone 4</v>
      </c>
      <c r="F318" s="1">
        <f>VLOOKUP(EHD[[#This Row],[DEVELOPMENT]],Data[],9,FALSE)</f>
        <v>0</v>
      </c>
      <c r="G318" s="1" t="str">
        <f>IFERROR(VLOOKUP(EHD[[#This Row],[DEVELOPMENT]],Data[],4,FALSE),"")</f>
        <v/>
      </c>
      <c r="H318" s="1" t="str">
        <f ca="1">IF(EHD[[#This Row],[RAD/PACT]]="","",IF((EHD[[#This Row],[RAD/PACT]]-YEAR(TODAY()))&lt;=5,"Yes",""))</f>
        <v/>
      </c>
      <c r="I318" s="1"/>
      <c r="J318" s="1"/>
      <c r="K318" s="1"/>
      <c r="L318" s="1"/>
      <c r="M318" s="63">
        <f>IF(EHD[[#This Row],[RAD/PACT]]&lt;=2020,0,INDEX(UnitCosts[],MATCH(EHD[[#This Row],[WORK TYPE]],UnitCosts[Work Type],0),2)*EHD[[#This Row],['# Hopper Doors]])</f>
        <v>7435.6435000000001</v>
      </c>
      <c r="N318" s="63">
        <f t="shared" si="4"/>
        <v>18998069.142499987</v>
      </c>
    </row>
    <row r="319" spans="1:14" x14ac:dyDescent="0.25">
      <c r="A319" s="1" t="s">
        <v>329</v>
      </c>
      <c r="B319" s="1" t="str">
        <f>VLOOKUP(A319,Data[],2,FALSE)</f>
        <v>MANHATTAN</v>
      </c>
      <c r="C319" s="9" t="s">
        <v>27</v>
      </c>
      <c r="D319" s="9">
        <f>VLOOKUP(EHD[[#This Row],[DEVELOPMENT]],Data[],27,FALSE)</f>
        <v>1</v>
      </c>
      <c r="E319" s="1" t="str">
        <f>VLOOKUP(EHD[[#This Row],[DEVELOPMENT]],Data[],8,FALSE)</f>
        <v>Zone 4</v>
      </c>
      <c r="F319" s="1">
        <f>VLOOKUP(EHD[[#This Row],[DEVELOPMENT]],Data[],9,FALSE)</f>
        <v>0</v>
      </c>
      <c r="G319" s="1" t="str">
        <f>IFERROR(VLOOKUP(EHD[[#This Row],[DEVELOPMENT]],Data[],4,FALSE),"")</f>
        <v/>
      </c>
      <c r="H319" s="1" t="str">
        <f ca="1">IF(EHD[[#This Row],[RAD/PACT]]="","",IF((EHD[[#This Row],[RAD/PACT]]-YEAR(TODAY()))&lt;=5,"Yes",""))</f>
        <v/>
      </c>
      <c r="I319" s="1"/>
      <c r="J319" s="1"/>
      <c r="K319" s="1"/>
      <c r="L319" s="1"/>
      <c r="M319" s="63">
        <f>IF(EHD[[#This Row],[RAD/PACT]]&lt;=2020,0,INDEX(UnitCosts[],MATCH(EHD[[#This Row],[WORK TYPE]],UnitCosts[Work Type],0),2)*EHD[[#This Row],['# Hopper Doors]])</f>
        <v>7435.6435000000001</v>
      </c>
      <c r="N319" s="63">
        <f t="shared" si="4"/>
        <v>19005504.785999987</v>
      </c>
    </row>
    <row r="320" spans="1:14" x14ac:dyDescent="0.25">
      <c r="A320" s="1" t="s">
        <v>350</v>
      </c>
      <c r="B320" s="1" t="str">
        <f>VLOOKUP(A320,Data[],2,FALSE)</f>
        <v>BRONX</v>
      </c>
      <c r="C320" s="9" t="s">
        <v>27</v>
      </c>
      <c r="D320" s="9">
        <f>VLOOKUP(EHD[[#This Row],[DEVELOPMENT]],Data[],27,FALSE)</f>
        <v>1</v>
      </c>
      <c r="E320" s="1" t="str">
        <f>VLOOKUP(EHD[[#This Row],[DEVELOPMENT]],Data[],8,FALSE)</f>
        <v>Zone 4</v>
      </c>
      <c r="F320" s="1">
        <f>VLOOKUP(EHD[[#This Row],[DEVELOPMENT]],Data[],9,FALSE)</f>
        <v>0</v>
      </c>
      <c r="G320" s="1" t="str">
        <f>IFERROR(VLOOKUP(EHD[[#This Row],[DEVELOPMENT]],Data[],4,FALSE),"")</f>
        <v/>
      </c>
      <c r="H320" s="1" t="str">
        <f ca="1">IF(EHD[[#This Row],[RAD/PACT]]="","",IF((EHD[[#This Row],[RAD/PACT]]-YEAR(TODAY()))&lt;=5,"Yes",""))</f>
        <v/>
      </c>
      <c r="I320" s="1"/>
      <c r="J320" s="1"/>
      <c r="K320" s="1"/>
      <c r="L320" s="1"/>
      <c r="M320" s="63">
        <f>IF(EHD[[#This Row],[RAD/PACT]]&lt;=2020,0,INDEX(UnitCosts[],MATCH(EHD[[#This Row],[WORK TYPE]],UnitCosts[Work Type],0),2)*EHD[[#This Row],['# Hopper Doors]])</f>
        <v>7435.6435000000001</v>
      </c>
      <c r="N320" s="63">
        <f t="shared" si="4"/>
        <v>19012940.429499988</v>
      </c>
    </row>
    <row r="321" spans="1:14" x14ac:dyDescent="0.25">
      <c r="A321" s="1" t="s">
        <v>354</v>
      </c>
      <c r="B321" s="1" t="str">
        <f>VLOOKUP(A321,Data[],2,FALSE)</f>
        <v>MANHATTAN</v>
      </c>
      <c r="C321" s="9" t="s">
        <v>27</v>
      </c>
      <c r="D321" s="9">
        <f>VLOOKUP(EHD[[#This Row],[DEVELOPMENT]],Data[],27,FALSE)</f>
        <v>4</v>
      </c>
      <c r="E321" s="1" t="str">
        <f>VLOOKUP(EHD[[#This Row],[DEVELOPMENT]],Data[],8,FALSE)</f>
        <v>Zone 4</v>
      </c>
      <c r="F321" s="1">
        <f>VLOOKUP(EHD[[#This Row],[DEVELOPMENT]],Data[],9,FALSE)</f>
        <v>0</v>
      </c>
      <c r="G321" s="1">
        <f>IFERROR(VLOOKUP(EHD[[#This Row],[DEVELOPMENT]],Data[],4,FALSE),"")</f>
        <v>2019</v>
      </c>
      <c r="H321" s="1" t="str">
        <f ca="1">IF(EHD[[#This Row],[RAD/PACT]]="","",IF((EHD[[#This Row],[RAD/PACT]]-YEAR(TODAY()))&lt;=5,"Yes",""))</f>
        <v>Yes</v>
      </c>
      <c r="I321" s="1"/>
      <c r="J321" s="1"/>
      <c r="K321" s="1"/>
      <c r="L321" s="1"/>
      <c r="M321" s="63">
        <f>IF(EHD[[#This Row],[RAD/PACT]]&lt;=2020,0,INDEX(UnitCosts[],MATCH(EHD[[#This Row],[WORK TYPE]],UnitCosts[Work Type],0),2)*EHD[[#This Row],['# Hopper Doors]])</f>
        <v>0</v>
      </c>
      <c r="N321" s="63">
        <f t="shared" si="4"/>
        <v>19012940.429499988</v>
      </c>
    </row>
    <row r="322" spans="1:14" x14ac:dyDescent="0.25">
      <c r="A322" s="1" t="s">
        <v>357</v>
      </c>
      <c r="B322" s="1" t="str">
        <f>VLOOKUP(A322,Data[],2,FALSE)</f>
        <v>MANHATTAN</v>
      </c>
      <c r="C322" s="9" t="s">
        <v>27</v>
      </c>
      <c r="D322" s="9">
        <f>VLOOKUP(EHD[[#This Row],[DEVELOPMENT]],Data[],27,FALSE)</f>
        <v>0</v>
      </c>
      <c r="E322" s="1" t="str">
        <f>VLOOKUP(EHD[[#This Row],[DEVELOPMENT]],Data[],8,FALSE)</f>
        <v>Zone 4</v>
      </c>
      <c r="F322" s="1">
        <f>VLOOKUP(EHD[[#This Row],[DEVELOPMENT]],Data[],9,FALSE)</f>
        <v>0</v>
      </c>
      <c r="G322" s="1" t="str">
        <f>IFERROR(VLOOKUP(EHD[[#This Row],[DEVELOPMENT]],Data[],4,FALSE),"")</f>
        <v/>
      </c>
      <c r="H322" s="1" t="str">
        <f ca="1">IF(EHD[[#This Row],[RAD/PACT]]="","",IF((EHD[[#This Row],[RAD/PACT]]-YEAR(TODAY()))&lt;=5,"Yes",""))</f>
        <v/>
      </c>
      <c r="I322" s="1"/>
      <c r="J322" s="1"/>
      <c r="K322" s="1"/>
      <c r="L322" s="1"/>
      <c r="M322" s="63">
        <f>IF(EHD[[#This Row],[RAD/PACT]]&lt;=2020,0,INDEX(UnitCosts[],MATCH(EHD[[#This Row],[WORK TYPE]],UnitCosts[Work Type],0),2)*EHD[[#This Row],['# Hopper Doors]])</f>
        <v>0</v>
      </c>
      <c r="N322" s="63">
        <f t="shared" si="4"/>
        <v>19012940.429499988</v>
      </c>
    </row>
    <row r="323" spans="1:14" x14ac:dyDescent="0.25">
      <c r="A323" s="1" t="s">
        <v>358</v>
      </c>
      <c r="B323" s="1" t="str">
        <f>VLOOKUP(A323,Data[],2,FALSE)</f>
        <v>MANHATTAN</v>
      </c>
      <c r="C323" s="9" t="s">
        <v>27</v>
      </c>
      <c r="D323" s="9">
        <f>VLOOKUP(EHD[[#This Row],[DEVELOPMENT]],Data[],27,FALSE)</f>
        <v>1</v>
      </c>
      <c r="E323" s="1" t="str">
        <f>VLOOKUP(EHD[[#This Row],[DEVELOPMENT]],Data[],8,FALSE)</f>
        <v>Zone 4</v>
      </c>
      <c r="F323" s="1">
        <f>VLOOKUP(EHD[[#This Row],[DEVELOPMENT]],Data[],9,FALSE)</f>
        <v>0</v>
      </c>
      <c r="G323" s="1" t="str">
        <f>IFERROR(VLOOKUP(EHD[[#This Row],[DEVELOPMENT]],Data[],4,FALSE),"")</f>
        <v/>
      </c>
      <c r="H323" s="1" t="str">
        <f ca="1">IF(EHD[[#This Row],[RAD/PACT]]="","",IF((EHD[[#This Row],[RAD/PACT]]-YEAR(TODAY()))&lt;=5,"Yes",""))</f>
        <v/>
      </c>
      <c r="I323" s="1"/>
      <c r="J323" s="1"/>
      <c r="K323" s="1"/>
      <c r="L323" s="1"/>
      <c r="M323" s="63">
        <f>IF(EHD[[#This Row],[RAD/PACT]]&lt;=2020,0,INDEX(UnitCosts[],MATCH(EHD[[#This Row],[WORK TYPE]],UnitCosts[Work Type],0),2)*EHD[[#This Row],['# Hopper Doors]])</f>
        <v>7435.6435000000001</v>
      </c>
      <c r="N323" s="63">
        <f t="shared" si="4"/>
        <v>19020376.072999988</v>
      </c>
    </row>
    <row r="324" spans="1:14" x14ac:dyDescent="0.25">
      <c r="A324" s="1" t="s">
        <v>359</v>
      </c>
      <c r="B324" s="1" t="str">
        <f>VLOOKUP(A324,Data[],2,FALSE)</f>
        <v>MANHATTAN</v>
      </c>
      <c r="C324" s="9" t="s">
        <v>27</v>
      </c>
      <c r="D324" s="9">
        <f>VLOOKUP(EHD[[#This Row],[DEVELOPMENT]],Data[],27,FALSE)</f>
        <v>2</v>
      </c>
      <c r="E324" s="1" t="str">
        <f>VLOOKUP(EHD[[#This Row],[DEVELOPMENT]],Data[],8,FALSE)</f>
        <v>Zone 4</v>
      </c>
      <c r="F324" s="1">
        <f>VLOOKUP(EHD[[#This Row],[DEVELOPMENT]],Data[],9,FALSE)</f>
        <v>0</v>
      </c>
      <c r="G324" s="1" t="str">
        <f>IFERROR(VLOOKUP(EHD[[#This Row],[DEVELOPMENT]],Data[],4,FALSE),"")</f>
        <v/>
      </c>
      <c r="H324" s="1" t="str">
        <f ca="1">IF(EHD[[#This Row],[RAD/PACT]]="","",IF((EHD[[#This Row],[RAD/PACT]]-YEAR(TODAY()))&lt;=5,"Yes",""))</f>
        <v/>
      </c>
      <c r="I324" s="1"/>
      <c r="J324" s="1"/>
      <c r="K324" s="1"/>
      <c r="L324" s="1"/>
      <c r="M324" s="63">
        <f>IF(EHD[[#This Row],[RAD/PACT]]&lt;=2020,0,INDEX(UnitCosts[],MATCH(EHD[[#This Row],[WORK TYPE]],UnitCosts[Work Type],0),2)*EHD[[#This Row],['# Hopper Doors]])</f>
        <v>14871.287</v>
      </c>
      <c r="N324" s="63">
        <f t="shared" ref="N324" si="5">IF(I324=I323,(M324+L324)+N323,(M324+L324))</f>
        <v>19035247.359999988</v>
      </c>
    </row>
  </sheetData>
  <conditionalFormatting sqref="A3:N3 E4:L4 B4:B324">
    <cfRule type="containsErrors" dxfId="39" priority="13">
      <formula>ISERROR(A3)</formula>
    </cfRule>
  </conditionalFormatting>
  <conditionalFormatting sqref="N3">
    <cfRule type="expression" dxfId="38" priority="12">
      <formula>N3&gt;N4</formula>
    </cfRule>
  </conditionalFormatting>
  <conditionalFormatting sqref="C4:D324">
    <cfRule type="containsErrors" dxfId="37" priority="5">
      <formula>ISERROR(C4)</formula>
    </cfRule>
  </conditionalFormatting>
  <conditionalFormatting sqref="M4">
    <cfRule type="containsErrors" dxfId="36" priority="6">
      <formula>ISERROR(M4)</formula>
    </cfRule>
  </conditionalFormatting>
  <conditionalFormatting sqref="A4:A324">
    <cfRule type="containsErrors" dxfId="35" priority="7">
      <formula>ISERROR(A4)</formula>
    </cfRule>
  </conditionalFormatting>
  <conditionalFormatting sqref="A4:A324">
    <cfRule type="duplicateValues" dxfId="34" priority="8"/>
  </conditionalFormatting>
  <conditionalFormatting sqref="N4">
    <cfRule type="containsErrors" dxfId="33" priority="4">
      <formula>ISERROR(N4)</formula>
    </cfRule>
  </conditionalFormatting>
  <conditionalFormatting sqref="N4">
    <cfRule type="expression" dxfId="32" priority="3">
      <formula>N4&gt;N5</formula>
    </cfRule>
  </conditionalFormatting>
  <conditionalFormatting sqref="I238:J238">
    <cfRule type="containsErrors" dxfId="31" priority="2">
      <formula>ISERROR(I238)</formula>
    </cfRule>
  </conditionalFormatting>
  <conditionalFormatting sqref="I5:J30">
    <cfRule type="containsErrors" dxfId="30" priority="1">
      <formula>ISERROR(I5)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C1CF-FDEE-4610-9EEB-374083288066}">
  <dimension ref="A1:P193"/>
  <sheetViews>
    <sheetView workbookViewId="0">
      <selection activeCell="A193" sqref="A4:K193"/>
    </sheetView>
  </sheetViews>
  <sheetFormatPr defaultRowHeight="15" x14ac:dyDescent="0.25"/>
  <cols>
    <col min="1" max="1" width="12.7109375" bestFit="1" customWidth="1"/>
    <col min="2" max="2" width="15.7109375" hidden="1" customWidth="1"/>
    <col min="3" max="3" width="52.140625" bestFit="1" customWidth="1"/>
    <col min="4" max="4" width="7" bestFit="1" customWidth="1"/>
    <col min="5" max="5" width="24.85546875" bestFit="1" customWidth="1"/>
    <col min="6" max="6" width="20.140625" bestFit="1" customWidth="1"/>
    <col min="7" max="7" width="16.42578125" bestFit="1" customWidth="1"/>
    <col min="8" max="8" width="12.28515625" bestFit="1" customWidth="1"/>
    <col min="9" max="9" width="11.5703125" style="5" bestFit="1" customWidth="1"/>
    <col min="10" max="10" width="16.7109375" style="5" bestFit="1" customWidth="1"/>
    <col min="11" max="11" width="14.85546875" bestFit="1" customWidth="1"/>
  </cols>
  <sheetData>
    <row r="1" spans="1:11" x14ac:dyDescent="0.25">
      <c r="I1" s="5">
        <f>SUM(Table3[COST])</f>
        <v>0</v>
      </c>
      <c r="J1" s="5" t="e">
        <f>SUM(Table3[ESTIMATES])</f>
        <v>#N/A</v>
      </c>
      <c r="K1" t="e">
        <f>SUM(I1:J1)</f>
        <v>#N/A</v>
      </c>
    </row>
    <row r="3" spans="1:11" x14ac:dyDescent="0.25">
      <c r="A3" s="14" t="s">
        <v>5</v>
      </c>
      <c r="B3" s="14" t="s">
        <v>6</v>
      </c>
      <c r="C3" s="14" t="s">
        <v>7</v>
      </c>
      <c r="D3" s="14" t="s">
        <v>8</v>
      </c>
      <c r="E3" s="14" t="s">
        <v>11</v>
      </c>
      <c r="F3" s="15" t="s">
        <v>17</v>
      </c>
      <c r="G3" s="15" t="s">
        <v>18</v>
      </c>
      <c r="H3" s="15" t="s">
        <v>19</v>
      </c>
      <c r="I3" s="53" t="s">
        <v>21</v>
      </c>
      <c r="J3" s="53" t="s">
        <v>22</v>
      </c>
      <c r="K3" s="15" t="s">
        <v>23</v>
      </c>
    </row>
    <row r="4" spans="1:11" x14ac:dyDescent="0.25">
      <c r="A4" s="1" t="str">
        <f>VLOOKUP(C4,Data[],2,FALSE)</f>
        <v>MANHATTAN</v>
      </c>
      <c r="B4" s="1"/>
      <c r="C4" s="1" t="s">
        <v>69</v>
      </c>
      <c r="D4" s="1" t="s">
        <v>397</v>
      </c>
      <c r="E4" s="1"/>
      <c r="F4" s="1"/>
      <c r="G4" s="1"/>
      <c r="H4" s="1"/>
      <c r="I4" s="3"/>
      <c r="J4" s="3" t="e">
        <f>INDEX(UnitCosts[],MATCH(Table3[[#This Row],[WORK TYPE]],UnitCosts[Work Type],0),2)*VLOOKUP(Table3[[#This Row],[DEVELOPMENT]],Data[],MATCH(Table3[[#This Row],[WORK TYPE]],Data[#Headers],0),FALSE)</f>
        <v>#N/A</v>
      </c>
      <c r="K4" s="1"/>
    </row>
    <row r="5" spans="1:11" x14ac:dyDescent="0.25">
      <c r="A5" s="1" t="str">
        <f>VLOOKUP(C5,Data[],2,FALSE)</f>
        <v>MANHATTAN</v>
      </c>
      <c r="B5" s="1"/>
      <c r="C5" s="1" t="s">
        <v>70</v>
      </c>
      <c r="D5" s="1" t="s">
        <v>397</v>
      </c>
      <c r="E5" s="1"/>
      <c r="F5" s="1"/>
      <c r="G5" s="1"/>
      <c r="H5" s="1"/>
      <c r="I5" s="3"/>
      <c r="J5" s="3" t="e">
        <f>INDEX(UnitCosts[],MATCH(Table3[[#This Row],[WORK TYPE]],UnitCosts[Work Type],0),2)*VLOOKUP(Table3[[#This Row],[DEVELOPMENT]],Data[],MATCH(Table3[[#This Row],[WORK TYPE]],Data[#Headers],0),FALSE)</f>
        <v>#N/A</v>
      </c>
      <c r="K5" s="1"/>
    </row>
    <row r="6" spans="1:11" x14ac:dyDescent="0.25">
      <c r="A6" s="1" t="str">
        <f>VLOOKUP(C6,Data[],2,FALSE)</f>
        <v>MANHATTAN</v>
      </c>
      <c r="B6" s="1"/>
      <c r="C6" s="1" t="s">
        <v>71</v>
      </c>
      <c r="D6" s="1" t="s">
        <v>397</v>
      </c>
      <c r="E6" s="1"/>
      <c r="F6" s="1"/>
      <c r="G6" s="1"/>
      <c r="H6" s="1"/>
      <c r="I6" s="3"/>
      <c r="J6" s="3" t="e">
        <f>INDEX(UnitCosts[],MATCH(Table3[[#This Row],[WORK TYPE]],UnitCosts[Work Type],0),2)*VLOOKUP(Table3[[#This Row],[DEVELOPMENT]],Data[],MATCH(Table3[[#This Row],[WORK TYPE]],Data[#Headers],0),FALSE)</f>
        <v>#N/A</v>
      </c>
      <c r="K6" s="1"/>
    </row>
    <row r="7" spans="1:11" x14ac:dyDescent="0.25">
      <c r="A7" s="1" t="str">
        <f>VLOOKUP(C7,Data[],2,FALSE)</f>
        <v>BROOKLYN</v>
      </c>
      <c r="B7" s="1"/>
      <c r="C7" s="1" t="s">
        <v>119</v>
      </c>
      <c r="D7" s="1" t="s">
        <v>397</v>
      </c>
      <c r="E7" s="1"/>
      <c r="F7" s="1"/>
      <c r="G7" s="1"/>
      <c r="H7" s="1"/>
      <c r="I7" s="3"/>
      <c r="J7" s="3" t="e">
        <f>INDEX(UnitCosts[],MATCH(Table3[[#This Row],[WORK TYPE]],UnitCosts[Work Type],0),2)*VLOOKUP(Table3[[#This Row],[DEVELOPMENT]],Data[],MATCH(Table3[[#This Row],[WORK TYPE]],Data[#Headers],0),FALSE)</f>
        <v>#N/A</v>
      </c>
      <c r="K7" s="1"/>
    </row>
    <row r="8" spans="1:11" x14ac:dyDescent="0.25">
      <c r="A8" s="1" t="str">
        <f>VLOOKUP(C8,Data[],2,FALSE)</f>
        <v>BROOKLYN</v>
      </c>
      <c r="B8" s="1"/>
      <c r="C8" s="1" t="s">
        <v>72</v>
      </c>
      <c r="D8" s="1" t="s">
        <v>397</v>
      </c>
      <c r="E8" s="1"/>
      <c r="F8" s="1"/>
      <c r="G8" s="1"/>
      <c r="H8" s="1"/>
      <c r="I8" s="3"/>
      <c r="J8" s="3" t="e">
        <f>INDEX(UnitCosts[],MATCH(Table3[[#This Row],[WORK TYPE]],UnitCosts[Work Type],0),2)*VLOOKUP(Table3[[#This Row],[DEVELOPMENT]],Data[],MATCH(Table3[[#This Row],[WORK TYPE]],Data[#Headers],0),FALSE)</f>
        <v>#N/A</v>
      </c>
      <c r="K8" s="1"/>
    </row>
    <row r="9" spans="1:11" x14ac:dyDescent="0.25">
      <c r="A9" s="1" t="str">
        <f>VLOOKUP(C9,Data[],2,FALSE)</f>
        <v>BRONX</v>
      </c>
      <c r="B9" s="1"/>
      <c r="C9" s="1" t="s">
        <v>73</v>
      </c>
      <c r="D9" s="1" t="s">
        <v>397</v>
      </c>
      <c r="E9" s="1"/>
      <c r="F9" s="1"/>
      <c r="G9" s="1"/>
      <c r="H9" s="1"/>
      <c r="I9" s="3"/>
      <c r="J9" s="3" t="e">
        <f>INDEX(UnitCosts[],MATCH(Table3[[#This Row],[WORK TYPE]],UnitCosts[Work Type],0),2)*VLOOKUP(Table3[[#This Row],[DEVELOPMENT]],Data[],MATCH(Table3[[#This Row],[WORK TYPE]],Data[#Headers],0),FALSE)</f>
        <v>#N/A</v>
      </c>
      <c r="K9" s="1"/>
    </row>
    <row r="10" spans="1:11" x14ac:dyDescent="0.25">
      <c r="A10" s="1" t="str">
        <f>VLOOKUP(C10,Data[],2,FALSE)</f>
        <v>BRONX</v>
      </c>
      <c r="B10" s="1"/>
      <c r="C10" s="1" t="s">
        <v>124</v>
      </c>
      <c r="D10" s="1" t="s">
        <v>397</v>
      </c>
      <c r="E10" s="1"/>
      <c r="F10" s="1"/>
      <c r="G10" s="1"/>
      <c r="H10" s="1"/>
      <c r="I10" s="3"/>
      <c r="J10" s="3" t="e">
        <f>INDEX(UnitCosts[],MATCH(Table3[[#This Row],[WORK TYPE]],UnitCosts[Work Type],0),2)*VLOOKUP(Table3[[#This Row],[DEVELOPMENT]],Data[],MATCH(Table3[[#This Row],[WORK TYPE]],Data[#Headers],0),FALSE)</f>
        <v>#N/A</v>
      </c>
      <c r="K10" s="1"/>
    </row>
    <row r="11" spans="1:11" x14ac:dyDescent="0.25">
      <c r="A11" s="1" t="str">
        <f>VLOOKUP(C11,Data[],2,FALSE)</f>
        <v>BRONX</v>
      </c>
      <c r="B11" s="1"/>
      <c r="C11" s="1" t="s">
        <v>105</v>
      </c>
      <c r="D11" s="1" t="s">
        <v>397</v>
      </c>
      <c r="E11" s="1"/>
      <c r="F11" s="1"/>
      <c r="G11" s="1"/>
      <c r="H11" s="1"/>
      <c r="I11" s="3"/>
      <c r="J11" s="3" t="e">
        <f>INDEX(UnitCosts[],MATCH(Table3[[#This Row],[WORK TYPE]],UnitCosts[Work Type],0),2)*VLOOKUP(Table3[[#This Row],[DEVELOPMENT]],Data[],MATCH(Table3[[#This Row],[WORK TYPE]],Data[#Headers],0),FALSE)</f>
        <v>#N/A</v>
      </c>
      <c r="K11" s="1"/>
    </row>
    <row r="12" spans="1:11" x14ac:dyDescent="0.25">
      <c r="A12" s="1" t="str">
        <f>VLOOKUP(C12,Data[],2,FALSE)</f>
        <v>MANHATTAN</v>
      </c>
      <c r="B12" s="1"/>
      <c r="C12" s="1" t="s">
        <v>75</v>
      </c>
      <c r="D12" s="1" t="s">
        <v>397</v>
      </c>
      <c r="E12" s="1"/>
      <c r="F12" s="1"/>
      <c r="G12" s="1"/>
      <c r="H12" s="1"/>
      <c r="I12" s="3"/>
      <c r="J12" s="3" t="e">
        <f>INDEX(UnitCosts[],MATCH(Table3[[#This Row],[WORK TYPE]],UnitCosts[Work Type],0),2)*VLOOKUP(Table3[[#This Row],[DEVELOPMENT]],Data[],MATCH(Table3[[#This Row],[WORK TYPE]],Data[#Headers],0),FALSE)</f>
        <v>#N/A</v>
      </c>
      <c r="K12" s="1"/>
    </row>
    <row r="13" spans="1:11" x14ac:dyDescent="0.25">
      <c r="A13" s="1" t="str">
        <f>VLOOKUP(C13,Data[],2,FALSE)</f>
        <v>MANHATTAN</v>
      </c>
      <c r="B13" s="1"/>
      <c r="C13" s="1" t="s">
        <v>130</v>
      </c>
      <c r="D13" s="1" t="s">
        <v>397</v>
      </c>
      <c r="E13" s="1"/>
      <c r="F13" s="1"/>
      <c r="G13" s="1"/>
      <c r="H13" s="1"/>
      <c r="I13" s="3"/>
      <c r="J13" s="3" t="e">
        <f>INDEX(UnitCosts[],MATCH(Table3[[#This Row],[WORK TYPE]],UnitCosts[Work Type],0),2)*VLOOKUP(Table3[[#This Row],[DEVELOPMENT]],Data[],MATCH(Table3[[#This Row],[WORK TYPE]],Data[#Headers],0),FALSE)</f>
        <v>#N/A</v>
      </c>
      <c r="K13" s="1"/>
    </row>
    <row r="14" spans="1:11" x14ac:dyDescent="0.25">
      <c r="A14" s="1" t="str">
        <f>VLOOKUP(C14,Data[],2,FALSE)</f>
        <v>MANHATTAN</v>
      </c>
      <c r="B14" s="1"/>
      <c r="C14" s="1" t="s">
        <v>76</v>
      </c>
      <c r="D14" s="1" t="s">
        <v>397</v>
      </c>
      <c r="E14" s="1"/>
      <c r="F14" s="1"/>
      <c r="G14" s="1"/>
      <c r="H14" s="1"/>
      <c r="I14" s="3"/>
      <c r="J14" s="3" t="e">
        <f>INDEX(UnitCosts[],MATCH(Table3[[#This Row],[WORK TYPE]],UnitCosts[Work Type],0),2)*VLOOKUP(Table3[[#This Row],[DEVELOPMENT]],Data[],MATCH(Table3[[#This Row],[WORK TYPE]],Data[#Headers],0),FALSE)</f>
        <v>#N/A</v>
      </c>
      <c r="K14" s="1"/>
    </row>
    <row r="15" spans="1:11" x14ac:dyDescent="0.25">
      <c r="A15" s="1" t="str">
        <f>VLOOKUP(C15,Data[],2,FALSE)</f>
        <v>MANHATTAN</v>
      </c>
      <c r="B15" s="1"/>
      <c r="C15" s="1" t="s">
        <v>79</v>
      </c>
      <c r="D15" s="1" t="s">
        <v>397</v>
      </c>
      <c r="E15" s="1"/>
      <c r="F15" s="1"/>
      <c r="G15" s="1"/>
      <c r="H15" s="1"/>
      <c r="I15" s="3"/>
      <c r="J15" s="3" t="e">
        <f>INDEX(UnitCosts[],MATCH(Table3[[#This Row],[WORK TYPE]],UnitCosts[Work Type],0),2)*VLOOKUP(Table3[[#This Row],[DEVELOPMENT]],Data[],MATCH(Table3[[#This Row],[WORK TYPE]],Data[#Headers],0),FALSE)</f>
        <v>#N/A</v>
      </c>
      <c r="K15" s="1"/>
    </row>
    <row r="16" spans="1:11" x14ac:dyDescent="0.25">
      <c r="A16" s="1" t="str">
        <f>VLOOKUP(C16,Data[],2,FALSE)</f>
        <v>MANHATTAN</v>
      </c>
      <c r="B16" s="1"/>
      <c r="C16" s="1" t="s">
        <v>111</v>
      </c>
      <c r="D16" s="1" t="s">
        <v>397</v>
      </c>
      <c r="E16" s="1"/>
      <c r="F16" s="1"/>
      <c r="G16" s="1"/>
      <c r="H16" s="1"/>
      <c r="I16" s="3"/>
      <c r="J16" s="3" t="e">
        <f>INDEX(UnitCosts[],MATCH(Table3[[#This Row],[WORK TYPE]],UnitCosts[Work Type],0),2)*VLOOKUP(Table3[[#This Row],[DEVELOPMENT]],Data[],MATCH(Table3[[#This Row],[WORK TYPE]],Data[#Headers],0),FALSE)</f>
        <v>#N/A</v>
      </c>
      <c r="K16" s="1"/>
    </row>
    <row r="17" spans="1:11" x14ac:dyDescent="0.25">
      <c r="A17" s="1" t="str">
        <f>VLOOKUP(C17,Data[],2,FALSE)</f>
        <v>MANHATTAN</v>
      </c>
      <c r="B17" s="1"/>
      <c r="C17" s="1" t="s">
        <v>80</v>
      </c>
      <c r="D17" s="1" t="s">
        <v>397</v>
      </c>
      <c r="E17" s="1"/>
      <c r="F17" s="1"/>
      <c r="G17" s="1"/>
      <c r="H17" s="1"/>
      <c r="I17" s="3"/>
      <c r="J17" s="3" t="e">
        <f>INDEX(UnitCosts[],MATCH(Table3[[#This Row],[WORK TYPE]],UnitCosts[Work Type],0),2)*VLOOKUP(Table3[[#This Row],[DEVELOPMENT]],Data[],MATCH(Table3[[#This Row],[WORK TYPE]],Data[#Headers],0),FALSE)</f>
        <v>#N/A</v>
      </c>
      <c r="K17" s="1"/>
    </row>
    <row r="18" spans="1:11" x14ac:dyDescent="0.25">
      <c r="A18" s="1" t="str">
        <f>VLOOKUP(C18,Data[],2,FALSE)</f>
        <v>MANHATTAN</v>
      </c>
      <c r="B18" s="1"/>
      <c r="C18" s="1" t="s">
        <v>117</v>
      </c>
      <c r="D18" s="1" t="s">
        <v>397</v>
      </c>
      <c r="E18" s="1"/>
      <c r="F18" s="1"/>
      <c r="G18" s="1"/>
      <c r="H18" s="1"/>
      <c r="I18" s="3"/>
      <c r="J18" s="3" t="e">
        <f>INDEX(UnitCosts[],MATCH(Table3[[#This Row],[WORK TYPE]],UnitCosts[Work Type],0),2)*VLOOKUP(Table3[[#This Row],[DEVELOPMENT]],Data[],MATCH(Table3[[#This Row],[WORK TYPE]],Data[#Headers],0),FALSE)</f>
        <v>#N/A</v>
      </c>
      <c r="K18" s="1"/>
    </row>
    <row r="19" spans="1:11" x14ac:dyDescent="0.25">
      <c r="A19" s="1" t="str">
        <f>VLOOKUP(C19,Data[],2,FALSE)</f>
        <v>MANHATTAN</v>
      </c>
      <c r="B19" s="1"/>
      <c r="C19" s="1" t="s">
        <v>82</v>
      </c>
      <c r="D19" s="1" t="s">
        <v>397</v>
      </c>
      <c r="E19" s="1"/>
      <c r="F19" s="1"/>
      <c r="G19" s="1"/>
      <c r="H19" s="1"/>
      <c r="I19" s="3"/>
      <c r="J19" s="3" t="e">
        <f>INDEX(UnitCosts[],MATCH(Table3[[#This Row],[WORK TYPE]],UnitCosts[Work Type],0),2)*VLOOKUP(Table3[[#This Row],[DEVELOPMENT]],Data[],MATCH(Table3[[#This Row],[WORK TYPE]],Data[#Headers],0),FALSE)</f>
        <v>#N/A</v>
      </c>
      <c r="K19" s="1"/>
    </row>
    <row r="20" spans="1:11" x14ac:dyDescent="0.25">
      <c r="A20" s="1" t="str">
        <f>VLOOKUP(C20,Data[],2,FALSE)</f>
        <v>BROOKLYN</v>
      </c>
      <c r="B20" s="1"/>
      <c r="C20" s="1" t="s">
        <v>84</v>
      </c>
      <c r="D20" s="1" t="s">
        <v>397</v>
      </c>
      <c r="E20" s="1"/>
      <c r="F20" s="1"/>
      <c r="G20" s="1"/>
      <c r="H20" s="1"/>
      <c r="I20" s="3"/>
      <c r="J20" s="3" t="e">
        <f>INDEX(UnitCosts[],MATCH(Table3[[#This Row],[WORK TYPE]],UnitCosts[Work Type],0),2)*VLOOKUP(Table3[[#This Row],[DEVELOPMENT]],Data[],MATCH(Table3[[#This Row],[WORK TYPE]],Data[#Headers],0),FALSE)</f>
        <v>#N/A</v>
      </c>
      <c r="K20" s="1"/>
    </row>
    <row r="21" spans="1:11" x14ac:dyDescent="0.25">
      <c r="A21" s="1" t="str">
        <f>VLOOKUP(C21,Data[],2,FALSE)</f>
        <v>MANHATTAN</v>
      </c>
      <c r="B21" s="1"/>
      <c r="C21" s="1" t="s">
        <v>87</v>
      </c>
      <c r="D21" s="1" t="s">
        <v>397</v>
      </c>
      <c r="E21" s="1"/>
      <c r="F21" s="1"/>
      <c r="G21" s="1"/>
      <c r="H21" s="1"/>
      <c r="I21" s="3"/>
      <c r="J21" s="3" t="e">
        <f>INDEX(UnitCosts[],MATCH(Table3[[#This Row],[WORK TYPE]],UnitCosts[Work Type],0),2)*VLOOKUP(Table3[[#This Row],[DEVELOPMENT]],Data[],MATCH(Table3[[#This Row],[WORK TYPE]],Data[#Headers],0),FALSE)</f>
        <v>#N/A</v>
      </c>
      <c r="K21" s="1"/>
    </row>
    <row r="22" spans="1:11" x14ac:dyDescent="0.25">
      <c r="A22" s="1" t="str">
        <f>VLOOKUP(C22,Data[],2,FALSE)</f>
        <v>MANHATTAN</v>
      </c>
      <c r="B22" s="1"/>
      <c r="C22" s="1" t="s">
        <v>88</v>
      </c>
      <c r="D22" s="1" t="s">
        <v>397</v>
      </c>
      <c r="E22" s="1"/>
      <c r="F22" s="1"/>
      <c r="G22" s="1"/>
      <c r="H22" s="1"/>
      <c r="I22" s="3"/>
      <c r="J22" s="3" t="e">
        <f>INDEX(UnitCosts[],MATCH(Table3[[#This Row],[WORK TYPE]],UnitCosts[Work Type],0),2)*VLOOKUP(Table3[[#This Row],[DEVELOPMENT]],Data[],MATCH(Table3[[#This Row],[WORK TYPE]],Data[#Headers],0),FALSE)</f>
        <v>#N/A</v>
      </c>
      <c r="K22" s="1"/>
    </row>
    <row r="23" spans="1:11" x14ac:dyDescent="0.25">
      <c r="A23" s="1" t="str">
        <f>VLOOKUP(C23,Data[],2,FALSE)</f>
        <v>MANHATTAN</v>
      </c>
      <c r="B23" s="1"/>
      <c r="C23" s="1" t="s">
        <v>89</v>
      </c>
      <c r="D23" s="1" t="s">
        <v>397</v>
      </c>
      <c r="E23" s="1"/>
      <c r="F23" s="1"/>
      <c r="G23" s="1"/>
      <c r="H23" s="1"/>
      <c r="I23" s="3"/>
      <c r="J23" s="3" t="e">
        <f>INDEX(UnitCosts[],MATCH(Table3[[#This Row],[WORK TYPE]],UnitCosts[Work Type],0),2)*VLOOKUP(Table3[[#This Row],[DEVELOPMENT]],Data[],MATCH(Table3[[#This Row],[WORK TYPE]],Data[#Headers],0),FALSE)</f>
        <v>#N/A</v>
      </c>
      <c r="K23" s="1"/>
    </row>
    <row r="24" spans="1:11" x14ac:dyDescent="0.25">
      <c r="A24" s="1" t="str">
        <f>VLOOKUP(C24,Data[],2,FALSE)</f>
        <v>BRONX</v>
      </c>
      <c r="B24" s="1"/>
      <c r="C24" s="1" t="s">
        <v>114</v>
      </c>
      <c r="D24" s="1" t="s">
        <v>397</v>
      </c>
      <c r="E24" s="1"/>
      <c r="F24" s="1"/>
      <c r="G24" s="1"/>
      <c r="H24" s="1"/>
      <c r="I24" s="3"/>
      <c r="J24" s="3" t="e">
        <f>INDEX(UnitCosts[],MATCH(Table3[[#This Row],[WORK TYPE]],UnitCosts[Work Type],0),2)*VLOOKUP(Table3[[#This Row],[DEVELOPMENT]],Data[],MATCH(Table3[[#This Row],[WORK TYPE]],Data[#Headers],0),FALSE)</f>
        <v>#N/A</v>
      </c>
      <c r="K24" s="1"/>
    </row>
    <row r="25" spans="1:11" x14ac:dyDescent="0.25">
      <c r="A25" s="1" t="str">
        <f>VLOOKUP(C25,Data[],2,FALSE)</f>
        <v>BRONX</v>
      </c>
      <c r="B25" s="1"/>
      <c r="C25" s="1" t="s">
        <v>91</v>
      </c>
      <c r="D25" s="1" t="s">
        <v>397</v>
      </c>
      <c r="E25" s="1"/>
      <c r="F25" s="1"/>
      <c r="G25" s="1"/>
      <c r="H25" s="1"/>
      <c r="I25" s="3"/>
      <c r="J25" s="3" t="e">
        <f>INDEX(UnitCosts[],MATCH(Table3[[#This Row],[WORK TYPE]],UnitCosts[Work Type],0),2)*VLOOKUP(Table3[[#This Row],[DEVELOPMENT]],Data[],MATCH(Table3[[#This Row],[WORK TYPE]],Data[#Headers],0),FALSE)</f>
        <v>#N/A</v>
      </c>
      <c r="K25" s="1"/>
    </row>
    <row r="26" spans="1:11" x14ac:dyDescent="0.25">
      <c r="A26" s="1" t="str">
        <f>VLOOKUP(C26,Data[],2,FALSE)</f>
        <v>MANHATTAN</v>
      </c>
      <c r="B26" s="1"/>
      <c r="C26" s="1" t="s">
        <v>93</v>
      </c>
      <c r="D26" s="1" t="s">
        <v>397</v>
      </c>
      <c r="E26" s="1"/>
      <c r="F26" s="1"/>
      <c r="G26" s="1"/>
      <c r="H26" s="1"/>
      <c r="I26" s="3"/>
      <c r="J26" s="3" t="e">
        <f>INDEX(UnitCosts[],MATCH(Table3[[#This Row],[WORK TYPE]],UnitCosts[Work Type],0),2)*VLOOKUP(Table3[[#This Row],[DEVELOPMENT]],Data[],MATCH(Table3[[#This Row],[WORK TYPE]],Data[#Headers],0),FALSE)</f>
        <v>#N/A</v>
      </c>
      <c r="K26" s="1"/>
    </row>
    <row r="27" spans="1:11" x14ac:dyDescent="0.25">
      <c r="A27" s="1" t="str">
        <f>VLOOKUP(C27,Data[],2,FALSE)</f>
        <v>BRONX</v>
      </c>
      <c r="B27" s="1"/>
      <c r="C27" s="1" t="s">
        <v>132</v>
      </c>
      <c r="D27" s="1" t="s">
        <v>397</v>
      </c>
      <c r="E27" s="1"/>
      <c r="F27" s="1"/>
      <c r="G27" s="1"/>
      <c r="H27" s="1"/>
      <c r="I27" s="3"/>
      <c r="J27" s="3" t="e">
        <f>INDEX(UnitCosts[],MATCH(Table3[[#This Row],[WORK TYPE]],UnitCosts[Work Type],0),2)*VLOOKUP(Table3[[#This Row],[DEVELOPMENT]],Data[],MATCH(Table3[[#This Row],[WORK TYPE]],Data[#Headers],0),FALSE)</f>
        <v>#N/A</v>
      </c>
      <c r="K27" s="1"/>
    </row>
    <row r="28" spans="1:11" x14ac:dyDescent="0.25">
      <c r="A28" s="1" t="str">
        <f>VLOOKUP(C28,Data[],2,FALSE)</f>
        <v>MANHATTAN</v>
      </c>
      <c r="B28" s="1"/>
      <c r="C28" s="1" t="s">
        <v>94</v>
      </c>
      <c r="D28" s="1" t="s">
        <v>397</v>
      </c>
      <c r="E28" s="1"/>
      <c r="F28" s="1"/>
      <c r="G28" s="1"/>
      <c r="H28" s="1"/>
      <c r="I28" s="3"/>
      <c r="J28" s="3" t="e">
        <f>INDEX(UnitCosts[],MATCH(Table3[[#This Row],[WORK TYPE]],UnitCosts[Work Type],0),2)*VLOOKUP(Table3[[#This Row],[DEVELOPMENT]],Data[],MATCH(Table3[[#This Row],[WORK TYPE]],Data[#Headers],0),FALSE)</f>
        <v>#N/A</v>
      </c>
      <c r="K28" s="1"/>
    </row>
    <row r="29" spans="1:11" x14ac:dyDescent="0.25">
      <c r="A29" s="1" t="str">
        <f>VLOOKUP(C29,Data[],2,FALSE)</f>
        <v>QUEENS</v>
      </c>
      <c r="B29" s="1"/>
      <c r="C29" s="1" t="s">
        <v>134</v>
      </c>
      <c r="D29" s="1" t="s">
        <v>397</v>
      </c>
      <c r="E29" s="1"/>
      <c r="F29" s="1"/>
      <c r="G29" s="1"/>
      <c r="H29" s="1"/>
      <c r="I29" s="3"/>
      <c r="J29" s="3" t="e">
        <f>INDEX(UnitCosts[],MATCH(Table3[[#This Row],[WORK TYPE]],UnitCosts[Work Type],0),2)*VLOOKUP(Table3[[#This Row],[DEVELOPMENT]],Data[],MATCH(Table3[[#This Row],[WORK TYPE]],Data[#Headers],0),FALSE)</f>
        <v>#N/A</v>
      </c>
      <c r="K29" s="1"/>
    </row>
    <row r="30" spans="1:11" x14ac:dyDescent="0.25">
      <c r="A30" s="1" t="str">
        <f>VLOOKUP(C30,Data[],2,FALSE)</f>
        <v>QUEENS</v>
      </c>
      <c r="B30" s="1"/>
      <c r="C30" s="1" t="s">
        <v>135</v>
      </c>
      <c r="D30" s="1" t="s">
        <v>397</v>
      </c>
      <c r="E30" s="1"/>
      <c r="F30" s="1"/>
      <c r="G30" s="1"/>
      <c r="H30" s="1"/>
      <c r="I30" s="3"/>
      <c r="J30" s="3" t="e">
        <f>INDEX(UnitCosts[],MATCH(Table3[[#This Row],[WORK TYPE]],UnitCosts[Work Type],0),2)*VLOOKUP(Table3[[#This Row],[DEVELOPMENT]],Data[],MATCH(Table3[[#This Row],[WORK TYPE]],Data[#Headers],0),FALSE)</f>
        <v>#N/A</v>
      </c>
      <c r="K30" s="1"/>
    </row>
    <row r="31" spans="1:11" x14ac:dyDescent="0.25">
      <c r="A31" s="1" t="str">
        <f>VLOOKUP(C31,Data[],2,FALSE)</f>
        <v>BRONX</v>
      </c>
      <c r="B31" s="1"/>
      <c r="C31" s="1" t="s">
        <v>96</v>
      </c>
      <c r="D31" s="1" t="s">
        <v>397</v>
      </c>
      <c r="E31" s="1"/>
      <c r="F31" s="1"/>
      <c r="G31" s="1"/>
      <c r="H31" s="1"/>
      <c r="I31" s="3"/>
      <c r="J31" s="3" t="e">
        <f>INDEX(UnitCosts[],MATCH(Table3[[#This Row],[WORK TYPE]],UnitCosts[Work Type],0),2)*VLOOKUP(Table3[[#This Row],[DEVELOPMENT]],Data[],MATCH(Table3[[#This Row],[WORK TYPE]],Data[#Headers],0),FALSE)</f>
        <v>#N/A</v>
      </c>
      <c r="K31" s="1"/>
    </row>
    <row r="32" spans="1:11" x14ac:dyDescent="0.25">
      <c r="A32" s="1" t="str">
        <f>VLOOKUP(C32,Data[],2,FALSE)</f>
        <v>BRONX</v>
      </c>
      <c r="B32" s="1"/>
      <c r="C32" s="1" t="s">
        <v>123</v>
      </c>
      <c r="D32" s="1" t="s">
        <v>397</v>
      </c>
      <c r="E32" s="1"/>
      <c r="F32" s="1"/>
      <c r="G32" s="1"/>
      <c r="H32" s="1"/>
      <c r="I32" s="3"/>
      <c r="J32" s="3" t="e">
        <f>INDEX(UnitCosts[],MATCH(Table3[[#This Row],[WORK TYPE]],UnitCosts[Work Type],0),2)*VLOOKUP(Table3[[#This Row],[DEVELOPMENT]],Data[],MATCH(Table3[[#This Row],[WORK TYPE]],Data[#Headers],0),FALSE)</f>
        <v>#N/A</v>
      </c>
      <c r="K32" s="1"/>
    </row>
    <row r="33" spans="1:14" x14ac:dyDescent="0.25">
      <c r="A33" s="1" t="str">
        <f>VLOOKUP(C33,Data[],2,FALSE)</f>
        <v>BRONX</v>
      </c>
      <c r="B33" s="1"/>
      <c r="C33" s="1" t="s">
        <v>97</v>
      </c>
      <c r="D33" s="1" t="s">
        <v>397</v>
      </c>
      <c r="E33" s="1"/>
      <c r="F33" s="1"/>
      <c r="G33" s="1"/>
      <c r="H33" s="1"/>
      <c r="I33" s="3"/>
      <c r="J33" s="3" t="e">
        <f>INDEX(UnitCosts[],MATCH(Table3[[#This Row],[WORK TYPE]],UnitCosts[Work Type],0),2)*VLOOKUP(Table3[[#This Row],[DEVELOPMENT]],Data[],MATCH(Table3[[#This Row],[WORK TYPE]],Data[#Headers],0),FALSE)</f>
        <v>#N/A</v>
      </c>
      <c r="K33" s="1"/>
    </row>
    <row r="34" spans="1:14" x14ac:dyDescent="0.25">
      <c r="A34" s="1" t="str">
        <f>VLOOKUP(C34,Data[],2,FALSE)</f>
        <v>BRONX</v>
      </c>
      <c r="B34" s="1"/>
      <c r="C34" s="1" t="s">
        <v>98</v>
      </c>
      <c r="D34" s="1" t="s">
        <v>397</v>
      </c>
      <c r="E34" s="1"/>
      <c r="F34" s="1"/>
      <c r="G34" s="1"/>
      <c r="H34" s="1"/>
      <c r="I34" s="3"/>
      <c r="J34" s="3" t="e">
        <f>INDEX(UnitCosts[],MATCH(Table3[[#This Row],[WORK TYPE]],UnitCosts[Work Type],0),2)*VLOOKUP(Table3[[#This Row],[DEVELOPMENT]],Data[],MATCH(Table3[[#This Row],[WORK TYPE]],Data[#Headers],0),FALSE)</f>
        <v>#N/A</v>
      </c>
      <c r="K34" s="1"/>
    </row>
    <row r="35" spans="1:14" x14ac:dyDescent="0.25">
      <c r="A35" s="1" t="str">
        <f>VLOOKUP(C35,Data[],2,FALSE)</f>
        <v>BRONX</v>
      </c>
      <c r="B35" s="1"/>
      <c r="C35" s="1" t="s">
        <v>99</v>
      </c>
      <c r="D35" s="1" t="s">
        <v>397</v>
      </c>
      <c r="E35" s="1"/>
      <c r="F35" s="1"/>
      <c r="G35" s="1"/>
      <c r="H35" s="1"/>
      <c r="I35" s="3"/>
      <c r="J35" s="3" t="e">
        <f>INDEX(UnitCosts[],MATCH(Table3[[#This Row],[WORK TYPE]],UnitCosts[Work Type],0),2)*VLOOKUP(Table3[[#This Row],[DEVELOPMENT]],Data[],MATCH(Table3[[#This Row],[WORK TYPE]],Data[#Headers],0),FALSE)</f>
        <v>#N/A</v>
      </c>
      <c r="K35" s="1"/>
    </row>
    <row r="36" spans="1:14" x14ac:dyDescent="0.25">
      <c r="A36" s="1" t="str">
        <f>VLOOKUP(C36,Data[],2,FALSE)</f>
        <v>MANHATTAN</v>
      </c>
      <c r="B36" s="1"/>
      <c r="C36" s="1" t="s">
        <v>101</v>
      </c>
      <c r="D36" s="1" t="s">
        <v>397</v>
      </c>
      <c r="E36" s="1"/>
      <c r="F36" s="1"/>
      <c r="G36" s="1"/>
      <c r="H36" s="1"/>
      <c r="I36" s="3"/>
      <c r="J36" s="3" t="e">
        <f>INDEX(UnitCosts[],MATCH(Table3[[#This Row],[WORK TYPE]],UnitCosts[Work Type],0),2)*VLOOKUP(Table3[[#This Row],[DEVELOPMENT]],Data[],MATCH(Table3[[#This Row],[WORK TYPE]],Data[#Headers],0),FALSE)</f>
        <v>#N/A</v>
      </c>
      <c r="K36" s="1"/>
    </row>
    <row r="37" spans="1:14" x14ac:dyDescent="0.25">
      <c r="A37" s="1" t="str">
        <f>VLOOKUP(C37,Data[],2,FALSE)</f>
        <v>MANHATTAN</v>
      </c>
      <c r="B37" s="1"/>
      <c r="C37" s="41" t="s">
        <v>146</v>
      </c>
      <c r="D37" s="9" t="s">
        <v>398</v>
      </c>
      <c r="E37" s="9" t="s">
        <v>27</v>
      </c>
      <c r="F37" s="1"/>
      <c r="G37" s="1"/>
      <c r="H37" s="1"/>
      <c r="I37" s="3"/>
      <c r="J37" s="3">
        <f>INDEX(UnitCosts[],MATCH(Table3[[#This Row],[WORK TYPE]],UnitCosts[Work Type],0),2)*VLOOKUP(Table3[[#This Row],[DEVELOPMENT]],Data[],MATCH(Table3[[#This Row],[WORK TYPE]],Data[#Headers],0),FALSE)</f>
        <v>0</v>
      </c>
      <c r="K37" s="1"/>
      <c r="M37" s="44"/>
      <c r="N37" s="45"/>
    </row>
    <row r="38" spans="1:14" x14ac:dyDescent="0.25">
      <c r="A38" s="1" t="str">
        <f>VLOOKUP(C38,Data[],2,FALSE)</f>
        <v>MANHATTAN</v>
      </c>
      <c r="B38" s="1"/>
      <c r="C38" s="1" t="s">
        <v>129</v>
      </c>
      <c r="D38" s="9" t="s">
        <v>398</v>
      </c>
      <c r="E38" s="9" t="s">
        <v>27</v>
      </c>
      <c r="F38" s="1"/>
      <c r="G38" s="1"/>
      <c r="H38" s="1"/>
      <c r="I38" s="3"/>
      <c r="J38" s="3">
        <f>INDEX(UnitCosts[],MATCH(Table3[[#This Row],[WORK TYPE]],UnitCosts[Work Type],0),2)*VLOOKUP(Table3[[#This Row],[DEVELOPMENT]],Data[],MATCH(Table3[[#This Row],[WORK TYPE]],Data[#Headers],0),FALSE)</f>
        <v>0</v>
      </c>
      <c r="K38" s="1"/>
      <c r="M38" s="44"/>
      <c r="N38" s="45"/>
    </row>
    <row r="39" spans="1:14" x14ac:dyDescent="0.25">
      <c r="A39" s="1" t="str">
        <f>VLOOKUP(C39,Data[],2,FALSE)</f>
        <v>MANHATTAN</v>
      </c>
      <c r="B39" s="1"/>
      <c r="C39" s="1" t="s">
        <v>131</v>
      </c>
      <c r="D39" s="9" t="s">
        <v>398</v>
      </c>
      <c r="E39" s="9" t="s">
        <v>27</v>
      </c>
      <c r="F39" s="1"/>
      <c r="G39" s="1"/>
      <c r="H39" s="1"/>
      <c r="I39" s="3"/>
      <c r="J39" s="3">
        <f>INDEX(UnitCosts[],MATCH(Table3[[#This Row],[WORK TYPE]],UnitCosts[Work Type],0),2)*VLOOKUP(Table3[[#This Row],[DEVELOPMENT]],Data[],MATCH(Table3[[#This Row],[WORK TYPE]],Data[#Headers],0),FALSE)</f>
        <v>0</v>
      </c>
      <c r="K39" s="1"/>
      <c r="M39" s="44"/>
      <c r="N39" s="45"/>
    </row>
    <row r="40" spans="1:14" x14ac:dyDescent="0.25">
      <c r="A40" s="1" t="str">
        <f>VLOOKUP(C40,Data[],2,FALSE)</f>
        <v>MANHATTAN</v>
      </c>
      <c r="B40" s="1"/>
      <c r="C40" s="1" t="s">
        <v>133</v>
      </c>
      <c r="D40" s="9" t="s">
        <v>398</v>
      </c>
      <c r="E40" s="9" t="s">
        <v>27</v>
      </c>
      <c r="F40" s="1"/>
      <c r="G40" s="1"/>
      <c r="H40" s="1"/>
      <c r="I40" s="3"/>
      <c r="J40" s="3">
        <f>INDEX(UnitCosts[],MATCH(Table3[[#This Row],[WORK TYPE]],UnitCosts[Work Type],0),2)*VLOOKUP(Table3[[#This Row],[DEVELOPMENT]],Data[],MATCH(Table3[[#This Row],[WORK TYPE]],Data[#Headers],0),FALSE)</f>
        <v>0</v>
      </c>
      <c r="K40" s="1"/>
      <c r="M40" s="44"/>
      <c r="N40" s="45"/>
    </row>
    <row r="41" spans="1:14" x14ac:dyDescent="0.25">
      <c r="A41" s="1" t="str">
        <f>VLOOKUP(C41,Data[],2,FALSE)</f>
        <v>MANHATTAN</v>
      </c>
      <c r="B41" s="1"/>
      <c r="C41" s="1" t="s">
        <v>137</v>
      </c>
      <c r="D41" s="9" t="s">
        <v>398</v>
      </c>
      <c r="E41" s="9" t="s">
        <v>27</v>
      </c>
      <c r="F41" s="1"/>
      <c r="G41" s="1"/>
      <c r="H41" s="1"/>
      <c r="I41" s="3"/>
      <c r="J41" s="3">
        <f>INDEX(UnitCosts[],MATCH(Table3[[#This Row],[WORK TYPE]],UnitCosts[Work Type],0),2)*VLOOKUP(Table3[[#This Row],[DEVELOPMENT]],Data[],MATCH(Table3[[#This Row],[WORK TYPE]],Data[#Headers],0),FALSE)</f>
        <v>0</v>
      </c>
      <c r="K41" s="1"/>
      <c r="M41" s="44"/>
      <c r="N41" s="45"/>
    </row>
    <row r="42" spans="1:14" x14ac:dyDescent="0.25">
      <c r="A42" s="1" t="str">
        <f>VLOOKUP(C42,Data[],2,FALSE)</f>
        <v>MANHATTAN</v>
      </c>
      <c r="B42" s="1"/>
      <c r="C42" s="1" t="s">
        <v>125</v>
      </c>
      <c r="D42" s="9" t="s">
        <v>398</v>
      </c>
      <c r="E42" s="9" t="s">
        <v>27</v>
      </c>
      <c r="F42" s="1"/>
      <c r="G42" s="1"/>
      <c r="H42" s="1"/>
      <c r="I42" s="3"/>
      <c r="J42" s="3">
        <f>INDEX(UnitCosts[],MATCH(Table3[[#This Row],[WORK TYPE]],UnitCosts[Work Type],0),2)*VLOOKUP(Table3[[#This Row],[DEVELOPMENT]],Data[],MATCH(Table3[[#This Row],[WORK TYPE]],Data[#Headers],0),FALSE)</f>
        <v>0</v>
      </c>
      <c r="K42" s="1"/>
      <c r="M42" s="44"/>
      <c r="N42" s="45"/>
    </row>
    <row r="43" spans="1:14" x14ac:dyDescent="0.25">
      <c r="A43" s="1" t="str">
        <f>VLOOKUP(C43,Data[],2,FALSE)</f>
        <v>MANHATTAN</v>
      </c>
      <c r="B43" s="1"/>
      <c r="C43" s="1" t="s">
        <v>126</v>
      </c>
      <c r="D43" s="9" t="s">
        <v>398</v>
      </c>
      <c r="E43" s="9" t="s">
        <v>27</v>
      </c>
      <c r="F43" s="1"/>
      <c r="G43" s="1"/>
      <c r="H43" s="1"/>
      <c r="I43" s="3"/>
      <c r="J43" s="3">
        <f>INDEX(UnitCosts[],MATCH(Table3[[#This Row],[WORK TYPE]],UnitCosts[Work Type],0),2)*VLOOKUP(Table3[[#This Row],[DEVELOPMENT]],Data[],MATCH(Table3[[#This Row],[WORK TYPE]],Data[#Headers],0),FALSE)</f>
        <v>0</v>
      </c>
      <c r="K43" s="1"/>
      <c r="M43" s="44"/>
      <c r="N43" s="45"/>
    </row>
    <row r="44" spans="1:14" x14ac:dyDescent="0.25">
      <c r="A44" s="1" t="str">
        <f>VLOOKUP(C44,Data[],2,FALSE)</f>
        <v>MANHATTAN</v>
      </c>
      <c r="B44" s="1"/>
      <c r="C44" s="1" t="s">
        <v>100</v>
      </c>
      <c r="D44" s="9" t="s">
        <v>398</v>
      </c>
      <c r="E44" s="9" t="s">
        <v>27</v>
      </c>
      <c r="F44" s="1"/>
      <c r="G44" s="1"/>
      <c r="H44" s="1"/>
      <c r="I44" s="3"/>
      <c r="J44" s="3">
        <f>INDEX(UnitCosts[],MATCH(Table3[[#This Row],[WORK TYPE]],UnitCosts[Work Type],0),2)*VLOOKUP(Table3[[#This Row],[DEVELOPMENT]],Data[],MATCH(Table3[[#This Row],[WORK TYPE]],Data[#Headers],0),FALSE)</f>
        <v>0</v>
      </c>
      <c r="K44" s="1"/>
      <c r="M44" s="44"/>
      <c r="N44" s="45"/>
    </row>
    <row r="45" spans="1:14" x14ac:dyDescent="0.25">
      <c r="A45" s="1" t="str">
        <f>VLOOKUP(C45,Data[],2,FALSE)</f>
        <v>MANHATTAN</v>
      </c>
      <c r="B45" s="1"/>
      <c r="C45" s="1" t="s">
        <v>116</v>
      </c>
      <c r="D45" s="9" t="s">
        <v>398</v>
      </c>
      <c r="E45" s="9" t="s">
        <v>27</v>
      </c>
      <c r="F45" s="1"/>
      <c r="G45" s="1"/>
      <c r="H45" s="1"/>
      <c r="I45" s="3"/>
      <c r="J45" s="3">
        <f>INDEX(UnitCosts[],MATCH(Table3[[#This Row],[WORK TYPE]],UnitCosts[Work Type],0),2)*VLOOKUP(Table3[[#This Row],[DEVELOPMENT]],Data[],MATCH(Table3[[#This Row],[WORK TYPE]],Data[#Headers],0),FALSE)</f>
        <v>0</v>
      </c>
      <c r="K45" s="1"/>
      <c r="M45" s="44"/>
      <c r="N45" s="45"/>
    </row>
    <row r="46" spans="1:14" x14ac:dyDescent="0.25">
      <c r="A46" s="1" t="str">
        <f>VLOOKUP(C46,Data[],2,FALSE)</f>
        <v>MANHATTAN</v>
      </c>
      <c r="B46" s="1"/>
      <c r="C46" s="1" t="s">
        <v>127</v>
      </c>
      <c r="D46" s="9" t="s">
        <v>398</v>
      </c>
      <c r="E46" s="9" t="s">
        <v>27</v>
      </c>
      <c r="F46" s="1"/>
      <c r="G46" s="1"/>
      <c r="H46" s="1"/>
      <c r="I46" s="3"/>
      <c r="J46" s="3">
        <f>INDEX(UnitCosts[],MATCH(Table3[[#This Row],[WORK TYPE]],UnitCosts[Work Type],0),2)*VLOOKUP(Table3[[#This Row],[DEVELOPMENT]],Data[],MATCH(Table3[[#This Row],[WORK TYPE]],Data[#Headers],0),FALSE)</f>
        <v>0</v>
      </c>
      <c r="K46" s="1"/>
      <c r="M46" s="44"/>
      <c r="N46" s="45"/>
    </row>
    <row r="47" spans="1:14" x14ac:dyDescent="0.25">
      <c r="A47" s="1" t="str">
        <f>VLOOKUP(C47,Data[],2,FALSE)</f>
        <v>MANHATTAN</v>
      </c>
      <c r="B47" s="1"/>
      <c r="C47" s="1" t="s">
        <v>122</v>
      </c>
      <c r="D47" s="9" t="s">
        <v>398</v>
      </c>
      <c r="E47" s="9" t="s">
        <v>27</v>
      </c>
      <c r="F47" s="1"/>
      <c r="G47" s="1"/>
      <c r="H47" s="1"/>
      <c r="I47" s="3"/>
      <c r="J47" s="3">
        <f>INDEX(UnitCosts[],MATCH(Table3[[#This Row],[WORK TYPE]],UnitCosts[Work Type],0),2)*VLOOKUP(Table3[[#This Row],[DEVELOPMENT]],Data[],MATCH(Table3[[#This Row],[WORK TYPE]],Data[#Headers],0),FALSE)</f>
        <v>0</v>
      </c>
      <c r="K47" s="1"/>
      <c r="M47" s="44"/>
      <c r="N47" s="45"/>
    </row>
    <row r="48" spans="1:14" x14ac:dyDescent="0.25">
      <c r="A48" s="1" t="str">
        <f>VLOOKUP(C48,Data[],2,FALSE)</f>
        <v>MANHATTAN</v>
      </c>
      <c r="B48" s="1"/>
      <c r="C48" s="1" t="s">
        <v>120</v>
      </c>
      <c r="D48" s="9" t="s">
        <v>398</v>
      </c>
      <c r="E48" s="9" t="s">
        <v>27</v>
      </c>
      <c r="F48" s="1"/>
      <c r="G48" s="1"/>
      <c r="H48" s="1"/>
      <c r="I48" s="3"/>
      <c r="J48" s="3">
        <f>INDEX(UnitCosts[],MATCH(Table3[[#This Row],[WORK TYPE]],UnitCosts[Work Type],0),2)*VLOOKUP(Table3[[#This Row],[DEVELOPMENT]],Data[],MATCH(Table3[[#This Row],[WORK TYPE]],Data[#Headers],0),FALSE)</f>
        <v>0</v>
      </c>
      <c r="K48" s="1"/>
      <c r="M48" s="44"/>
      <c r="N48" s="45"/>
    </row>
    <row r="49" spans="1:14" x14ac:dyDescent="0.25">
      <c r="A49" s="1" t="str">
        <f>VLOOKUP(C49,Data[],2,FALSE)</f>
        <v>MANHATTAN</v>
      </c>
      <c r="B49" s="1"/>
      <c r="C49" s="1" t="s">
        <v>113</v>
      </c>
      <c r="D49" s="9" t="s">
        <v>398</v>
      </c>
      <c r="E49" s="9" t="s">
        <v>27</v>
      </c>
      <c r="F49" s="1"/>
      <c r="G49" s="1"/>
      <c r="H49" s="1"/>
      <c r="I49" s="3"/>
      <c r="J49" s="3">
        <f>INDEX(UnitCosts[],MATCH(Table3[[#This Row],[WORK TYPE]],UnitCosts[Work Type],0),2)*VLOOKUP(Table3[[#This Row],[DEVELOPMENT]],Data[],MATCH(Table3[[#This Row],[WORK TYPE]],Data[#Headers],0),FALSE)</f>
        <v>0</v>
      </c>
      <c r="K49" s="1"/>
      <c r="M49" s="44"/>
      <c r="N49" s="45"/>
    </row>
    <row r="50" spans="1:14" x14ac:dyDescent="0.25">
      <c r="A50" s="1" t="str">
        <f>VLOOKUP(C50,Data[],2,FALSE)</f>
        <v>MANHATTAN</v>
      </c>
      <c r="B50" s="1"/>
      <c r="C50" s="1" t="s">
        <v>115</v>
      </c>
      <c r="D50" s="9" t="s">
        <v>398</v>
      </c>
      <c r="E50" s="9" t="s">
        <v>27</v>
      </c>
      <c r="F50" s="1"/>
      <c r="G50" s="1"/>
      <c r="H50" s="1"/>
      <c r="I50" s="3"/>
      <c r="J50" s="3">
        <f>INDEX(UnitCosts[],MATCH(Table3[[#This Row],[WORK TYPE]],UnitCosts[Work Type],0),2)*VLOOKUP(Table3[[#This Row],[DEVELOPMENT]],Data[],MATCH(Table3[[#This Row],[WORK TYPE]],Data[#Headers],0),FALSE)</f>
        <v>0</v>
      </c>
      <c r="K50" s="1"/>
      <c r="M50" s="44"/>
      <c r="N50" s="45"/>
    </row>
    <row r="51" spans="1:14" x14ac:dyDescent="0.25">
      <c r="A51" s="1" t="str">
        <f>VLOOKUP(C51,Data[],2,FALSE)</f>
        <v>MANHATTAN</v>
      </c>
      <c r="B51" s="1"/>
      <c r="C51" s="1" t="s">
        <v>112</v>
      </c>
      <c r="D51" s="9" t="s">
        <v>398</v>
      </c>
      <c r="E51" s="9" t="s">
        <v>27</v>
      </c>
      <c r="F51" s="1"/>
      <c r="G51" s="1"/>
      <c r="H51" s="1"/>
      <c r="I51" s="3"/>
      <c r="J51" s="3">
        <f>INDEX(UnitCosts[],MATCH(Table3[[#This Row],[WORK TYPE]],UnitCosts[Work Type],0),2)*VLOOKUP(Table3[[#This Row],[DEVELOPMENT]],Data[],MATCH(Table3[[#This Row],[WORK TYPE]],Data[#Headers],0),FALSE)</f>
        <v>0</v>
      </c>
      <c r="K51" s="1"/>
      <c r="M51" s="44"/>
      <c r="N51" s="45"/>
    </row>
    <row r="52" spans="1:14" x14ac:dyDescent="0.25">
      <c r="A52" s="1" t="str">
        <f>VLOOKUP(C52,Data[],2,FALSE)</f>
        <v>MANHATTAN</v>
      </c>
      <c r="B52" s="1"/>
      <c r="C52" s="1" t="s">
        <v>77</v>
      </c>
      <c r="D52" s="9" t="s">
        <v>398</v>
      </c>
      <c r="E52" s="9" t="s">
        <v>27</v>
      </c>
      <c r="F52" s="1"/>
      <c r="G52" s="1"/>
      <c r="H52" s="1"/>
      <c r="I52" s="3"/>
      <c r="J52" s="3">
        <f>INDEX(UnitCosts[],MATCH(Table3[[#This Row],[WORK TYPE]],UnitCosts[Work Type],0),2)*VLOOKUP(Table3[[#This Row],[DEVELOPMENT]],Data[],MATCH(Table3[[#This Row],[WORK TYPE]],Data[#Headers],0),FALSE)</f>
        <v>0</v>
      </c>
      <c r="K52" s="1"/>
      <c r="M52" s="44"/>
      <c r="N52" s="45"/>
    </row>
    <row r="53" spans="1:14" x14ac:dyDescent="0.25">
      <c r="A53" s="1" t="str">
        <f>VLOOKUP(C53,Data[],2,FALSE)</f>
        <v>MANHATTAN</v>
      </c>
      <c r="B53" s="1"/>
      <c r="C53" s="1" t="s">
        <v>83</v>
      </c>
      <c r="D53" s="9" t="s">
        <v>398</v>
      </c>
      <c r="E53" s="9" t="s">
        <v>27</v>
      </c>
      <c r="F53" s="1"/>
      <c r="G53" s="1"/>
      <c r="H53" s="1"/>
      <c r="I53" s="3"/>
      <c r="J53" s="3">
        <f>INDEX(UnitCosts[],MATCH(Table3[[#This Row],[WORK TYPE]],UnitCosts[Work Type],0),2)*VLOOKUP(Table3[[#This Row],[DEVELOPMENT]],Data[],MATCH(Table3[[#This Row],[WORK TYPE]],Data[#Headers],0),FALSE)</f>
        <v>0</v>
      </c>
      <c r="K53" s="1"/>
      <c r="M53" s="44"/>
      <c r="N53" s="45"/>
    </row>
    <row r="54" spans="1:14" x14ac:dyDescent="0.25">
      <c r="A54" s="1" t="str">
        <f>VLOOKUP(C54,Data[],2,FALSE)</f>
        <v>MANHATTAN</v>
      </c>
      <c r="B54" s="1"/>
      <c r="C54" s="1" t="s">
        <v>136</v>
      </c>
      <c r="D54" s="9" t="s">
        <v>398</v>
      </c>
      <c r="E54" s="9" t="s">
        <v>27</v>
      </c>
      <c r="F54" s="1"/>
      <c r="G54" s="1"/>
      <c r="H54" s="1"/>
      <c r="I54" s="3"/>
      <c r="J54" s="3">
        <f>INDEX(UnitCosts[],MATCH(Table3[[#This Row],[WORK TYPE]],UnitCosts[Work Type],0),2)*VLOOKUP(Table3[[#This Row],[DEVELOPMENT]],Data[],MATCH(Table3[[#This Row],[WORK TYPE]],Data[#Headers],0),FALSE)</f>
        <v>0</v>
      </c>
      <c r="K54" s="1"/>
      <c r="M54" s="44"/>
      <c r="N54" s="45"/>
    </row>
    <row r="55" spans="1:14" x14ac:dyDescent="0.25">
      <c r="A55" s="1" t="str">
        <f>VLOOKUP(C55,Data[],2,FALSE)</f>
        <v>MANHATTAN</v>
      </c>
      <c r="B55" s="1"/>
      <c r="C55" s="1" t="s">
        <v>78</v>
      </c>
      <c r="D55" s="9" t="s">
        <v>398</v>
      </c>
      <c r="E55" s="9" t="s">
        <v>27</v>
      </c>
      <c r="F55" s="1"/>
      <c r="G55" s="1"/>
      <c r="H55" s="1"/>
      <c r="I55" s="3"/>
      <c r="J55" s="3">
        <f>INDEX(UnitCosts[],MATCH(Table3[[#This Row],[WORK TYPE]],UnitCosts[Work Type],0),2)*VLOOKUP(Table3[[#This Row],[DEVELOPMENT]],Data[],MATCH(Table3[[#This Row],[WORK TYPE]],Data[#Headers],0),FALSE)</f>
        <v>0</v>
      </c>
      <c r="K55" s="1"/>
      <c r="M55" s="44"/>
      <c r="N55" s="45"/>
    </row>
    <row r="56" spans="1:14" x14ac:dyDescent="0.25">
      <c r="A56" s="1" t="str">
        <f>VLOOKUP(C56,Data[],2,FALSE)</f>
        <v>MANHATTAN</v>
      </c>
      <c r="B56" s="1"/>
      <c r="C56" s="1" t="s">
        <v>128</v>
      </c>
      <c r="D56" s="9" t="s">
        <v>398</v>
      </c>
      <c r="E56" s="9" t="s">
        <v>27</v>
      </c>
      <c r="F56" s="1"/>
      <c r="G56" s="1"/>
      <c r="H56" s="1"/>
      <c r="I56" s="3"/>
      <c r="J56" s="3">
        <f>INDEX(UnitCosts[],MATCH(Table3[[#This Row],[WORK TYPE]],UnitCosts[Work Type],0),2)*VLOOKUP(Table3[[#This Row],[DEVELOPMENT]],Data[],MATCH(Table3[[#This Row],[WORK TYPE]],Data[#Headers],0),FALSE)</f>
        <v>0</v>
      </c>
      <c r="K56" s="1"/>
      <c r="M56" s="44"/>
      <c r="N56" s="45"/>
    </row>
    <row r="57" spans="1:14" x14ac:dyDescent="0.25">
      <c r="A57" s="1" t="str">
        <f>VLOOKUP(C57,Data[],2,FALSE)</f>
        <v>MANHATTAN</v>
      </c>
      <c r="B57" s="1"/>
      <c r="C57" s="1" t="s">
        <v>95</v>
      </c>
      <c r="D57" s="9" t="s">
        <v>398</v>
      </c>
      <c r="E57" s="9" t="s">
        <v>27</v>
      </c>
      <c r="F57" s="1"/>
      <c r="G57" s="1"/>
      <c r="H57" s="1"/>
      <c r="I57" s="3"/>
      <c r="J57" s="3">
        <f>INDEX(UnitCosts[],MATCH(Table3[[#This Row],[WORK TYPE]],UnitCosts[Work Type],0),2)*VLOOKUP(Table3[[#This Row],[DEVELOPMENT]],Data[],MATCH(Table3[[#This Row],[WORK TYPE]],Data[#Headers],0),FALSE)</f>
        <v>0</v>
      </c>
      <c r="K57" s="1"/>
      <c r="M57" s="44"/>
      <c r="N57" s="45"/>
    </row>
    <row r="58" spans="1:14" x14ac:dyDescent="0.25">
      <c r="A58" s="1" t="str">
        <f>VLOOKUP(C58,Data[],2,FALSE)</f>
        <v>MANHATTAN</v>
      </c>
      <c r="B58" s="1"/>
      <c r="C58" s="1" t="s">
        <v>90</v>
      </c>
      <c r="D58" s="9" t="s">
        <v>398</v>
      </c>
      <c r="E58" s="9" t="s">
        <v>27</v>
      </c>
      <c r="F58" s="1"/>
      <c r="G58" s="1"/>
      <c r="H58" s="1"/>
      <c r="I58" s="3"/>
      <c r="J58" s="3">
        <f>INDEX(UnitCosts[],MATCH(Table3[[#This Row],[WORK TYPE]],UnitCosts[Work Type],0),2)*VLOOKUP(Table3[[#This Row],[DEVELOPMENT]],Data[],MATCH(Table3[[#This Row],[WORK TYPE]],Data[#Headers],0),FALSE)</f>
        <v>0</v>
      </c>
      <c r="K58" s="1"/>
      <c r="M58" s="44"/>
      <c r="N58" s="45"/>
    </row>
    <row r="59" spans="1:14" x14ac:dyDescent="0.25">
      <c r="A59" s="1" t="str">
        <f>VLOOKUP(C59,Data[],2,FALSE)</f>
        <v>MANHATTAN</v>
      </c>
      <c r="B59" s="1"/>
      <c r="C59" s="1" t="s">
        <v>81</v>
      </c>
      <c r="D59" s="9" t="s">
        <v>398</v>
      </c>
      <c r="E59" s="9" t="s">
        <v>27</v>
      </c>
      <c r="F59" s="1"/>
      <c r="G59" s="1"/>
      <c r="H59" s="1"/>
      <c r="I59" s="3"/>
      <c r="J59" s="3">
        <f>INDEX(UnitCosts[],MATCH(Table3[[#This Row],[WORK TYPE]],UnitCosts[Work Type],0),2)*VLOOKUP(Table3[[#This Row],[DEVELOPMENT]],Data[],MATCH(Table3[[#This Row],[WORK TYPE]],Data[#Headers],0),FALSE)</f>
        <v>0</v>
      </c>
      <c r="K59" s="1"/>
      <c r="M59" s="44"/>
      <c r="N59" s="45"/>
    </row>
    <row r="60" spans="1:14" x14ac:dyDescent="0.25">
      <c r="A60" s="1" t="str">
        <f>VLOOKUP(C60,Data[],2,FALSE)</f>
        <v>MANHATTAN</v>
      </c>
      <c r="B60" s="1"/>
      <c r="C60" s="1" t="s">
        <v>74</v>
      </c>
      <c r="D60" s="9" t="s">
        <v>398</v>
      </c>
      <c r="E60" s="9" t="s">
        <v>27</v>
      </c>
      <c r="F60" s="1"/>
      <c r="G60" s="1"/>
      <c r="H60" s="1"/>
      <c r="I60" s="3"/>
      <c r="J60" s="3">
        <f>INDEX(UnitCosts[],MATCH(Table3[[#This Row],[WORK TYPE]],UnitCosts[Work Type],0),2)*VLOOKUP(Table3[[#This Row],[DEVELOPMENT]],Data[],MATCH(Table3[[#This Row],[WORK TYPE]],Data[#Headers],0),FALSE)</f>
        <v>0</v>
      </c>
      <c r="K60" s="1"/>
      <c r="M60" s="44"/>
      <c r="N60" s="45"/>
    </row>
    <row r="61" spans="1:14" x14ac:dyDescent="0.25">
      <c r="A61" s="1" t="str">
        <f>VLOOKUP(C61,Data[],2,FALSE)</f>
        <v>MANHATTAN</v>
      </c>
      <c r="B61" s="1"/>
      <c r="C61" s="1" t="s">
        <v>67</v>
      </c>
      <c r="D61" s="9" t="s">
        <v>398</v>
      </c>
      <c r="E61" s="9" t="s">
        <v>27</v>
      </c>
      <c r="F61" s="1"/>
      <c r="G61" s="1"/>
      <c r="H61" s="1"/>
      <c r="I61" s="3"/>
      <c r="J61" s="3">
        <f>INDEX(UnitCosts[],MATCH(Table3[[#This Row],[WORK TYPE]],UnitCosts[Work Type],0),2)*VLOOKUP(Table3[[#This Row],[DEVELOPMENT]],Data[],MATCH(Table3[[#This Row],[WORK TYPE]],Data[#Headers],0),FALSE)</f>
        <v>0</v>
      </c>
      <c r="K61" s="1"/>
      <c r="M61" s="44"/>
      <c r="N61" s="45"/>
    </row>
    <row r="62" spans="1:14" x14ac:dyDescent="0.25">
      <c r="A62" s="1" t="str">
        <f>VLOOKUP(C62,Data[],2,FALSE)</f>
        <v>MANHATTAN</v>
      </c>
      <c r="B62" s="1"/>
      <c r="C62" s="1" t="s">
        <v>102</v>
      </c>
      <c r="D62" s="9" t="s">
        <v>398</v>
      </c>
      <c r="E62" s="9" t="s">
        <v>27</v>
      </c>
      <c r="F62" s="1"/>
      <c r="G62" s="1"/>
      <c r="H62" s="1"/>
      <c r="I62" s="3"/>
      <c r="J62" s="3">
        <f>INDEX(UnitCosts[],MATCH(Table3[[#This Row],[WORK TYPE]],UnitCosts[Work Type],0),2)*VLOOKUP(Table3[[#This Row],[DEVELOPMENT]],Data[],MATCH(Table3[[#This Row],[WORK TYPE]],Data[#Headers],0),FALSE)</f>
        <v>0</v>
      </c>
      <c r="K62" s="1"/>
      <c r="M62" s="44"/>
      <c r="N62" s="45"/>
    </row>
    <row r="63" spans="1:14" x14ac:dyDescent="0.25">
      <c r="A63" s="1" t="str">
        <f>VLOOKUP(C63,Data[],2,FALSE)</f>
        <v>MANHATTAN</v>
      </c>
      <c r="B63" s="1"/>
      <c r="C63" s="1" t="s">
        <v>107</v>
      </c>
      <c r="D63" s="9" t="s">
        <v>398</v>
      </c>
      <c r="E63" s="9" t="s">
        <v>27</v>
      </c>
      <c r="F63" s="1"/>
      <c r="G63" s="1"/>
      <c r="H63" s="1"/>
      <c r="I63" s="3"/>
      <c r="J63" s="3">
        <f>INDEX(UnitCosts[],MATCH(Table3[[#This Row],[WORK TYPE]],UnitCosts[Work Type],0),2)*VLOOKUP(Table3[[#This Row],[DEVELOPMENT]],Data[],MATCH(Table3[[#This Row],[WORK TYPE]],Data[#Headers],0),FALSE)</f>
        <v>0</v>
      </c>
      <c r="K63" s="1"/>
      <c r="M63" s="44"/>
      <c r="N63" s="45"/>
    </row>
    <row r="64" spans="1:14" x14ac:dyDescent="0.25">
      <c r="A64" s="1" t="str">
        <f>VLOOKUP(C64,Data[],2,FALSE)</f>
        <v>MANHATTAN</v>
      </c>
      <c r="B64" s="1"/>
      <c r="C64" s="1" t="s">
        <v>92</v>
      </c>
      <c r="D64" s="9" t="s">
        <v>398</v>
      </c>
      <c r="E64" s="9" t="s">
        <v>27</v>
      </c>
      <c r="F64" s="1"/>
      <c r="G64" s="1"/>
      <c r="H64" s="1"/>
      <c r="I64" s="3"/>
      <c r="J64" s="3">
        <f>INDEX(UnitCosts[],MATCH(Table3[[#This Row],[WORK TYPE]],UnitCosts[Work Type],0),2)*VLOOKUP(Table3[[#This Row],[DEVELOPMENT]],Data[],MATCH(Table3[[#This Row],[WORK TYPE]],Data[#Headers],0),FALSE)</f>
        <v>0</v>
      </c>
      <c r="K64" s="1"/>
      <c r="M64" s="44"/>
      <c r="N64" s="45"/>
    </row>
    <row r="65" spans="1:14" x14ac:dyDescent="0.25">
      <c r="A65" s="1" t="str">
        <f>VLOOKUP(C65,Data[],2,FALSE)</f>
        <v>MANHATTAN</v>
      </c>
      <c r="B65" s="1"/>
      <c r="C65" s="1" t="s">
        <v>129</v>
      </c>
      <c r="D65" s="9" t="s">
        <v>398</v>
      </c>
      <c r="E65" s="9" t="s">
        <v>52</v>
      </c>
      <c r="F65" s="55"/>
      <c r="G65" s="1"/>
      <c r="H65" s="1"/>
      <c r="I65" s="3"/>
      <c r="J65" s="3">
        <f>INDEX(UnitCosts[],MATCH(Table3[[#This Row],[WORK TYPE]],UnitCosts[Work Type],0),2)*VLOOKUP(Table3[[#This Row],[DEVELOPMENT]],Data[],MATCH(Table3[[#This Row],[WORK TYPE]],Data[#Headers],0),FALSE)</f>
        <v>38885.4</v>
      </c>
      <c r="K65" s="1"/>
      <c r="M65" s="44"/>
      <c r="N65" s="45"/>
    </row>
    <row r="66" spans="1:14" x14ac:dyDescent="0.25">
      <c r="A66" s="1" t="str">
        <f>VLOOKUP(C66,Data[],2,FALSE)</f>
        <v>MANHATTAN</v>
      </c>
      <c r="B66" s="1"/>
      <c r="C66" s="1" t="s">
        <v>131</v>
      </c>
      <c r="D66" s="9" t="s">
        <v>398</v>
      </c>
      <c r="E66" s="9" t="s">
        <v>52</v>
      </c>
      <c r="F66" s="55"/>
      <c r="G66" s="1"/>
      <c r="H66" s="1"/>
      <c r="I66" s="3"/>
      <c r="J66" s="3">
        <f>INDEX(UnitCosts[],MATCH(Table3[[#This Row],[WORK TYPE]],UnitCosts[Work Type],0),2)*VLOOKUP(Table3[[#This Row],[DEVELOPMENT]],Data[],MATCH(Table3[[#This Row],[WORK TYPE]],Data[#Headers],0),FALSE)</f>
        <v>38885.4</v>
      </c>
      <c r="K66" s="1"/>
    </row>
    <row r="67" spans="1:14" x14ac:dyDescent="0.25">
      <c r="A67" s="1" t="str">
        <f>VLOOKUP(C67,Data[],2,FALSE)</f>
        <v>MANHATTAN</v>
      </c>
      <c r="B67" s="1"/>
      <c r="C67" s="1" t="s">
        <v>133</v>
      </c>
      <c r="D67" s="9" t="s">
        <v>398</v>
      </c>
      <c r="E67" s="9" t="s">
        <v>52</v>
      </c>
      <c r="F67" s="55"/>
      <c r="G67" s="1"/>
      <c r="H67" s="1"/>
      <c r="I67" s="3"/>
      <c r="J67" s="3">
        <f>INDEX(UnitCosts[],MATCH(Table3[[#This Row],[WORK TYPE]],UnitCosts[Work Type],0),2)*VLOOKUP(Table3[[#This Row],[DEVELOPMENT]],Data[],MATCH(Table3[[#This Row],[WORK TYPE]],Data[#Headers],0),FALSE)</f>
        <v>38885.4</v>
      </c>
      <c r="K67" s="1"/>
    </row>
    <row r="68" spans="1:14" x14ac:dyDescent="0.25">
      <c r="A68" s="1" t="str">
        <f>VLOOKUP(C68,Data[],2,FALSE)</f>
        <v>MANHATTAN</v>
      </c>
      <c r="B68" s="1"/>
      <c r="C68" s="1" t="s">
        <v>127</v>
      </c>
      <c r="D68" s="9" t="s">
        <v>398</v>
      </c>
      <c r="E68" s="9" t="s">
        <v>52</v>
      </c>
      <c r="F68" s="55"/>
      <c r="G68" s="1"/>
      <c r="H68" s="1"/>
      <c r="I68" s="3"/>
      <c r="J68" s="3">
        <f>INDEX(UnitCosts[],MATCH(Table3[[#This Row],[WORK TYPE]],UnitCosts[Work Type],0),2)*VLOOKUP(Table3[[#This Row],[DEVELOPMENT]],Data[],MATCH(Table3[[#This Row],[WORK TYPE]],Data[#Headers],0),FALSE)</f>
        <v>38885.4</v>
      </c>
      <c r="K68" s="1"/>
    </row>
    <row r="69" spans="1:14" x14ac:dyDescent="0.25">
      <c r="A69" s="1" t="str">
        <f>VLOOKUP(C69,Data[],2,FALSE)</f>
        <v>MANHATTAN</v>
      </c>
      <c r="B69" s="1"/>
      <c r="C69" s="1" t="s">
        <v>122</v>
      </c>
      <c r="D69" s="9" t="s">
        <v>398</v>
      </c>
      <c r="E69" s="9" t="s">
        <v>52</v>
      </c>
      <c r="F69" s="55"/>
      <c r="G69" s="1"/>
      <c r="H69" s="1"/>
      <c r="I69" s="3"/>
      <c r="J69" s="3">
        <f>INDEX(UnitCosts[],MATCH(Table3[[#This Row],[WORK TYPE]],UnitCosts[Work Type],0),2)*VLOOKUP(Table3[[#This Row],[DEVELOPMENT]],Data[],MATCH(Table3[[#This Row],[WORK TYPE]],Data[#Headers],0),FALSE)</f>
        <v>38885.4</v>
      </c>
      <c r="K69" s="1"/>
    </row>
    <row r="70" spans="1:14" x14ac:dyDescent="0.25">
      <c r="A70" s="1" t="str">
        <f>VLOOKUP(C70,Data[],2,FALSE)</f>
        <v>MANHATTAN</v>
      </c>
      <c r="B70" s="1"/>
      <c r="C70" s="1" t="s">
        <v>120</v>
      </c>
      <c r="D70" s="9" t="s">
        <v>398</v>
      </c>
      <c r="E70" s="9" t="s">
        <v>52</v>
      </c>
      <c r="F70" s="55"/>
      <c r="G70" s="1"/>
      <c r="H70" s="1"/>
      <c r="I70" s="3"/>
      <c r="J70" s="3">
        <f>INDEX(UnitCosts[],MATCH(Table3[[#This Row],[WORK TYPE]],UnitCosts[Work Type],0),2)*VLOOKUP(Table3[[#This Row],[DEVELOPMENT]],Data[],MATCH(Table3[[#This Row],[WORK TYPE]],Data[#Headers],0),FALSE)</f>
        <v>38885.4</v>
      </c>
      <c r="K70" s="1"/>
    </row>
    <row r="71" spans="1:14" x14ac:dyDescent="0.25">
      <c r="A71" s="1" t="str">
        <f>VLOOKUP(C71,Data[],2,FALSE)</f>
        <v>MANHATTAN</v>
      </c>
      <c r="B71" s="1"/>
      <c r="C71" s="1" t="s">
        <v>113</v>
      </c>
      <c r="D71" s="9" t="s">
        <v>398</v>
      </c>
      <c r="E71" s="9" t="s">
        <v>52</v>
      </c>
      <c r="F71" s="55"/>
      <c r="G71" s="1"/>
      <c r="H71" s="1"/>
      <c r="I71" s="3"/>
      <c r="J71" s="3">
        <f>INDEX(UnitCosts[],MATCH(Table3[[#This Row],[WORK TYPE]],UnitCosts[Work Type],0),2)*VLOOKUP(Table3[[#This Row],[DEVELOPMENT]],Data[],MATCH(Table3[[#This Row],[WORK TYPE]],Data[#Headers],0),FALSE)</f>
        <v>38885.4</v>
      </c>
      <c r="K71" s="1"/>
    </row>
    <row r="72" spans="1:14" x14ac:dyDescent="0.25">
      <c r="A72" s="1" t="str">
        <f>VLOOKUP(C72,Data[],2,FALSE)</f>
        <v>MANHATTAN</v>
      </c>
      <c r="B72" s="1"/>
      <c r="C72" s="1" t="s">
        <v>115</v>
      </c>
      <c r="D72" s="9" t="s">
        <v>398</v>
      </c>
      <c r="E72" s="9" t="s">
        <v>52</v>
      </c>
      <c r="F72" s="55"/>
      <c r="G72" s="1"/>
      <c r="H72" s="1"/>
      <c r="I72" s="3"/>
      <c r="J72" s="3">
        <f>INDEX(UnitCosts[],MATCH(Table3[[#This Row],[WORK TYPE]],UnitCosts[Work Type],0),2)*VLOOKUP(Table3[[#This Row],[DEVELOPMENT]],Data[],MATCH(Table3[[#This Row],[WORK TYPE]],Data[#Headers],0),FALSE)</f>
        <v>38885.4</v>
      </c>
      <c r="K72" s="1"/>
    </row>
    <row r="73" spans="1:14" x14ac:dyDescent="0.25">
      <c r="A73" s="1" t="str">
        <f>VLOOKUP(C73,Data[],2,FALSE)</f>
        <v>MANHATTAN</v>
      </c>
      <c r="B73" s="1"/>
      <c r="C73" s="1" t="s">
        <v>112</v>
      </c>
      <c r="D73" s="9" t="s">
        <v>398</v>
      </c>
      <c r="E73" s="9" t="s">
        <v>52</v>
      </c>
      <c r="F73" s="55"/>
      <c r="G73" s="1"/>
      <c r="H73" s="1"/>
      <c r="I73" s="3"/>
      <c r="J73" s="3">
        <f>INDEX(UnitCosts[],MATCH(Table3[[#This Row],[WORK TYPE]],UnitCosts[Work Type],0),2)*VLOOKUP(Table3[[#This Row],[DEVELOPMENT]],Data[],MATCH(Table3[[#This Row],[WORK TYPE]],Data[#Headers],0),FALSE)</f>
        <v>38885.4</v>
      </c>
      <c r="K73" s="1"/>
    </row>
    <row r="74" spans="1:14" x14ac:dyDescent="0.25">
      <c r="A74" s="1" t="str">
        <f>VLOOKUP(C74,Data[],2,FALSE)</f>
        <v>MANHATTAN</v>
      </c>
      <c r="B74" s="1"/>
      <c r="C74" s="1" t="s">
        <v>77</v>
      </c>
      <c r="D74" s="9" t="s">
        <v>398</v>
      </c>
      <c r="E74" s="9" t="s">
        <v>52</v>
      </c>
      <c r="F74" s="55"/>
      <c r="G74" s="1"/>
      <c r="H74" s="1"/>
      <c r="I74" s="3"/>
      <c r="J74" s="3">
        <f>INDEX(UnitCosts[],MATCH(Table3[[#This Row],[WORK TYPE]],UnitCosts[Work Type],0),2)*VLOOKUP(Table3[[#This Row],[DEVELOPMENT]],Data[],MATCH(Table3[[#This Row],[WORK TYPE]],Data[#Headers],0),FALSE)</f>
        <v>38885.4</v>
      </c>
      <c r="K74" s="1"/>
    </row>
    <row r="75" spans="1:14" x14ac:dyDescent="0.25">
      <c r="A75" s="1" t="str">
        <f>VLOOKUP(C75,Data[],2,FALSE)</f>
        <v>MANHATTAN</v>
      </c>
      <c r="B75" s="1"/>
      <c r="C75" s="1" t="s">
        <v>83</v>
      </c>
      <c r="D75" s="9" t="s">
        <v>398</v>
      </c>
      <c r="E75" s="9" t="s">
        <v>52</v>
      </c>
      <c r="F75" s="55"/>
      <c r="G75" s="1"/>
      <c r="H75" s="1"/>
      <c r="I75" s="3"/>
      <c r="J75" s="3">
        <f>INDEX(UnitCosts[],MATCH(Table3[[#This Row],[WORK TYPE]],UnitCosts[Work Type],0),2)*VLOOKUP(Table3[[#This Row],[DEVELOPMENT]],Data[],MATCH(Table3[[#This Row],[WORK TYPE]],Data[#Headers],0),FALSE)</f>
        <v>38885.4</v>
      </c>
      <c r="K75" s="1"/>
    </row>
    <row r="76" spans="1:14" x14ac:dyDescent="0.25">
      <c r="A76" s="1" t="str">
        <f>VLOOKUP(C76,Data[],2,FALSE)</f>
        <v>MANHATTAN</v>
      </c>
      <c r="B76" s="1"/>
      <c r="C76" s="1" t="s">
        <v>136</v>
      </c>
      <c r="D76" s="9" t="s">
        <v>398</v>
      </c>
      <c r="E76" s="9" t="s">
        <v>52</v>
      </c>
      <c r="F76" s="55"/>
      <c r="G76" s="1"/>
      <c r="H76" s="1"/>
      <c r="I76" s="3"/>
      <c r="J76" s="3">
        <f>INDEX(UnitCosts[],MATCH(Table3[[#This Row],[WORK TYPE]],UnitCosts[Work Type],0),2)*VLOOKUP(Table3[[#This Row],[DEVELOPMENT]],Data[],MATCH(Table3[[#This Row],[WORK TYPE]],Data[#Headers],0),FALSE)</f>
        <v>38885.4</v>
      </c>
      <c r="K76" s="1"/>
    </row>
    <row r="77" spans="1:14" x14ac:dyDescent="0.25">
      <c r="A77" s="1" t="str">
        <f>VLOOKUP(C77,Data[],2,FALSE)</f>
        <v>MANHATTAN</v>
      </c>
      <c r="B77" s="1"/>
      <c r="C77" s="1" t="s">
        <v>78</v>
      </c>
      <c r="D77" s="9" t="s">
        <v>398</v>
      </c>
      <c r="E77" s="9" t="s">
        <v>52</v>
      </c>
      <c r="F77" s="55"/>
      <c r="G77" s="1"/>
      <c r="H77" s="1"/>
      <c r="I77" s="3"/>
      <c r="J77" s="3">
        <f>INDEX(UnitCosts[],MATCH(Table3[[#This Row],[WORK TYPE]],UnitCosts[Work Type],0),2)*VLOOKUP(Table3[[#This Row],[DEVELOPMENT]],Data[],MATCH(Table3[[#This Row],[WORK TYPE]],Data[#Headers],0),FALSE)</f>
        <v>38885.4</v>
      </c>
      <c r="K77" s="1"/>
    </row>
    <row r="78" spans="1:14" x14ac:dyDescent="0.25">
      <c r="A78" s="1" t="str">
        <f>VLOOKUP(C78,Data[],2,FALSE)</f>
        <v>MANHATTAN</v>
      </c>
      <c r="B78" s="1"/>
      <c r="C78" s="1" t="s">
        <v>128</v>
      </c>
      <c r="D78" s="9" t="s">
        <v>398</v>
      </c>
      <c r="E78" s="9" t="s">
        <v>52</v>
      </c>
      <c r="F78" s="55"/>
      <c r="G78" s="1"/>
      <c r="H78" s="1"/>
      <c r="I78" s="3"/>
      <c r="J78" s="3">
        <f>INDEX(UnitCosts[],MATCH(Table3[[#This Row],[WORK TYPE]],UnitCosts[Work Type],0),2)*VLOOKUP(Table3[[#This Row],[DEVELOPMENT]],Data[],MATCH(Table3[[#This Row],[WORK TYPE]],Data[#Headers],0),FALSE)</f>
        <v>38885.4</v>
      </c>
      <c r="K78" s="1"/>
    </row>
    <row r="79" spans="1:14" x14ac:dyDescent="0.25">
      <c r="A79" s="1" t="str">
        <f>VLOOKUP(C79,Data[],2,FALSE)</f>
        <v>MANHATTAN</v>
      </c>
      <c r="B79" s="1"/>
      <c r="C79" s="1" t="s">
        <v>90</v>
      </c>
      <c r="D79" s="9" t="s">
        <v>398</v>
      </c>
      <c r="E79" s="9" t="s">
        <v>52</v>
      </c>
      <c r="F79" s="55"/>
      <c r="G79" s="1"/>
      <c r="H79" s="1"/>
      <c r="I79" s="3"/>
      <c r="J79" s="3">
        <f>INDEX(UnitCosts[],MATCH(Table3[[#This Row],[WORK TYPE]],UnitCosts[Work Type],0),2)*VLOOKUP(Table3[[#This Row],[DEVELOPMENT]],Data[],MATCH(Table3[[#This Row],[WORK TYPE]],Data[#Headers],0),FALSE)</f>
        <v>38885.4</v>
      </c>
      <c r="K79" s="1"/>
    </row>
    <row r="80" spans="1:14" x14ac:dyDescent="0.25">
      <c r="A80" s="1" t="str">
        <f>VLOOKUP(C80,Data[],2,FALSE)</f>
        <v>MANHATTAN</v>
      </c>
      <c r="B80" s="1"/>
      <c r="C80" s="1" t="s">
        <v>81</v>
      </c>
      <c r="D80" s="9" t="s">
        <v>398</v>
      </c>
      <c r="E80" s="9" t="s">
        <v>52</v>
      </c>
      <c r="F80" s="55"/>
      <c r="G80" s="1"/>
      <c r="H80" s="1"/>
      <c r="I80" s="3"/>
      <c r="J80" s="3">
        <f>INDEX(UnitCosts[],MATCH(Table3[[#This Row],[WORK TYPE]],UnitCosts[Work Type],0),2)*VLOOKUP(Table3[[#This Row],[DEVELOPMENT]],Data[],MATCH(Table3[[#This Row],[WORK TYPE]],Data[#Headers],0),FALSE)</f>
        <v>38885.4</v>
      </c>
      <c r="K80" s="1"/>
    </row>
    <row r="81" spans="1:11" x14ac:dyDescent="0.25">
      <c r="A81" s="1" t="str">
        <f>VLOOKUP(C81,Data[],2,FALSE)</f>
        <v>MANHATTAN</v>
      </c>
      <c r="B81" s="1"/>
      <c r="C81" s="1" t="s">
        <v>146</v>
      </c>
      <c r="D81" s="9" t="s">
        <v>398</v>
      </c>
      <c r="E81" s="9" t="s">
        <v>106</v>
      </c>
      <c r="F81" s="55"/>
      <c r="G81" s="1"/>
      <c r="H81" s="1"/>
      <c r="I81" s="3"/>
      <c r="J81" s="3" t="e">
        <f>INDEX(UnitCosts[],MATCH(Table3[[#This Row],[WORK TYPE]],UnitCosts[Work Type],0),2)*VLOOKUP(Table3[[#This Row],[DEVELOPMENT]],Data[],MATCH(Table3[[#This Row],[WORK TYPE]],Data[#Headers],0),FALSE)</f>
        <v>#N/A</v>
      </c>
      <c r="K81" s="1"/>
    </row>
    <row r="82" spans="1:11" x14ac:dyDescent="0.25">
      <c r="A82" s="1" t="str">
        <f>VLOOKUP(C82,Data[],2,FALSE)</f>
        <v>MANHATTAN</v>
      </c>
      <c r="B82" s="1"/>
      <c r="C82" s="1" t="s">
        <v>129</v>
      </c>
      <c r="D82" s="9" t="s">
        <v>398</v>
      </c>
      <c r="E82" s="9" t="s">
        <v>106</v>
      </c>
      <c r="F82" s="55"/>
      <c r="G82" s="1"/>
      <c r="H82" s="1"/>
      <c r="I82" s="3"/>
      <c r="J82" s="3" t="e">
        <f>INDEX(UnitCosts[],MATCH(Table3[[#This Row],[WORK TYPE]],UnitCosts[Work Type],0),2)*VLOOKUP(Table3[[#This Row],[DEVELOPMENT]],Data[],MATCH(Table3[[#This Row],[WORK TYPE]],Data[#Headers],0),FALSE)</f>
        <v>#N/A</v>
      </c>
      <c r="K82" s="1"/>
    </row>
    <row r="83" spans="1:11" x14ac:dyDescent="0.25">
      <c r="A83" s="1" t="str">
        <f>VLOOKUP(C83,Data[],2,FALSE)</f>
        <v>MANHATTAN</v>
      </c>
      <c r="B83" s="1"/>
      <c r="C83" s="1" t="s">
        <v>131</v>
      </c>
      <c r="D83" s="9" t="s">
        <v>398</v>
      </c>
      <c r="E83" s="9" t="s">
        <v>106</v>
      </c>
      <c r="F83" s="55"/>
      <c r="G83" s="1"/>
      <c r="H83" s="1"/>
      <c r="I83" s="3"/>
      <c r="J83" s="3" t="e">
        <f>INDEX(UnitCosts[],MATCH(Table3[[#This Row],[WORK TYPE]],UnitCosts[Work Type],0),2)*VLOOKUP(Table3[[#This Row],[DEVELOPMENT]],Data[],MATCH(Table3[[#This Row],[WORK TYPE]],Data[#Headers],0),FALSE)</f>
        <v>#N/A</v>
      </c>
      <c r="K83" s="1"/>
    </row>
    <row r="84" spans="1:11" x14ac:dyDescent="0.25">
      <c r="A84" s="1" t="str">
        <f>VLOOKUP(C84,Data[],2,FALSE)</f>
        <v>MANHATTAN</v>
      </c>
      <c r="B84" s="1"/>
      <c r="C84" s="1" t="s">
        <v>133</v>
      </c>
      <c r="D84" s="9" t="s">
        <v>398</v>
      </c>
      <c r="E84" s="9" t="s">
        <v>106</v>
      </c>
      <c r="F84" s="55"/>
      <c r="G84" s="1"/>
      <c r="H84" s="1"/>
      <c r="I84" s="3"/>
      <c r="J84" s="3" t="e">
        <f>INDEX(UnitCosts[],MATCH(Table3[[#This Row],[WORK TYPE]],UnitCosts[Work Type],0),2)*VLOOKUP(Table3[[#This Row],[DEVELOPMENT]],Data[],MATCH(Table3[[#This Row],[WORK TYPE]],Data[#Headers],0),FALSE)</f>
        <v>#N/A</v>
      </c>
      <c r="K84" s="1"/>
    </row>
    <row r="85" spans="1:11" x14ac:dyDescent="0.25">
      <c r="A85" s="1" t="str">
        <f>VLOOKUP(C85,Data[],2,FALSE)</f>
        <v>MANHATTAN</v>
      </c>
      <c r="B85" s="1"/>
      <c r="C85" s="1" t="s">
        <v>137</v>
      </c>
      <c r="D85" s="9" t="s">
        <v>398</v>
      </c>
      <c r="E85" s="9" t="s">
        <v>106</v>
      </c>
      <c r="F85" s="55"/>
      <c r="G85" s="1"/>
      <c r="H85" s="1"/>
      <c r="I85" s="3"/>
      <c r="J85" s="3" t="e">
        <f>INDEX(UnitCosts[],MATCH(Table3[[#This Row],[WORK TYPE]],UnitCosts[Work Type],0),2)*VLOOKUP(Table3[[#This Row],[DEVELOPMENT]],Data[],MATCH(Table3[[#This Row],[WORK TYPE]],Data[#Headers],0),FALSE)</f>
        <v>#N/A</v>
      </c>
      <c r="K85" s="1"/>
    </row>
    <row r="86" spans="1:11" x14ac:dyDescent="0.25">
      <c r="A86" s="1" t="str">
        <f>VLOOKUP(C86,Data[],2,FALSE)</f>
        <v>MANHATTAN</v>
      </c>
      <c r="B86" s="1"/>
      <c r="C86" s="1" t="s">
        <v>125</v>
      </c>
      <c r="D86" s="9" t="s">
        <v>398</v>
      </c>
      <c r="E86" s="9" t="s">
        <v>106</v>
      </c>
      <c r="F86" s="55"/>
      <c r="G86" s="1"/>
      <c r="H86" s="1"/>
      <c r="I86" s="3"/>
      <c r="J86" s="3" t="e">
        <f>INDEX(UnitCosts[],MATCH(Table3[[#This Row],[WORK TYPE]],UnitCosts[Work Type],0),2)*VLOOKUP(Table3[[#This Row],[DEVELOPMENT]],Data[],MATCH(Table3[[#This Row],[WORK TYPE]],Data[#Headers],0),FALSE)</f>
        <v>#N/A</v>
      </c>
      <c r="K86" s="1"/>
    </row>
    <row r="87" spans="1:11" x14ac:dyDescent="0.25">
      <c r="A87" s="1" t="str">
        <f>VLOOKUP(C87,Data[],2,FALSE)</f>
        <v>MANHATTAN</v>
      </c>
      <c r="B87" s="1"/>
      <c r="C87" s="1" t="s">
        <v>126</v>
      </c>
      <c r="D87" s="9" t="s">
        <v>398</v>
      </c>
      <c r="E87" s="9" t="s">
        <v>106</v>
      </c>
      <c r="F87" s="55"/>
      <c r="G87" s="1"/>
      <c r="H87" s="1"/>
      <c r="I87" s="3"/>
      <c r="J87" s="3" t="e">
        <f>INDEX(UnitCosts[],MATCH(Table3[[#This Row],[WORK TYPE]],UnitCosts[Work Type],0),2)*VLOOKUP(Table3[[#This Row],[DEVELOPMENT]],Data[],MATCH(Table3[[#This Row],[WORK TYPE]],Data[#Headers],0),FALSE)</f>
        <v>#N/A</v>
      </c>
      <c r="K87" s="1"/>
    </row>
    <row r="88" spans="1:11" x14ac:dyDescent="0.25">
      <c r="A88" s="1" t="str">
        <f>VLOOKUP(C88,Data[],2,FALSE)</f>
        <v>MANHATTAN</v>
      </c>
      <c r="B88" s="1"/>
      <c r="C88" s="1" t="s">
        <v>100</v>
      </c>
      <c r="D88" s="9" t="s">
        <v>398</v>
      </c>
      <c r="E88" s="9" t="s">
        <v>106</v>
      </c>
      <c r="F88" s="55"/>
      <c r="G88" s="1"/>
      <c r="H88" s="1"/>
      <c r="I88" s="3"/>
      <c r="J88" s="3" t="e">
        <f>INDEX(UnitCosts[],MATCH(Table3[[#This Row],[WORK TYPE]],UnitCosts[Work Type],0),2)*VLOOKUP(Table3[[#This Row],[DEVELOPMENT]],Data[],MATCH(Table3[[#This Row],[WORK TYPE]],Data[#Headers],0),FALSE)</f>
        <v>#N/A</v>
      </c>
      <c r="K88" s="1"/>
    </row>
    <row r="89" spans="1:11" x14ac:dyDescent="0.25">
      <c r="A89" s="1" t="str">
        <f>VLOOKUP(C89,Data[],2,FALSE)</f>
        <v>MANHATTAN</v>
      </c>
      <c r="B89" s="1"/>
      <c r="C89" s="1" t="s">
        <v>116</v>
      </c>
      <c r="D89" s="9" t="s">
        <v>398</v>
      </c>
      <c r="E89" s="9" t="s">
        <v>106</v>
      </c>
      <c r="F89" s="55"/>
      <c r="G89" s="1"/>
      <c r="H89" s="1"/>
      <c r="I89" s="3"/>
      <c r="J89" s="3" t="e">
        <f>INDEX(UnitCosts[],MATCH(Table3[[#This Row],[WORK TYPE]],UnitCosts[Work Type],0),2)*VLOOKUP(Table3[[#This Row],[DEVELOPMENT]],Data[],MATCH(Table3[[#This Row],[WORK TYPE]],Data[#Headers],0),FALSE)</f>
        <v>#N/A</v>
      </c>
      <c r="K89" s="1"/>
    </row>
    <row r="90" spans="1:11" x14ac:dyDescent="0.25">
      <c r="A90" s="1" t="str">
        <f>VLOOKUP(C90,Data[],2,FALSE)</f>
        <v>MANHATTAN</v>
      </c>
      <c r="B90" s="1"/>
      <c r="C90" s="1" t="s">
        <v>127</v>
      </c>
      <c r="D90" s="9" t="s">
        <v>398</v>
      </c>
      <c r="E90" s="9" t="s">
        <v>106</v>
      </c>
      <c r="F90" s="55"/>
      <c r="G90" s="1"/>
      <c r="H90" s="1"/>
      <c r="I90" s="3"/>
      <c r="J90" s="3" t="e">
        <f>INDEX(UnitCosts[],MATCH(Table3[[#This Row],[WORK TYPE]],UnitCosts[Work Type],0),2)*VLOOKUP(Table3[[#This Row],[DEVELOPMENT]],Data[],MATCH(Table3[[#This Row],[WORK TYPE]],Data[#Headers],0),FALSE)</f>
        <v>#N/A</v>
      </c>
      <c r="K90" s="1"/>
    </row>
    <row r="91" spans="1:11" x14ac:dyDescent="0.25">
      <c r="A91" s="1" t="str">
        <f>VLOOKUP(C91,Data[],2,FALSE)</f>
        <v>MANHATTAN</v>
      </c>
      <c r="B91" s="1"/>
      <c r="C91" s="1" t="s">
        <v>122</v>
      </c>
      <c r="D91" s="9" t="s">
        <v>398</v>
      </c>
      <c r="E91" s="9" t="s">
        <v>106</v>
      </c>
      <c r="F91" s="55"/>
      <c r="G91" s="1"/>
      <c r="H91" s="1"/>
      <c r="I91" s="3"/>
      <c r="J91" s="3" t="e">
        <f>INDEX(UnitCosts[],MATCH(Table3[[#This Row],[WORK TYPE]],UnitCosts[Work Type],0),2)*VLOOKUP(Table3[[#This Row],[DEVELOPMENT]],Data[],MATCH(Table3[[#This Row],[WORK TYPE]],Data[#Headers],0),FALSE)</f>
        <v>#N/A</v>
      </c>
      <c r="K91" s="1"/>
    </row>
    <row r="92" spans="1:11" x14ac:dyDescent="0.25">
      <c r="A92" s="1" t="str">
        <f>VLOOKUP(C92,Data[],2,FALSE)</f>
        <v>MANHATTAN</v>
      </c>
      <c r="B92" s="1"/>
      <c r="C92" s="1" t="s">
        <v>120</v>
      </c>
      <c r="D92" s="9" t="s">
        <v>398</v>
      </c>
      <c r="E92" s="9" t="s">
        <v>106</v>
      </c>
      <c r="F92" s="55"/>
      <c r="G92" s="1"/>
      <c r="H92" s="1"/>
      <c r="I92" s="3"/>
      <c r="J92" s="3" t="e">
        <f>INDEX(UnitCosts[],MATCH(Table3[[#This Row],[WORK TYPE]],UnitCosts[Work Type],0),2)*VLOOKUP(Table3[[#This Row],[DEVELOPMENT]],Data[],MATCH(Table3[[#This Row],[WORK TYPE]],Data[#Headers],0),FALSE)</f>
        <v>#N/A</v>
      </c>
      <c r="K92" s="1"/>
    </row>
    <row r="93" spans="1:11" x14ac:dyDescent="0.25">
      <c r="A93" s="1" t="str">
        <f>VLOOKUP(C93,Data[],2,FALSE)</f>
        <v>MANHATTAN</v>
      </c>
      <c r="B93" s="1"/>
      <c r="C93" s="1" t="s">
        <v>113</v>
      </c>
      <c r="D93" s="9" t="s">
        <v>398</v>
      </c>
      <c r="E93" s="9" t="s">
        <v>106</v>
      </c>
      <c r="F93" s="1"/>
      <c r="G93" s="1"/>
      <c r="H93" s="1"/>
      <c r="I93" s="3"/>
      <c r="J93" s="3" t="e">
        <f>INDEX(UnitCosts[],MATCH(Table3[[#This Row],[WORK TYPE]],UnitCosts[Work Type],0),2)*VLOOKUP(Table3[[#This Row],[DEVELOPMENT]],Data[],MATCH(Table3[[#This Row],[WORK TYPE]],Data[#Headers],0),FALSE)</f>
        <v>#N/A</v>
      </c>
      <c r="K93" s="1"/>
    </row>
    <row r="94" spans="1:11" x14ac:dyDescent="0.25">
      <c r="A94" s="1" t="str">
        <f>VLOOKUP(C94,Data[],2,FALSE)</f>
        <v>MANHATTAN</v>
      </c>
      <c r="B94" s="1"/>
      <c r="C94" s="1" t="s">
        <v>115</v>
      </c>
      <c r="D94" s="9" t="s">
        <v>398</v>
      </c>
      <c r="E94" s="9" t="s">
        <v>106</v>
      </c>
      <c r="F94" s="1"/>
      <c r="G94" s="1"/>
      <c r="H94" s="1"/>
      <c r="I94" s="3"/>
      <c r="J94" s="3" t="e">
        <f>INDEX(UnitCosts[],MATCH(Table3[[#This Row],[WORK TYPE]],UnitCosts[Work Type],0),2)*VLOOKUP(Table3[[#This Row],[DEVELOPMENT]],Data[],MATCH(Table3[[#This Row],[WORK TYPE]],Data[#Headers],0),FALSE)</f>
        <v>#N/A</v>
      </c>
      <c r="K94" s="1"/>
    </row>
    <row r="95" spans="1:11" x14ac:dyDescent="0.25">
      <c r="A95" s="1" t="str">
        <f>VLOOKUP(C95,Data[],2,FALSE)</f>
        <v>MANHATTAN</v>
      </c>
      <c r="B95" s="1"/>
      <c r="C95" s="1" t="s">
        <v>112</v>
      </c>
      <c r="D95" s="9" t="s">
        <v>398</v>
      </c>
      <c r="E95" s="9" t="s">
        <v>106</v>
      </c>
      <c r="F95" s="1"/>
      <c r="G95" s="1"/>
      <c r="H95" s="1"/>
      <c r="I95" s="3"/>
      <c r="J95" s="3" t="e">
        <f>INDEX(UnitCosts[],MATCH(Table3[[#This Row],[WORK TYPE]],UnitCosts[Work Type],0),2)*VLOOKUP(Table3[[#This Row],[DEVELOPMENT]],Data[],MATCH(Table3[[#This Row],[WORK TYPE]],Data[#Headers],0),FALSE)</f>
        <v>#N/A</v>
      </c>
      <c r="K95" s="1"/>
    </row>
    <row r="96" spans="1:11" x14ac:dyDescent="0.25">
      <c r="A96" s="1" t="str">
        <f>VLOOKUP(C96,Data[],2,FALSE)</f>
        <v>MANHATTAN</v>
      </c>
      <c r="B96" s="1"/>
      <c r="C96" s="1" t="s">
        <v>77</v>
      </c>
      <c r="D96" s="9" t="s">
        <v>398</v>
      </c>
      <c r="E96" s="9" t="s">
        <v>106</v>
      </c>
      <c r="F96" s="1"/>
      <c r="G96" s="1"/>
      <c r="H96" s="1"/>
      <c r="I96" s="3"/>
      <c r="J96" s="3" t="e">
        <f>INDEX(UnitCosts[],MATCH(Table3[[#This Row],[WORK TYPE]],UnitCosts[Work Type],0),2)*VLOOKUP(Table3[[#This Row],[DEVELOPMENT]],Data[],MATCH(Table3[[#This Row],[WORK TYPE]],Data[#Headers],0),FALSE)</f>
        <v>#N/A</v>
      </c>
      <c r="K96" s="1"/>
    </row>
    <row r="97" spans="1:16" x14ac:dyDescent="0.25">
      <c r="A97" s="1" t="str">
        <f>VLOOKUP(C97,Data[],2,FALSE)</f>
        <v>MANHATTAN</v>
      </c>
      <c r="B97" s="1"/>
      <c r="C97" s="1" t="s">
        <v>83</v>
      </c>
      <c r="D97" s="9" t="s">
        <v>398</v>
      </c>
      <c r="E97" s="9" t="s">
        <v>106</v>
      </c>
      <c r="F97" s="1"/>
      <c r="G97" s="1"/>
      <c r="H97" s="1"/>
      <c r="I97" s="3"/>
      <c r="J97" s="3" t="e">
        <f>INDEX(UnitCosts[],MATCH(Table3[[#This Row],[WORK TYPE]],UnitCosts[Work Type],0),2)*VLOOKUP(Table3[[#This Row],[DEVELOPMENT]],Data[],MATCH(Table3[[#This Row],[WORK TYPE]],Data[#Headers],0),FALSE)</f>
        <v>#N/A</v>
      </c>
      <c r="K97" s="1"/>
    </row>
    <row r="98" spans="1:16" x14ac:dyDescent="0.25">
      <c r="A98" s="1" t="str">
        <f>VLOOKUP(C98,Data[],2,FALSE)</f>
        <v>MANHATTAN</v>
      </c>
      <c r="B98" s="1"/>
      <c r="C98" s="1" t="s">
        <v>136</v>
      </c>
      <c r="D98" s="9" t="s">
        <v>398</v>
      </c>
      <c r="E98" s="9" t="s">
        <v>106</v>
      </c>
      <c r="F98" s="1"/>
      <c r="G98" s="1"/>
      <c r="H98" s="1"/>
      <c r="I98" s="3"/>
      <c r="J98" s="3" t="e">
        <f>INDEX(UnitCosts[],MATCH(Table3[[#This Row],[WORK TYPE]],UnitCosts[Work Type],0),2)*VLOOKUP(Table3[[#This Row],[DEVELOPMENT]],Data[],MATCH(Table3[[#This Row],[WORK TYPE]],Data[#Headers],0),FALSE)</f>
        <v>#N/A</v>
      </c>
      <c r="K98" s="1"/>
    </row>
    <row r="99" spans="1:16" x14ac:dyDescent="0.25">
      <c r="A99" s="1" t="str">
        <f>VLOOKUP(C99,Data[],2,FALSE)</f>
        <v>MANHATTAN</v>
      </c>
      <c r="B99" s="1"/>
      <c r="C99" s="1" t="s">
        <v>78</v>
      </c>
      <c r="D99" s="9" t="s">
        <v>398</v>
      </c>
      <c r="E99" s="9" t="s">
        <v>106</v>
      </c>
      <c r="F99" s="1"/>
      <c r="G99" s="1"/>
      <c r="H99" s="1"/>
      <c r="I99" s="3"/>
      <c r="J99" s="3" t="e">
        <f>INDEX(UnitCosts[],MATCH(Table3[[#This Row],[WORK TYPE]],UnitCosts[Work Type],0),2)*VLOOKUP(Table3[[#This Row],[DEVELOPMENT]],Data[],MATCH(Table3[[#This Row],[WORK TYPE]],Data[#Headers],0),FALSE)</f>
        <v>#N/A</v>
      </c>
      <c r="K99" s="1"/>
    </row>
    <row r="100" spans="1:16" x14ac:dyDescent="0.25">
      <c r="A100" s="1" t="str">
        <f>VLOOKUP(C100,Data[],2,FALSE)</f>
        <v>MANHATTAN</v>
      </c>
      <c r="B100" s="1"/>
      <c r="C100" s="1" t="s">
        <v>128</v>
      </c>
      <c r="D100" s="9" t="s">
        <v>398</v>
      </c>
      <c r="E100" s="9" t="s">
        <v>106</v>
      </c>
      <c r="F100" s="1"/>
      <c r="G100" s="1"/>
      <c r="H100" s="1"/>
      <c r="I100" s="3"/>
      <c r="J100" s="3" t="e">
        <f>INDEX(UnitCosts[],MATCH(Table3[[#This Row],[WORK TYPE]],UnitCosts[Work Type],0),2)*VLOOKUP(Table3[[#This Row],[DEVELOPMENT]],Data[],MATCH(Table3[[#This Row],[WORK TYPE]],Data[#Headers],0),FALSE)</f>
        <v>#N/A</v>
      </c>
      <c r="K100" s="1"/>
    </row>
    <row r="101" spans="1:16" x14ac:dyDescent="0.25">
      <c r="A101" s="1" t="str">
        <f>VLOOKUP(C101,Data[],2,FALSE)</f>
        <v>MANHATTAN</v>
      </c>
      <c r="B101" s="1"/>
      <c r="C101" s="1" t="s">
        <v>95</v>
      </c>
      <c r="D101" s="9" t="s">
        <v>398</v>
      </c>
      <c r="E101" s="9" t="s">
        <v>106</v>
      </c>
      <c r="F101" s="1"/>
      <c r="G101" s="1"/>
      <c r="H101" s="1"/>
      <c r="I101" s="3"/>
      <c r="J101" s="3" t="e">
        <f>INDEX(UnitCosts[],MATCH(Table3[[#This Row],[WORK TYPE]],UnitCosts[Work Type],0),2)*VLOOKUP(Table3[[#This Row],[DEVELOPMENT]],Data[],MATCH(Table3[[#This Row],[WORK TYPE]],Data[#Headers],0),FALSE)</f>
        <v>#N/A</v>
      </c>
      <c r="K101" s="1"/>
    </row>
    <row r="102" spans="1:16" x14ac:dyDescent="0.25">
      <c r="A102" s="1" t="str">
        <f>VLOOKUP(C102,Data[],2,FALSE)</f>
        <v>MANHATTAN</v>
      </c>
      <c r="B102" s="1"/>
      <c r="C102" s="1" t="s">
        <v>90</v>
      </c>
      <c r="D102" s="9" t="s">
        <v>398</v>
      </c>
      <c r="E102" s="9" t="s">
        <v>106</v>
      </c>
      <c r="F102" s="1"/>
      <c r="G102" s="1"/>
      <c r="H102" s="1"/>
      <c r="I102" s="3"/>
      <c r="J102" s="3" t="e">
        <f>INDEX(UnitCosts[],MATCH(Table3[[#This Row],[WORK TYPE]],UnitCosts[Work Type],0),2)*VLOOKUP(Table3[[#This Row],[DEVELOPMENT]],Data[],MATCH(Table3[[#This Row],[WORK TYPE]],Data[#Headers],0),FALSE)</f>
        <v>#N/A</v>
      </c>
      <c r="K102" s="1"/>
    </row>
    <row r="103" spans="1:16" x14ac:dyDescent="0.25">
      <c r="A103" s="1" t="str">
        <f>VLOOKUP(C103,Data[],2,FALSE)</f>
        <v>MANHATTAN</v>
      </c>
      <c r="B103" s="1"/>
      <c r="C103" s="1" t="s">
        <v>81</v>
      </c>
      <c r="D103" s="9" t="s">
        <v>398</v>
      </c>
      <c r="E103" s="9" t="s">
        <v>106</v>
      </c>
      <c r="F103" s="1"/>
      <c r="G103" s="1"/>
      <c r="H103" s="1"/>
      <c r="I103" s="3"/>
      <c r="J103" s="3" t="e">
        <f>INDEX(UnitCosts[],MATCH(Table3[[#This Row],[WORK TYPE]],UnitCosts[Work Type],0),2)*VLOOKUP(Table3[[#This Row],[DEVELOPMENT]],Data[],MATCH(Table3[[#This Row],[WORK TYPE]],Data[#Headers],0),FALSE)</f>
        <v>#N/A</v>
      </c>
      <c r="K103" s="1"/>
    </row>
    <row r="104" spans="1:16" x14ac:dyDescent="0.25">
      <c r="A104" s="1" t="str">
        <f>VLOOKUP(C104,Data[],2,FALSE)</f>
        <v>MANHATTAN</v>
      </c>
      <c r="B104" s="1"/>
      <c r="C104" s="1" t="s">
        <v>74</v>
      </c>
      <c r="D104" s="9" t="s">
        <v>398</v>
      </c>
      <c r="E104" s="9" t="s">
        <v>106</v>
      </c>
      <c r="F104" s="1"/>
      <c r="G104" s="1"/>
      <c r="H104" s="1"/>
      <c r="I104" s="3"/>
      <c r="J104" s="3" t="e">
        <f>INDEX(UnitCosts[],MATCH(Table3[[#This Row],[WORK TYPE]],UnitCosts[Work Type],0),2)*VLOOKUP(Table3[[#This Row],[DEVELOPMENT]],Data[],MATCH(Table3[[#This Row],[WORK TYPE]],Data[#Headers],0),FALSE)</f>
        <v>#N/A</v>
      </c>
      <c r="K104" s="1"/>
    </row>
    <row r="105" spans="1:16" x14ac:dyDescent="0.25">
      <c r="A105" s="1" t="str">
        <f>VLOOKUP(C105,Data[],2,FALSE)</f>
        <v>MANHATTAN</v>
      </c>
      <c r="B105" s="1"/>
      <c r="C105" s="1" t="s">
        <v>67</v>
      </c>
      <c r="D105" s="9" t="s">
        <v>398</v>
      </c>
      <c r="E105" s="9" t="s">
        <v>106</v>
      </c>
      <c r="F105" s="1"/>
      <c r="G105" s="1"/>
      <c r="H105" s="1"/>
      <c r="I105" s="3"/>
      <c r="J105" s="3" t="e">
        <f>INDEX(UnitCosts[],MATCH(Table3[[#This Row],[WORK TYPE]],UnitCosts[Work Type],0),2)*VLOOKUP(Table3[[#This Row],[DEVELOPMENT]],Data[],MATCH(Table3[[#This Row],[WORK TYPE]],Data[#Headers],0),FALSE)</f>
        <v>#N/A</v>
      </c>
      <c r="K105" s="1"/>
    </row>
    <row r="106" spans="1:16" x14ac:dyDescent="0.25">
      <c r="A106" s="1" t="str">
        <f>VLOOKUP(C106,Data[],2,FALSE)</f>
        <v>MANHATTAN</v>
      </c>
      <c r="B106" s="1"/>
      <c r="C106" s="1" t="s">
        <v>102</v>
      </c>
      <c r="D106" s="9" t="s">
        <v>398</v>
      </c>
      <c r="E106" s="9" t="s">
        <v>106</v>
      </c>
      <c r="F106" s="1"/>
      <c r="G106" s="1"/>
      <c r="H106" s="1"/>
      <c r="I106" s="3"/>
      <c r="J106" s="3" t="e">
        <f>INDEX(UnitCosts[],MATCH(Table3[[#This Row],[WORK TYPE]],UnitCosts[Work Type],0),2)*VLOOKUP(Table3[[#This Row],[DEVELOPMENT]],Data[],MATCH(Table3[[#This Row],[WORK TYPE]],Data[#Headers],0),FALSE)</f>
        <v>#N/A</v>
      </c>
      <c r="K106" s="1"/>
    </row>
    <row r="107" spans="1:16" x14ac:dyDescent="0.25">
      <c r="A107" s="1" t="str">
        <f>VLOOKUP(C107,Data[],2,FALSE)</f>
        <v>MANHATTAN</v>
      </c>
      <c r="B107" s="1"/>
      <c r="C107" s="1" t="s">
        <v>107</v>
      </c>
      <c r="D107" s="9" t="s">
        <v>398</v>
      </c>
      <c r="E107" s="9" t="s">
        <v>106</v>
      </c>
      <c r="F107" s="1"/>
      <c r="G107" s="1"/>
      <c r="H107" s="1"/>
      <c r="I107" s="3"/>
      <c r="J107" s="3" t="e">
        <f>INDEX(UnitCosts[],MATCH(Table3[[#This Row],[WORK TYPE]],UnitCosts[Work Type],0),2)*VLOOKUP(Table3[[#This Row],[DEVELOPMENT]],Data[],MATCH(Table3[[#This Row],[WORK TYPE]],Data[#Headers],0),FALSE)</f>
        <v>#N/A</v>
      </c>
      <c r="K107" s="1"/>
    </row>
    <row r="108" spans="1:16" x14ac:dyDescent="0.25">
      <c r="A108" s="1" t="str">
        <f>VLOOKUP(C108,Data[],2,FALSE)</f>
        <v>MANHATTAN</v>
      </c>
      <c r="B108" s="1"/>
      <c r="C108" s="1" t="s">
        <v>92</v>
      </c>
      <c r="D108" s="9" t="s">
        <v>398</v>
      </c>
      <c r="E108" s="9" t="s">
        <v>106</v>
      </c>
      <c r="F108" s="1"/>
      <c r="G108" s="1"/>
      <c r="H108" s="1"/>
      <c r="I108" s="3"/>
      <c r="J108" s="3" t="e">
        <f>INDEX(UnitCosts[],MATCH(Table3[[#This Row],[WORK TYPE]],UnitCosts[Work Type],0),2)*VLOOKUP(Table3[[#This Row],[DEVELOPMENT]],Data[],MATCH(Table3[[#This Row],[WORK TYPE]],Data[#Headers],0),FALSE)</f>
        <v>#N/A</v>
      </c>
      <c r="K108" s="1"/>
    </row>
    <row r="109" spans="1:16" x14ac:dyDescent="0.25">
      <c r="A109" s="1" t="str">
        <f>VLOOKUP(C109,Data[],2,FALSE)</f>
        <v>MANHATTAN</v>
      </c>
      <c r="B109" s="1"/>
      <c r="C109" s="41" t="s">
        <v>299</v>
      </c>
      <c r="D109" s="9" t="s">
        <v>398</v>
      </c>
      <c r="E109" s="9" t="s">
        <v>106</v>
      </c>
      <c r="F109" s="1"/>
      <c r="G109" s="1"/>
      <c r="H109" s="1"/>
      <c r="I109" s="3"/>
      <c r="J109" s="3" t="e">
        <f>INDEX(UnitCosts[],MATCH(Table3[[#This Row],[WORK TYPE]],UnitCosts[Work Type],0),2)*VLOOKUP(Table3[[#This Row],[DEVELOPMENT]],Data[],MATCH(Table3[[#This Row],[WORK TYPE]],Data[#Headers],0),FALSE)</f>
        <v>#N/A</v>
      </c>
      <c r="K109" s="1"/>
      <c r="N109" s="48"/>
      <c r="O109" s="48"/>
      <c r="P109" s="48"/>
    </row>
    <row r="110" spans="1:16" x14ac:dyDescent="0.25">
      <c r="A110" s="1" t="str">
        <f>VLOOKUP(C110,Data[],2,FALSE)</f>
        <v>MANHATTAN</v>
      </c>
      <c r="B110" s="1"/>
      <c r="C110" s="1" t="s">
        <v>146</v>
      </c>
      <c r="D110" s="9" t="s">
        <v>398</v>
      </c>
      <c r="E110" s="9" t="s">
        <v>68</v>
      </c>
      <c r="F110" s="1"/>
      <c r="G110" s="1"/>
      <c r="H110" s="1"/>
      <c r="I110" s="3"/>
      <c r="J110" s="3" t="e">
        <f>INDEX(UnitCosts[],MATCH(Table3[[#This Row],[WORK TYPE]],UnitCosts[Work Type],0),2)*VLOOKUP(Table3[[#This Row],[DEVELOPMENT]],Data[],MATCH(Table3[[#This Row],[WORK TYPE]],Data[#Headers],0),FALSE)</f>
        <v>#N/A</v>
      </c>
      <c r="K110" s="1"/>
      <c r="M110" s="46"/>
      <c r="N110" s="45"/>
      <c r="O110" s="45"/>
      <c r="P110" s="47"/>
    </row>
    <row r="111" spans="1:16" x14ac:dyDescent="0.25">
      <c r="A111" s="1" t="str">
        <f>VLOOKUP(C111,Data[],2,FALSE)</f>
        <v>MANHATTAN</v>
      </c>
      <c r="B111" s="1"/>
      <c r="C111" s="1" t="s">
        <v>129</v>
      </c>
      <c r="D111" s="9" t="s">
        <v>398</v>
      </c>
      <c r="E111" s="9" t="s">
        <v>68</v>
      </c>
      <c r="F111" s="1"/>
      <c r="G111" s="1"/>
      <c r="H111" s="1"/>
      <c r="I111" s="3"/>
      <c r="J111" s="3" t="e">
        <f>INDEX(UnitCosts[],MATCH(Table3[[#This Row],[WORK TYPE]],UnitCosts[Work Type],0),2)*VLOOKUP(Table3[[#This Row],[DEVELOPMENT]],Data[],MATCH(Table3[[#This Row],[WORK TYPE]],Data[#Headers],0),FALSE)</f>
        <v>#N/A</v>
      </c>
      <c r="K111" s="1"/>
      <c r="M111" s="46"/>
      <c r="N111" s="45"/>
      <c r="O111" s="45"/>
      <c r="P111" s="47"/>
    </row>
    <row r="112" spans="1:16" x14ac:dyDescent="0.25">
      <c r="A112" s="1" t="str">
        <f>VLOOKUP(C112,Data[],2,FALSE)</f>
        <v>MANHATTAN</v>
      </c>
      <c r="B112" s="1"/>
      <c r="C112" s="1" t="s">
        <v>131</v>
      </c>
      <c r="D112" s="9" t="s">
        <v>398</v>
      </c>
      <c r="E112" s="9" t="s">
        <v>68</v>
      </c>
      <c r="F112" s="1"/>
      <c r="G112" s="1"/>
      <c r="H112" s="1"/>
      <c r="I112" s="3"/>
      <c r="J112" s="3" t="e">
        <f>INDEX(UnitCosts[],MATCH(Table3[[#This Row],[WORK TYPE]],UnitCosts[Work Type],0),2)*VLOOKUP(Table3[[#This Row],[DEVELOPMENT]],Data[],MATCH(Table3[[#This Row],[WORK TYPE]],Data[#Headers],0),FALSE)</f>
        <v>#N/A</v>
      </c>
      <c r="K112" s="1"/>
      <c r="M112" s="46"/>
      <c r="N112" s="45"/>
      <c r="O112" s="45"/>
      <c r="P112" s="47"/>
    </row>
    <row r="113" spans="1:16" x14ac:dyDescent="0.25">
      <c r="A113" s="1" t="str">
        <f>VLOOKUP(C113,Data[],2,FALSE)</f>
        <v>MANHATTAN</v>
      </c>
      <c r="B113" s="1"/>
      <c r="C113" s="1" t="s">
        <v>133</v>
      </c>
      <c r="D113" s="9" t="s">
        <v>398</v>
      </c>
      <c r="E113" s="9" t="s">
        <v>68</v>
      </c>
      <c r="F113" s="1"/>
      <c r="G113" s="1"/>
      <c r="H113" s="1"/>
      <c r="I113" s="3"/>
      <c r="J113" s="3" t="e">
        <f>INDEX(UnitCosts[],MATCH(Table3[[#This Row],[WORK TYPE]],UnitCosts[Work Type],0),2)*VLOOKUP(Table3[[#This Row],[DEVELOPMENT]],Data[],MATCH(Table3[[#This Row],[WORK TYPE]],Data[#Headers],0),FALSE)</f>
        <v>#N/A</v>
      </c>
      <c r="K113" s="1"/>
      <c r="M113" s="46"/>
      <c r="N113" s="45"/>
      <c r="O113" s="45"/>
      <c r="P113" s="47"/>
    </row>
    <row r="114" spans="1:16" x14ac:dyDescent="0.25">
      <c r="A114" s="1" t="str">
        <f>VLOOKUP(C114,Data[],2,FALSE)</f>
        <v>MANHATTAN</v>
      </c>
      <c r="B114" s="1"/>
      <c r="C114" s="1" t="s">
        <v>137</v>
      </c>
      <c r="D114" s="9" t="s">
        <v>398</v>
      </c>
      <c r="E114" s="9" t="s">
        <v>68</v>
      </c>
      <c r="F114" s="1"/>
      <c r="G114" s="1"/>
      <c r="H114" s="1"/>
      <c r="I114" s="3"/>
      <c r="J114" s="3" t="e">
        <f>INDEX(UnitCosts[],MATCH(Table3[[#This Row],[WORK TYPE]],UnitCosts[Work Type],0),2)*VLOOKUP(Table3[[#This Row],[DEVELOPMENT]],Data[],MATCH(Table3[[#This Row],[WORK TYPE]],Data[#Headers],0),FALSE)</f>
        <v>#N/A</v>
      </c>
      <c r="K114" s="1"/>
      <c r="M114" s="46"/>
      <c r="N114" s="45"/>
      <c r="O114" s="45"/>
      <c r="P114" s="47"/>
    </row>
    <row r="115" spans="1:16" x14ac:dyDescent="0.25">
      <c r="A115" s="1" t="str">
        <f>VLOOKUP(C115,Data[],2,FALSE)</f>
        <v>MANHATTAN</v>
      </c>
      <c r="B115" s="1"/>
      <c r="C115" s="1" t="s">
        <v>125</v>
      </c>
      <c r="D115" s="9" t="s">
        <v>398</v>
      </c>
      <c r="E115" s="9" t="s">
        <v>68</v>
      </c>
      <c r="F115" s="1"/>
      <c r="G115" s="1"/>
      <c r="H115" s="1"/>
      <c r="I115" s="3"/>
      <c r="J115" s="3" t="e">
        <f>INDEX(UnitCosts[],MATCH(Table3[[#This Row],[WORK TYPE]],UnitCosts[Work Type],0),2)*VLOOKUP(Table3[[#This Row],[DEVELOPMENT]],Data[],MATCH(Table3[[#This Row],[WORK TYPE]],Data[#Headers],0),FALSE)</f>
        <v>#N/A</v>
      </c>
      <c r="K115" s="1"/>
      <c r="M115" s="46"/>
      <c r="N115" s="45"/>
      <c r="O115" s="45"/>
      <c r="P115" s="47"/>
    </row>
    <row r="116" spans="1:16" x14ac:dyDescent="0.25">
      <c r="A116" s="1" t="str">
        <f>VLOOKUP(C116,Data[],2,FALSE)</f>
        <v>MANHATTAN</v>
      </c>
      <c r="B116" s="1"/>
      <c r="C116" s="1" t="s">
        <v>126</v>
      </c>
      <c r="D116" s="9" t="s">
        <v>398</v>
      </c>
      <c r="E116" s="9" t="s">
        <v>68</v>
      </c>
      <c r="F116" s="1"/>
      <c r="G116" s="1"/>
      <c r="H116" s="1"/>
      <c r="I116" s="3"/>
      <c r="J116" s="3" t="e">
        <f>INDEX(UnitCosts[],MATCH(Table3[[#This Row],[WORK TYPE]],UnitCosts[Work Type],0),2)*VLOOKUP(Table3[[#This Row],[DEVELOPMENT]],Data[],MATCH(Table3[[#This Row],[WORK TYPE]],Data[#Headers],0),FALSE)</f>
        <v>#N/A</v>
      </c>
      <c r="K116" s="1"/>
      <c r="M116" s="46"/>
      <c r="N116" s="45"/>
      <c r="O116" s="45"/>
      <c r="P116" s="47"/>
    </row>
    <row r="117" spans="1:16" x14ac:dyDescent="0.25">
      <c r="A117" s="1" t="str">
        <f>VLOOKUP(C117,Data[],2,FALSE)</f>
        <v>MANHATTAN</v>
      </c>
      <c r="B117" s="1"/>
      <c r="C117" s="1" t="s">
        <v>100</v>
      </c>
      <c r="D117" s="9" t="s">
        <v>398</v>
      </c>
      <c r="E117" s="9" t="s">
        <v>68</v>
      </c>
      <c r="F117" s="1"/>
      <c r="G117" s="1"/>
      <c r="H117" s="1"/>
      <c r="I117" s="3"/>
      <c r="J117" s="3" t="e">
        <f>INDEX(UnitCosts[],MATCH(Table3[[#This Row],[WORK TYPE]],UnitCosts[Work Type],0),2)*VLOOKUP(Table3[[#This Row],[DEVELOPMENT]],Data[],MATCH(Table3[[#This Row],[WORK TYPE]],Data[#Headers],0),FALSE)</f>
        <v>#N/A</v>
      </c>
      <c r="K117" s="1"/>
      <c r="M117" s="46"/>
      <c r="N117" s="45"/>
      <c r="O117" s="45"/>
      <c r="P117" s="47"/>
    </row>
    <row r="118" spans="1:16" x14ac:dyDescent="0.25">
      <c r="A118" s="1" t="str">
        <f>VLOOKUP(C118,Data[],2,FALSE)</f>
        <v>MANHATTAN</v>
      </c>
      <c r="B118" s="1"/>
      <c r="C118" s="1" t="s">
        <v>116</v>
      </c>
      <c r="D118" s="9" t="s">
        <v>398</v>
      </c>
      <c r="E118" s="9" t="s">
        <v>68</v>
      </c>
      <c r="F118" s="1"/>
      <c r="G118" s="1"/>
      <c r="H118" s="1"/>
      <c r="I118" s="3"/>
      <c r="J118" s="3" t="e">
        <f>INDEX(UnitCosts[],MATCH(Table3[[#This Row],[WORK TYPE]],UnitCosts[Work Type],0),2)*VLOOKUP(Table3[[#This Row],[DEVELOPMENT]],Data[],MATCH(Table3[[#This Row],[WORK TYPE]],Data[#Headers],0),FALSE)</f>
        <v>#N/A</v>
      </c>
      <c r="K118" s="1"/>
      <c r="M118" s="46"/>
      <c r="N118" s="45"/>
      <c r="O118" s="45"/>
      <c r="P118" s="47"/>
    </row>
    <row r="119" spans="1:16" x14ac:dyDescent="0.25">
      <c r="A119" s="1" t="str">
        <f>VLOOKUP(C119,Data[],2,FALSE)</f>
        <v>MANHATTAN</v>
      </c>
      <c r="B119" s="1"/>
      <c r="C119" s="1" t="s">
        <v>127</v>
      </c>
      <c r="D119" s="9" t="s">
        <v>398</v>
      </c>
      <c r="E119" s="9" t="s">
        <v>68</v>
      </c>
      <c r="F119" s="1"/>
      <c r="G119" s="1"/>
      <c r="H119" s="1"/>
      <c r="I119" s="3"/>
      <c r="J119" s="3" t="e">
        <f>INDEX(UnitCosts[],MATCH(Table3[[#This Row],[WORK TYPE]],UnitCosts[Work Type],0),2)*VLOOKUP(Table3[[#This Row],[DEVELOPMENT]],Data[],MATCH(Table3[[#This Row],[WORK TYPE]],Data[#Headers],0),FALSE)</f>
        <v>#N/A</v>
      </c>
      <c r="K119" s="1"/>
      <c r="M119" s="46"/>
      <c r="N119" s="45"/>
      <c r="O119" s="45"/>
      <c r="P119" s="47"/>
    </row>
    <row r="120" spans="1:16" x14ac:dyDescent="0.25">
      <c r="A120" s="1" t="str">
        <f>VLOOKUP(C120,Data[],2,FALSE)</f>
        <v>MANHATTAN</v>
      </c>
      <c r="B120" s="1"/>
      <c r="C120" s="1" t="s">
        <v>122</v>
      </c>
      <c r="D120" s="9" t="s">
        <v>398</v>
      </c>
      <c r="E120" s="9" t="s">
        <v>68</v>
      </c>
      <c r="F120" s="1"/>
      <c r="G120" s="1"/>
      <c r="H120" s="1"/>
      <c r="I120" s="3"/>
      <c r="J120" s="3" t="e">
        <f>INDEX(UnitCosts[],MATCH(Table3[[#This Row],[WORK TYPE]],UnitCosts[Work Type],0),2)*VLOOKUP(Table3[[#This Row],[DEVELOPMENT]],Data[],MATCH(Table3[[#This Row],[WORK TYPE]],Data[#Headers],0),FALSE)</f>
        <v>#N/A</v>
      </c>
      <c r="K120" s="1"/>
      <c r="M120" s="46"/>
      <c r="N120" s="45"/>
      <c r="O120" s="45"/>
      <c r="P120" s="47"/>
    </row>
    <row r="121" spans="1:16" x14ac:dyDescent="0.25">
      <c r="A121" s="1" t="str">
        <f>VLOOKUP(C121,Data[],2,FALSE)</f>
        <v>MANHATTAN</v>
      </c>
      <c r="B121" s="1"/>
      <c r="C121" s="1" t="s">
        <v>120</v>
      </c>
      <c r="D121" s="9" t="s">
        <v>398</v>
      </c>
      <c r="E121" s="9" t="s">
        <v>68</v>
      </c>
      <c r="F121" s="1"/>
      <c r="G121" s="1"/>
      <c r="H121" s="1"/>
      <c r="I121" s="3"/>
      <c r="J121" s="3" t="e">
        <f>INDEX(UnitCosts[],MATCH(Table3[[#This Row],[WORK TYPE]],UnitCosts[Work Type],0),2)*VLOOKUP(Table3[[#This Row],[DEVELOPMENT]],Data[],MATCH(Table3[[#This Row],[WORK TYPE]],Data[#Headers],0),FALSE)</f>
        <v>#N/A</v>
      </c>
      <c r="K121" s="1"/>
      <c r="M121" s="46"/>
      <c r="N121" s="45"/>
      <c r="O121" s="45"/>
      <c r="P121" s="47"/>
    </row>
    <row r="122" spans="1:16" x14ac:dyDescent="0.25">
      <c r="A122" s="1" t="str">
        <f>VLOOKUP(C122,Data[],2,FALSE)</f>
        <v>MANHATTAN</v>
      </c>
      <c r="B122" s="1"/>
      <c r="C122" s="1" t="s">
        <v>113</v>
      </c>
      <c r="D122" s="9" t="s">
        <v>398</v>
      </c>
      <c r="E122" s="9" t="s">
        <v>68</v>
      </c>
      <c r="F122" s="1"/>
      <c r="G122" s="1"/>
      <c r="H122" s="1"/>
      <c r="I122" s="3"/>
      <c r="J122" s="3" t="e">
        <f>INDEX(UnitCosts[],MATCH(Table3[[#This Row],[WORK TYPE]],UnitCosts[Work Type],0),2)*VLOOKUP(Table3[[#This Row],[DEVELOPMENT]],Data[],MATCH(Table3[[#This Row],[WORK TYPE]],Data[#Headers],0),FALSE)</f>
        <v>#N/A</v>
      </c>
      <c r="K122" s="1"/>
      <c r="M122" s="46"/>
      <c r="N122" s="45"/>
      <c r="O122" s="45"/>
      <c r="P122" s="47"/>
    </row>
    <row r="123" spans="1:16" x14ac:dyDescent="0.25">
      <c r="A123" s="1" t="str">
        <f>VLOOKUP(C123,Data[],2,FALSE)</f>
        <v>MANHATTAN</v>
      </c>
      <c r="B123" s="1"/>
      <c r="C123" s="1" t="s">
        <v>115</v>
      </c>
      <c r="D123" s="9" t="s">
        <v>398</v>
      </c>
      <c r="E123" s="9" t="s">
        <v>68</v>
      </c>
      <c r="F123" s="1"/>
      <c r="G123" s="1"/>
      <c r="H123" s="1"/>
      <c r="I123" s="3"/>
      <c r="J123" s="3" t="e">
        <f>INDEX(UnitCosts[],MATCH(Table3[[#This Row],[WORK TYPE]],UnitCosts[Work Type],0),2)*VLOOKUP(Table3[[#This Row],[DEVELOPMENT]],Data[],MATCH(Table3[[#This Row],[WORK TYPE]],Data[#Headers],0),FALSE)</f>
        <v>#N/A</v>
      </c>
      <c r="K123" s="1"/>
      <c r="M123" s="46"/>
      <c r="N123" s="45"/>
      <c r="O123" s="45"/>
      <c r="P123" s="47"/>
    </row>
    <row r="124" spans="1:16" x14ac:dyDescent="0.25">
      <c r="A124" s="1" t="str">
        <f>VLOOKUP(C124,Data[],2,FALSE)</f>
        <v>MANHATTAN</v>
      </c>
      <c r="B124" s="1"/>
      <c r="C124" s="1" t="s">
        <v>112</v>
      </c>
      <c r="D124" s="9" t="s">
        <v>398</v>
      </c>
      <c r="E124" s="9" t="s">
        <v>68</v>
      </c>
      <c r="F124" s="1"/>
      <c r="G124" s="1"/>
      <c r="H124" s="1"/>
      <c r="I124" s="3"/>
      <c r="J124" s="3" t="e">
        <f>INDEX(UnitCosts[],MATCH(Table3[[#This Row],[WORK TYPE]],UnitCosts[Work Type],0),2)*VLOOKUP(Table3[[#This Row],[DEVELOPMENT]],Data[],MATCH(Table3[[#This Row],[WORK TYPE]],Data[#Headers],0),FALSE)</f>
        <v>#N/A</v>
      </c>
      <c r="K124" s="1"/>
      <c r="M124" s="46"/>
      <c r="N124" s="45"/>
      <c r="O124" s="45"/>
      <c r="P124" s="47"/>
    </row>
    <row r="125" spans="1:16" x14ac:dyDescent="0.25">
      <c r="A125" s="1" t="str">
        <f>VLOOKUP(C125,Data[],2,FALSE)</f>
        <v>MANHATTAN</v>
      </c>
      <c r="B125" s="1"/>
      <c r="C125" s="1" t="s">
        <v>77</v>
      </c>
      <c r="D125" s="9" t="s">
        <v>398</v>
      </c>
      <c r="E125" s="9" t="s">
        <v>68</v>
      </c>
      <c r="F125" s="1"/>
      <c r="G125" s="1"/>
      <c r="H125" s="1"/>
      <c r="I125" s="3"/>
      <c r="J125" s="3" t="e">
        <f>INDEX(UnitCosts[],MATCH(Table3[[#This Row],[WORK TYPE]],UnitCosts[Work Type],0),2)*VLOOKUP(Table3[[#This Row],[DEVELOPMENT]],Data[],MATCH(Table3[[#This Row],[WORK TYPE]],Data[#Headers],0),FALSE)</f>
        <v>#N/A</v>
      </c>
      <c r="K125" s="1"/>
      <c r="M125" s="46"/>
      <c r="N125" s="45"/>
      <c r="O125" s="45"/>
      <c r="P125" s="47"/>
    </row>
    <row r="126" spans="1:16" x14ac:dyDescent="0.25">
      <c r="A126" s="1" t="str">
        <f>VLOOKUP(C126,Data[],2,FALSE)</f>
        <v>MANHATTAN</v>
      </c>
      <c r="B126" s="1"/>
      <c r="C126" s="1" t="s">
        <v>83</v>
      </c>
      <c r="D126" s="9" t="s">
        <v>398</v>
      </c>
      <c r="E126" s="9" t="s">
        <v>68</v>
      </c>
      <c r="F126" s="1"/>
      <c r="G126" s="1"/>
      <c r="H126" s="1"/>
      <c r="I126" s="3"/>
      <c r="J126" s="3" t="e">
        <f>INDEX(UnitCosts[],MATCH(Table3[[#This Row],[WORK TYPE]],UnitCosts[Work Type],0),2)*VLOOKUP(Table3[[#This Row],[DEVELOPMENT]],Data[],MATCH(Table3[[#This Row],[WORK TYPE]],Data[#Headers],0),FALSE)</f>
        <v>#N/A</v>
      </c>
      <c r="K126" s="1"/>
      <c r="M126" s="46"/>
      <c r="N126" s="45"/>
      <c r="O126" s="45"/>
      <c r="P126" s="47"/>
    </row>
    <row r="127" spans="1:16" x14ac:dyDescent="0.25">
      <c r="A127" s="1" t="str">
        <f>VLOOKUP(C127,Data[],2,FALSE)</f>
        <v>MANHATTAN</v>
      </c>
      <c r="B127" s="1"/>
      <c r="C127" s="1" t="s">
        <v>136</v>
      </c>
      <c r="D127" s="9" t="s">
        <v>398</v>
      </c>
      <c r="E127" s="9" t="s">
        <v>68</v>
      </c>
      <c r="F127" s="1"/>
      <c r="G127" s="1"/>
      <c r="H127" s="1"/>
      <c r="I127" s="3"/>
      <c r="J127" s="3" t="e">
        <f>INDEX(UnitCosts[],MATCH(Table3[[#This Row],[WORK TYPE]],UnitCosts[Work Type],0),2)*VLOOKUP(Table3[[#This Row],[DEVELOPMENT]],Data[],MATCH(Table3[[#This Row],[WORK TYPE]],Data[#Headers],0),FALSE)</f>
        <v>#N/A</v>
      </c>
      <c r="K127" s="1"/>
      <c r="M127" s="46"/>
      <c r="N127" s="45"/>
      <c r="O127" s="45"/>
      <c r="P127" s="47"/>
    </row>
    <row r="128" spans="1:16" x14ac:dyDescent="0.25">
      <c r="A128" s="1" t="str">
        <f>VLOOKUP(C128,Data[],2,FALSE)</f>
        <v>MANHATTAN</v>
      </c>
      <c r="B128" s="1"/>
      <c r="C128" s="1" t="s">
        <v>78</v>
      </c>
      <c r="D128" s="9" t="s">
        <v>398</v>
      </c>
      <c r="E128" s="9" t="s">
        <v>68</v>
      </c>
      <c r="F128" s="1"/>
      <c r="G128" s="1"/>
      <c r="H128" s="1"/>
      <c r="I128" s="3"/>
      <c r="J128" s="3" t="e">
        <f>INDEX(UnitCosts[],MATCH(Table3[[#This Row],[WORK TYPE]],UnitCosts[Work Type],0),2)*VLOOKUP(Table3[[#This Row],[DEVELOPMENT]],Data[],MATCH(Table3[[#This Row],[WORK TYPE]],Data[#Headers],0),FALSE)</f>
        <v>#N/A</v>
      </c>
      <c r="K128" s="1"/>
      <c r="M128" s="46"/>
      <c r="N128" s="45"/>
      <c r="O128" s="45"/>
      <c r="P128" s="47"/>
    </row>
    <row r="129" spans="1:16" x14ac:dyDescent="0.25">
      <c r="A129" s="1" t="str">
        <f>VLOOKUP(C129,Data[],2,FALSE)</f>
        <v>MANHATTAN</v>
      </c>
      <c r="B129" s="1"/>
      <c r="C129" s="1" t="s">
        <v>128</v>
      </c>
      <c r="D129" s="9" t="s">
        <v>398</v>
      </c>
      <c r="E129" s="9" t="s">
        <v>68</v>
      </c>
      <c r="F129" s="1"/>
      <c r="G129" s="1"/>
      <c r="H129" s="1"/>
      <c r="I129" s="3"/>
      <c r="J129" s="3" t="e">
        <f>INDEX(UnitCosts[],MATCH(Table3[[#This Row],[WORK TYPE]],UnitCosts[Work Type],0),2)*VLOOKUP(Table3[[#This Row],[DEVELOPMENT]],Data[],MATCH(Table3[[#This Row],[WORK TYPE]],Data[#Headers],0),FALSE)</f>
        <v>#N/A</v>
      </c>
      <c r="K129" s="1"/>
      <c r="M129" s="46"/>
      <c r="N129" s="45"/>
      <c r="O129" s="45"/>
      <c r="P129" s="47"/>
    </row>
    <row r="130" spans="1:16" x14ac:dyDescent="0.25">
      <c r="A130" s="1" t="str">
        <f>VLOOKUP(C130,Data[],2,FALSE)</f>
        <v>MANHATTAN</v>
      </c>
      <c r="B130" s="1"/>
      <c r="C130" s="1" t="s">
        <v>95</v>
      </c>
      <c r="D130" s="9" t="s">
        <v>398</v>
      </c>
      <c r="E130" s="9" t="s">
        <v>68</v>
      </c>
      <c r="F130" s="1"/>
      <c r="G130" s="1"/>
      <c r="H130" s="1"/>
      <c r="I130" s="3"/>
      <c r="J130" s="3" t="e">
        <f>INDEX(UnitCosts[],MATCH(Table3[[#This Row],[WORK TYPE]],UnitCosts[Work Type],0),2)*VLOOKUP(Table3[[#This Row],[DEVELOPMENT]],Data[],MATCH(Table3[[#This Row],[WORK TYPE]],Data[#Headers],0),FALSE)</f>
        <v>#N/A</v>
      </c>
      <c r="K130" s="1"/>
      <c r="M130" s="46"/>
      <c r="N130" s="45"/>
      <c r="O130" s="45"/>
      <c r="P130" s="47"/>
    </row>
    <row r="131" spans="1:16" x14ac:dyDescent="0.25">
      <c r="A131" s="1" t="str">
        <f>VLOOKUP(C131,Data[],2,FALSE)</f>
        <v>MANHATTAN</v>
      </c>
      <c r="B131" s="1"/>
      <c r="C131" s="1" t="s">
        <v>90</v>
      </c>
      <c r="D131" s="9" t="s">
        <v>398</v>
      </c>
      <c r="E131" s="9" t="s">
        <v>68</v>
      </c>
      <c r="F131" s="1"/>
      <c r="G131" s="1"/>
      <c r="H131" s="1"/>
      <c r="I131" s="3"/>
      <c r="J131" s="3" t="e">
        <f>INDEX(UnitCosts[],MATCH(Table3[[#This Row],[WORK TYPE]],UnitCosts[Work Type],0),2)*VLOOKUP(Table3[[#This Row],[DEVELOPMENT]],Data[],MATCH(Table3[[#This Row],[WORK TYPE]],Data[#Headers],0),FALSE)</f>
        <v>#N/A</v>
      </c>
      <c r="K131" s="1"/>
      <c r="M131" s="46"/>
      <c r="N131" s="45"/>
      <c r="O131" s="45"/>
      <c r="P131" s="47"/>
    </row>
    <row r="132" spans="1:16" x14ac:dyDescent="0.25">
      <c r="A132" s="1" t="str">
        <f>VLOOKUP(C132,Data[],2,FALSE)</f>
        <v>MANHATTAN</v>
      </c>
      <c r="B132" s="1"/>
      <c r="C132" s="1" t="s">
        <v>81</v>
      </c>
      <c r="D132" s="9" t="s">
        <v>398</v>
      </c>
      <c r="E132" s="9" t="s">
        <v>68</v>
      </c>
      <c r="F132" s="1"/>
      <c r="G132" s="1"/>
      <c r="H132" s="1"/>
      <c r="I132" s="3"/>
      <c r="J132" s="3" t="e">
        <f>INDEX(UnitCosts[],MATCH(Table3[[#This Row],[WORK TYPE]],UnitCosts[Work Type],0),2)*VLOOKUP(Table3[[#This Row],[DEVELOPMENT]],Data[],MATCH(Table3[[#This Row],[WORK TYPE]],Data[#Headers],0),FALSE)</f>
        <v>#N/A</v>
      </c>
      <c r="K132" s="1"/>
      <c r="M132" s="46"/>
      <c r="N132" s="45"/>
      <c r="O132" s="45"/>
      <c r="P132" s="47"/>
    </row>
    <row r="133" spans="1:16" x14ac:dyDescent="0.25">
      <c r="A133" s="1" t="str">
        <f>VLOOKUP(C133,Data[],2,FALSE)</f>
        <v>MANHATTAN</v>
      </c>
      <c r="B133" s="1"/>
      <c r="C133" s="1" t="s">
        <v>74</v>
      </c>
      <c r="D133" s="9" t="s">
        <v>398</v>
      </c>
      <c r="E133" s="9" t="s">
        <v>68</v>
      </c>
      <c r="F133" s="1"/>
      <c r="G133" s="1"/>
      <c r="H133" s="1"/>
      <c r="I133" s="3"/>
      <c r="J133" s="3" t="e">
        <f>INDEX(UnitCosts[],MATCH(Table3[[#This Row],[WORK TYPE]],UnitCosts[Work Type],0),2)*VLOOKUP(Table3[[#This Row],[DEVELOPMENT]],Data[],MATCH(Table3[[#This Row],[WORK TYPE]],Data[#Headers],0),FALSE)</f>
        <v>#N/A</v>
      </c>
      <c r="K133" s="1"/>
      <c r="M133" s="46"/>
      <c r="N133" s="45"/>
      <c r="O133" s="45"/>
      <c r="P133" s="47"/>
    </row>
    <row r="134" spans="1:16" x14ac:dyDescent="0.25">
      <c r="A134" s="1" t="str">
        <f>VLOOKUP(C134,Data[],2,FALSE)</f>
        <v>MANHATTAN</v>
      </c>
      <c r="B134" s="1"/>
      <c r="C134" s="1" t="s">
        <v>67</v>
      </c>
      <c r="D134" s="9" t="s">
        <v>398</v>
      </c>
      <c r="E134" s="9" t="s">
        <v>68</v>
      </c>
      <c r="F134" s="1"/>
      <c r="G134" s="1"/>
      <c r="H134" s="1"/>
      <c r="I134" s="3"/>
      <c r="J134" s="3" t="e">
        <f>INDEX(UnitCosts[],MATCH(Table3[[#This Row],[WORK TYPE]],UnitCosts[Work Type],0),2)*VLOOKUP(Table3[[#This Row],[DEVELOPMENT]],Data[],MATCH(Table3[[#This Row],[WORK TYPE]],Data[#Headers],0),FALSE)</f>
        <v>#N/A</v>
      </c>
      <c r="K134" s="1"/>
      <c r="M134" s="46"/>
      <c r="N134" s="45"/>
      <c r="O134" s="45"/>
      <c r="P134" s="47"/>
    </row>
    <row r="135" spans="1:16" x14ac:dyDescent="0.25">
      <c r="A135" s="1" t="str">
        <f>VLOOKUP(C135,Data[],2,FALSE)</f>
        <v>MANHATTAN</v>
      </c>
      <c r="B135" s="1"/>
      <c r="C135" s="1" t="s">
        <v>102</v>
      </c>
      <c r="D135" s="9" t="s">
        <v>398</v>
      </c>
      <c r="E135" s="9" t="s">
        <v>68</v>
      </c>
      <c r="F135" s="1"/>
      <c r="G135" s="1"/>
      <c r="H135" s="1"/>
      <c r="I135" s="3"/>
      <c r="J135" s="3" t="e">
        <f>INDEX(UnitCosts[],MATCH(Table3[[#This Row],[WORK TYPE]],UnitCosts[Work Type],0),2)*VLOOKUP(Table3[[#This Row],[DEVELOPMENT]],Data[],MATCH(Table3[[#This Row],[WORK TYPE]],Data[#Headers],0),FALSE)</f>
        <v>#N/A</v>
      </c>
      <c r="K135" s="1"/>
      <c r="M135" s="46"/>
      <c r="N135" s="45"/>
      <c r="O135" s="45"/>
      <c r="P135" s="47"/>
    </row>
    <row r="136" spans="1:16" x14ac:dyDescent="0.25">
      <c r="A136" s="1" t="str">
        <f>VLOOKUP(C136,Data[],2,FALSE)</f>
        <v>MANHATTAN</v>
      </c>
      <c r="B136" s="1"/>
      <c r="C136" s="1" t="s">
        <v>107</v>
      </c>
      <c r="D136" s="9" t="s">
        <v>398</v>
      </c>
      <c r="E136" s="9" t="s">
        <v>68</v>
      </c>
      <c r="F136" s="1"/>
      <c r="G136" s="1"/>
      <c r="H136" s="1"/>
      <c r="I136" s="3"/>
      <c r="J136" s="3" t="e">
        <f>INDEX(UnitCosts[],MATCH(Table3[[#This Row],[WORK TYPE]],UnitCosts[Work Type],0),2)*VLOOKUP(Table3[[#This Row],[DEVELOPMENT]],Data[],MATCH(Table3[[#This Row],[WORK TYPE]],Data[#Headers],0),FALSE)</f>
        <v>#N/A</v>
      </c>
      <c r="K136" s="1"/>
      <c r="M136" s="46"/>
      <c r="N136" s="45"/>
      <c r="O136" s="45"/>
      <c r="P136" s="47"/>
    </row>
    <row r="137" spans="1:16" x14ac:dyDescent="0.25">
      <c r="A137" s="1" t="str">
        <f>VLOOKUP(C137,Data[],2,FALSE)</f>
        <v>MANHATTAN</v>
      </c>
      <c r="B137" s="1"/>
      <c r="C137" s="1" t="s">
        <v>92</v>
      </c>
      <c r="D137" s="9" t="s">
        <v>398</v>
      </c>
      <c r="E137" s="9" t="s">
        <v>68</v>
      </c>
      <c r="F137" s="1"/>
      <c r="G137" s="1"/>
      <c r="H137" s="1"/>
      <c r="I137" s="3"/>
      <c r="J137" s="3" t="e">
        <f>INDEX(UnitCosts[],MATCH(Table3[[#This Row],[WORK TYPE]],UnitCosts[Work Type],0),2)*VLOOKUP(Table3[[#This Row],[DEVELOPMENT]],Data[],MATCH(Table3[[#This Row],[WORK TYPE]],Data[#Headers],0),FALSE)</f>
        <v>#N/A</v>
      </c>
      <c r="K137" s="1"/>
      <c r="M137" s="46"/>
      <c r="N137" s="45"/>
      <c r="O137" s="45"/>
      <c r="P137" s="47"/>
    </row>
    <row r="138" spans="1:16" x14ac:dyDescent="0.25">
      <c r="A138" s="1" t="str">
        <f>VLOOKUP(C138,Data[],2,FALSE)</f>
        <v>MANHATTAN</v>
      </c>
      <c r="B138" s="1"/>
      <c r="C138" s="1" t="s">
        <v>299</v>
      </c>
      <c r="D138" s="9" t="s">
        <v>398</v>
      </c>
      <c r="E138" s="9" t="s">
        <v>68</v>
      </c>
      <c r="F138" s="1"/>
      <c r="G138" s="1"/>
      <c r="H138" s="1"/>
      <c r="I138" s="3"/>
      <c r="J138" s="3" t="e">
        <f>INDEX(UnitCosts[],MATCH(Table3[[#This Row],[WORK TYPE]],UnitCosts[Work Type],0),2)*VLOOKUP(Table3[[#This Row],[DEVELOPMENT]],Data[],MATCH(Table3[[#This Row],[WORK TYPE]],Data[#Headers],0),FALSE)</f>
        <v>#N/A</v>
      </c>
      <c r="K138" s="1"/>
      <c r="M138" s="46"/>
      <c r="N138" s="45"/>
      <c r="O138" s="45"/>
      <c r="P138" s="47"/>
    </row>
    <row r="139" spans="1:16" x14ac:dyDescent="0.25">
      <c r="A139" s="1" t="str">
        <f>VLOOKUP(C139,Data[],2,FALSE)</f>
        <v>MANHATTAN</v>
      </c>
      <c r="B139" s="1"/>
      <c r="C139" s="1" t="s">
        <v>129</v>
      </c>
      <c r="D139" s="9" t="s">
        <v>398</v>
      </c>
      <c r="E139" s="1" t="s">
        <v>109</v>
      </c>
      <c r="F139" s="1"/>
      <c r="G139" s="1"/>
      <c r="H139" s="1"/>
      <c r="I139" s="3"/>
      <c r="J139" s="3">
        <f>INDEX(UnitCosts[],MATCH(Table3[[#This Row],[WORK TYPE]],UnitCosts[Work Type],0),2)*VLOOKUP(Table3[[#This Row],[DEVELOPMENT]],Data[],MATCH(Table3[[#This Row],[WORK TYPE]],Data[#Headers],0),FALSE)</f>
        <v>1307070</v>
      </c>
      <c r="K139" s="1"/>
    </row>
    <row r="140" spans="1:16" x14ac:dyDescent="0.25">
      <c r="A140" s="1" t="str">
        <f>VLOOKUP(C140,Data[],2,FALSE)</f>
        <v>MANHATTAN</v>
      </c>
      <c r="B140" s="1"/>
      <c r="C140" s="1" t="s">
        <v>131</v>
      </c>
      <c r="D140" s="9" t="s">
        <v>398</v>
      </c>
      <c r="E140" s="1" t="s">
        <v>109</v>
      </c>
      <c r="F140" s="1"/>
      <c r="G140" s="1"/>
      <c r="H140" s="1"/>
      <c r="I140" s="3"/>
      <c r="J140" s="3">
        <f>INDEX(UnitCosts[],MATCH(Table3[[#This Row],[WORK TYPE]],UnitCosts[Work Type],0),2)*VLOOKUP(Table3[[#This Row],[DEVELOPMENT]],Data[],MATCH(Table3[[#This Row],[WORK TYPE]],Data[#Headers],0),FALSE)</f>
        <v>1307070</v>
      </c>
      <c r="K140" s="1"/>
    </row>
    <row r="141" spans="1:16" x14ac:dyDescent="0.25">
      <c r="A141" s="1" t="str">
        <f>VLOOKUP(C141,Data[],2,FALSE)</f>
        <v>MANHATTAN</v>
      </c>
      <c r="B141" s="1"/>
      <c r="C141" s="1" t="s">
        <v>133</v>
      </c>
      <c r="D141" s="9" t="s">
        <v>398</v>
      </c>
      <c r="E141" s="1" t="s">
        <v>109</v>
      </c>
      <c r="F141" s="1"/>
      <c r="G141" s="1"/>
      <c r="H141" s="1"/>
      <c r="I141" s="3"/>
      <c r="J141" s="3">
        <f>INDEX(UnitCosts[],MATCH(Table3[[#This Row],[WORK TYPE]],UnitCosts[Work Type],0),2)*VLOOKUP(Table3[[#This Row],[DEVELOPMENT]],Data[],MATCH(Table3[[#This Row],[WORK TYPE]],Data[#Headers],0),FALSE)</f>
        <v>1307070</v>
      </c>
      <c r="K141" s="1"/>
    </row>
    <row r="142" spans="1:16" x14ac:dyDescent="0.25">
      <c r="A142" s="1" t="str">
        <f>VLOOKUP(C142,Data[],2,FALSE)</f>
        <v>MANHATTAN</v>
      </c>
      <c r="B142" s="1"/>
      <c r="C142" s="1" t="s">
        <v>127</v>
      </c>
      <c r="D142" s="9" t="s">
        <v>398</v>
      </c>
      <c r="E142" s="1" t="s">
        <v>109</v>
      </c>
      <c r="F142" s="1"/>
      <c r="G142" s="1"/>
      <c r="H142" s="1"/>
      <c r="I142" s="3"/>
      <c r="J142" s="3">
        <f>INDEX(UnitCosts[],MATCH(Table3[[#This Row],[WORK TYPE]],UnitCosts[Work Type],0),2)*VLOOKUP(Table3[[#This Row],[DEVELOPMENT]],Data[],MATCH(Table3[[#This Row],[WORK TYPE]],Data[#Headers],0),FALSE)</f>
        <v>1307070</v>
      </c>
      <c r="K142" s="1"/>
    </row>
    <row r="143" spans="1:16" x14ac:dyDescent="0.25">
      <c r="A143" s="1" t="str">
        <f>VLOOKUP(C143,Data[],2,FALSE)</f>
        <v>MANHATTAN</v>
      </c>
      <c r="B143" s="1"/>
      <c r="C143" s="1" t="s">
        <v>122</v>
      </c>
      <c r="D143" s="9" t="s">
        <v>398</v>
      </c>
      <c r="E143" s="1" t="s">
        <v>109</v>
      </c>
      <c r="F143" s="1"/>
      <c r="G143" s="1"/>
      <c r="H143" s="1"/>
      <c r="I143" s="3"/>
      <c r="J143" s="3">
        <f>INDEX(UnitCosts[],MATCH(Table3[[#This Row],[WORK TYPE]],UnitCosts[Work Type],0),2)*VLOOKUP(Table3[[#This Row],[DEVELOPMENT]],Data[],MATCH(Table3[[#This Row],[WORK TYPE]],Data[#Headers],0),FALSE)</f>
        <v>1307070</v>
      </c>
      <c r="K143" s="1"/>
    </row>
    <row r="144" spans="1:16" x14ac:dyDescent="0.25">
      <c r="A144" s="1" t="str">
        <f>VLOOKUP(C144,Data[],2,FALSE)</f>
        <v>MANHATTAN</v>
      </c>
      <c r="B144" s="1"/>
      <c r="C144" s="1" t="s">
        <v>120</v>
      </c>
      <c r="D144" s="9" t="s">
        <v>398</v>
      </c>
      <c r="E144" s="1" t="s">
        <v>109</v>
      </c>
      <c r="F144" s="1"/>
      <c r="G144" s="1"/>
      <c r="H144" s="1"/>
      <c r="I144" s="3"/>
      <c r="J144" s="3">
        <f>INDEX(UnitCosts[],MATCH(Table3[[#This Row],[WORK TYPE]],UnitCosts[Work Type],0),2)*VLOOKUP(Table3[[#This Row],[DEVELOPMENT]],Data[],MATCH(Table3[[#This Row],[WORK TYPE]],Data[#Headers],0),FALSE)</f>
        <v>1307070</v>
      </c>
      <c r="K144" s="1"/>
    </row>
    <row r="145" spans="1:11" x14ac:dyDescent="0.25">
      <c r="A145" s="1" t="str">
        <f>VLOOKUP(C145,Data[],2,FALSE)</f>
        <v>MANHATTAN</v>
      </c>
      <c r="B145" s="1"/>
      <c r="C145" s="1" t="s">
        <v>113</v>
      </c>
      <c r="D145" s="9" t="s">
        <v>398</v>
      </c>
      <c r="E145" s="1" t="s">
        <v>109</v>
      </c>
      <c r="F145" s="1"/>
      <c r="G145" s="1"/>
      <c r="H145" s="1"/>
      <c r="I145" s="3"/>
      <c r="J145" s="3">
        <f>INDEX(UnitCosts[],MATCH(Table3[[#This Row],[WORK TYPE]],UnitCosts[Work Type],0),2)*VLOOKUP(Table3[[#This Row],[DEVELOPMENT]],Data[],MATCH(Table3[[#This Row],[WORK TYPE]],Data[#Headers],0),FALSE)</f>
        <v>1307070</v>
      </c>
      <c r="K145" s="1"/>
    </row>
    <row r="146" spans="1:11" x14ac:dyDescent="0.25">
      <c r="A146" s="1" t="str">
        <f>VLOOKUP(C146,Data[],2,FALSE)</f>
        <v>MANHATTAN</v>
      </c>
      <c r="B146" s="1"/>
      <c r="C146" s="1" t="s">
        <v>115</v>
      </c>
      <c r="D146" s="9" t="s">
        <v>398</v>
      </c>
      <c r="E146" s="1" t="s">
        <v>109</v>
      </c>
      <c r="F146" s="1"/>
      <c r="G146" s="1"/>
      <c r="H146" s="1"/>
      <c r="I146" s="3"/>
      <c r="J146" s="3">
        <f>INDEX(UnitCosts[],MATCH(Table3[[#This Row],[WORK TYPE]],UnitCosts[Work Type],0),2)*VLOOKUP(Table3[[#This Row],[DEVELOPMENT]],Data[],MATCH(Table3[[#This Row],[WORK TYPE]],Data[#Headers],0),FALSE)</f>
        <v>1307070</v>
      </c>
      <c r="K146" s="1"/>
    </row>
    <row r="147" spans="1:11" x14ac:dyDescent="0.25">
      <c r="A147" s="1" t="str">
        <f>VLOOKUP(C147,Data[],2,FALSE)</f>
        <v>MANHATTAN</v>
      </c>
      <c r="B147" s="1"/>
      <c r="C147" s="1" t="s">
        <v>112</v>
      </c>
      <c r="D147" s="9" t="s">
        <v>398</v>
      </c>
      <c r="E147" s="1" t="s">
        <v>109</v>
      </c>
      <c r="F147" s="1"/>
      <c r="G147" s="1"/>
      <c r="H147" s="1"/>
      <c r="I147" s="3"/>
      <c r="J147" s="3">
        <f>INDEX(UnitCosts[],MATCH(Table3[[#This Row],[WORK TYPE]],UnitCosts[Work Type],0),2)*VLOOKUP(Table3[[#This Row],[DEVELOPMENT]],Data[],MATCH(Table3[[#This Row],[WORK TYPE]],Data[#Headers],0),FALSE)</f>
        <v>1307070</v>
      </c>
      <c r="K147" s="1"/>
    </row>
    <row r="148" spans="1:11" x14ac:dyDescent="0.25">
      <c r="A148" s="1" t="str">
        <f>VLOOKUP(C148,Data[],2,FALSE)</f>
        <v>MANHATTAN</v>
      </c>
      <c r="B148" s="1"/>
      <c r="C148" s="1" t="s">
        <v>77</v>
      </c>
      <c r="D148" s="9" t="s">
        <v>398</v>
      </c>
      <c r="E148" s="1" t="s">
        <v>109</v>
      </c>
      <c r="F148" s="1"/>
      <c r="G148" s="1"/>
      <c r="H148" s="1"/>
      <c r="I148" s="3"/>
      <c r="J148" s="3">
        <f>INDEX(UnitCosts[],MATCH(Table3[[#This Row],[WORK TYPE]],UnitCosts[Work Type],0),2)*VLOOKUP(Table3[[#This Row],[DEVELOPMENT]],Data[],MATCH(Table3[[#This Row],[WORK TYPE]],Data[#Headers],0),FALSE)</f>
        <v>1307070</v>
      </c>
      <c r="K148" s="1"/>
    </row>
    <row r="149" spans="1:11" x14ac:dyDescent="0.25">
      <c r="A149" s="1" t="str">
        <f>VLOOKUP(C149,Data[],2,FALSE)</f>
        <v>MANHATTAN</v>
      </c>
      <c r="B149" s="1"/>
      <c r="C149" s="1" t="s">
        <v>83</v>
      </c>
      <c r="D149" s="9" t="s">
        <v>398</v>
      </c>
      <c r="E149" s="1" t="s">
        <v>109</v>
      </c>
      <c r="F149" s="1"/>
      <c r="G149" s="1"/>
      <c r="H149" s="1"/>
      <c r="I149" s="3"/>
      <c r="J149" s="3">
        <f>INDEX(UnitCosts[],MATCH(Table3[[#This Row],[WORK TYPE]],UnitCosts[Work Type],0),2)*VLOOKUP(Table3[[#This Row],[DEVELOPMENT]],Data[],MATCH(Table3[[#This Row],[WORK TYPE]],Data[#Headers],0),FALSE)</f>
        <v>1307070</v>
      </c>
      <c r="K149" s="1"/>
    </row>
    <row r="150" spans="1:11" x14ac:dyDescent="0.25">
      <c r="A150" s="1" t="str">
        <f>VLOOKUP(C150,Data[],2,FALSE)</f>
        <v>MANHATTAN</v>
      </c>
      <c r="B150" s="1"/>
      <c r="C150" s="1" t="s">
        <v>136</v>
      </c>
      <c r="D150" s="9" t="s">
        <v>398</v>
      </c>
      <c r="E150" s="1" t="s">
        <v>109</v>
      </c>
      <c r="F150" s="1"/>
      <c r="G150" s="1"/>
      <c r="H150" s="1"/>
      <c r="I150" s="3"/>
      <c r="J150" s="3">
        <f>INDEX(UnitCosts[],MATCH(Table3[[#This Row],[WORK TYPE]],UnitCosts[Work Type],0),2)*VLOOKUP(Table3[[#This Row],[DEVELOPMENT]],Data[],MATCH(Table3[[#This Row],[WORK TYPE]],Data[#Headers],0),FALSE)</f>
        <v>1307070</v>
      </c>
      <c r="K150" s="1"/>
    </row>
    <row r="151" spans="1:11" x14ac:dyDescent="0.25">
      <c r="A151" s="1" t="str">
        <f>VLOOKUP(C151,Data[],2,FALSE)</f>
        <v>MANHATTAN</v>
      </c>
      <c r="B151" s="1"/>
      <c r="C151" s="1" t="s">
        <v>78</v>
      </c>
      <c r="D151" s="9" t="s">
        <v>398</v>
      </c>
      <c r="E151" s="1" t="s">
        <v>109</v>
      </c>
      <c r="F151" s="1"/>
      <c r="G151" s="1"/>
      <c r="H151" s="1"/>
      <c r="I151" s="3"/>
      <c r="J151" s="3">
        <f>INDEX(UnitCosts[],MATCH(Table3[[#This Row],[WORK TYPE]],UnitCosts[Work Type],0),2)*VLOOKUP(Table3[[#This Row],[DEVELOPMENT]],Data[],MATCH(Table3[[#This Row],[WORK TYPE]],Data[#Headers],0),FALSE)</f>
        <v>1307070</v>
      </c>
      <c r="K151" s="1"/>
    </row>
    <row r="152" spans="1:11" x14ac:dyDescent="0.25">
      <c r="A152" s="1" t="str">
        <f>VLOOKUP(C152,Data[],2,FALSE)</f>
        <v>MANHATTAN</v>
      </c>
      <c r="B152" s="1"/>
      <c r="C152" s="1" t="s">
        <v>128</v>
      </c>
      <c r="D152" s="9" t="s">
        <v>398</v>
      </c>
      <c r="E152" s="1" t="s">
        <v>109</v>
      </c>
      <c r="F152" s="1"/>
      <c r="G152" s="1"/>
      <c r="H152" s="1"/>
      <c r="I152" s="3"/>
      <c r="J152" s="3">
        <f>INDEX(UnitCosts[],MATCH(Table3[[#This Row],[WORK TYPE]],UnitCosts[Work Type],0),2)*VLOOKUP(Table3[[#This Row],[DEVELOPMENT]],Data[],MATCH(Table3[[#This Row],[WORK TYPE]],Data[#Headers],0),FALSE)</f>
        <v>1307070</v>
      </c>
      <c r="K152" s="1"/>
    </row>
    <row r="153" spans="1:11" x14ac:dyDescent="0.25">
      <c r="A153" s="1" t="str">
        <f>VLOOKUP(C153,Data[],2,FALSE)</f>
        <v>MANHATTAN</v>
      </c>
      <c r="B153" s="1"/>
      <c r="C153" s="1" t="s">
        <v>90</v>
      </c>
      <c r="D153" s="9" t="s">
        <v>398</v>
      </c>
      <c r="E153" s="1" t="s">
        <v>109</v>
      </c>
      <c r="F153" s="1"/>
      <c r="G153" s="1"/>
      <c r="H153" s="1"/>
      <c r="I153" s="3"/>
      <c r="J153" s="3">
        <f>INDEX(UnitCosts[],MATCH(Table3[[#This Row],[WORK TYPE]],UnitCosts[Work Type],0),2)*VLOOKUP(Table3[[#This Row],[DEVELOPMENT]],Data[],MATCH(Table3[[#This Row],[WORK TYPE]],Data[#Headers],0),FALSE)</f>
        <v>1307070</v>
      </c>
      <c r="K153" s="1"/>
    </row>
    <row r="154" spans="1:11" x14ac:dyDescent="0.25">
      <c r="A154" s="1" t="str">
        <f>VLOOKUP(C154,Data[],2,FALSE)</f>
        <v>MANHATTAN</v>
      </c>
      <c r="B154" s="1"/>
      <c r="C154" s="1" t="s">
        <v>81</v>
      </c>
      <c r="D154" s="9" t="s">
        <v>398</v>
      </c>
      <c r="E154" s="1" t="s">
        <v>109</v>
      </c>
      <c r="F154" s="1"/>
      <c r="G154" s="1"/>
      <c r="H154" s="1"/>
      <c r="I154" s="3"/>
      <c r="J154" s="3">
        <f>INDEX(UnitCosts[],MATCH(Table3[[#This Row],[WORK TYPE]],UnitCosts[Work Type],0),2)*VLOOKUP(Table3[[#This Row],[DEVELOPMENT]],Data[],MATCH(Table3[[#This Row],[WORK TYPE]],Data[#Headers],0),FALSE)</f>
        <v>1307070</v>
      </c>
      <c r="K154" s="1"/>
    </row>
    <row r="155" spans="1:11" x14ac:dyDescent="0.25">
      <c r="A155" s="1" t="str">
        <f>VLOOKUP(C155,Data[],2,FALSE)</f>
        <v>MANHATTAN</v>
      </c>
      <c r="B155" s="1"/>
      <c r="C155" s="1" t="s">
        <v>131</v>
      </c>
      <c r="D155" s="9" t="s">
        <v>398</v>
      </c>
      <c r="E155" s="9" t="s">
        <v>151</v>
      </c>
      <c r="F155" s="1"/>
      <c r="G155" s="1"/>
      <c r="H155" s="1"/>
      <c r="I155" s="3"/>
      <c r="J155" s="3">
        <f>INDEX(UnitCosts[],MATCH(Table3[[#This Row],[WORK TYPE]],UnitCosts[Work Type],0),2)*VLOOKUP(Table3[[#This Row],[DEVELOPMENT]],Data[],MATCH(Table3[[#This Row],[WORK TYPE]],Data[#Headers],0),FALSE)</f>
        <v>133611.6</v>
      </c>
      <c r="K155" s="1"/>
    </row>
    <row r="156" spans="1:11" x14ac:dyDescent="0.25">
      <c r="A156" s="1" t="str">
        <f>VLOOKUP(C156,Data[],2,FALSE)</f>
        <v>MANHATTAN</v>
      </c>
      <c r="B156" s="1"/>
      <c r="C156" s="1" t="s">
        <v>137</v>
      </c>
      <c r="D156" s="9" t="s">
        <v>398</v>
      </c>
      <c r="E156" s="9" t="s">
        <v>151</v>
      </c>
      <c r="F156" s="1"/>
      <c r="G156" s="1"/>
      <c r="H156" s="1"/>
      <c r="I156" s="3"/>
      <c r="J156" s="3">
        <f>INDEX(UnitCosts[],MATCH(Table3[[#This Row],[WORK TYPE]],UnitCosts[Work Type],0),2)*VLOOKUP(Table3[[#This Row],[DEVELOPMENT]],Data[],MATCH(Table3[[#This Row],[WORK TYPE]],Data[#Headers],0),FALSE)</f>
        <v>133611.6</v>
      </c>
      <c r="K156" s="1"/>
    </row>
    <row r="157" spans="1:11" x14ac:dyDescent="0.25">
      <c r="A157" s="1" t="str">
        <f>VLOOKUP(C157,Data[],2,FALSE)</f>
        <v>MANHATTAN</v>
      </c>
      <c r="B157" s="1"/>
      <c r="C157" s="1" t="s">
        <v>127</v>
      </c>
      <c r="D157" s="9" t="s">
        <v>398</v>
      </c>
      <c r="E157" s="9" t="s">
        <v>151</v>
      </c>
      <c r="F157" s="1"/>
      <c r="G157" s="1"/>
      <c r="H157" s="1"/>
      <c r="I157" s="3"/>
      <c r="J157" s="3">
        <f>INDEX(UnitCosts[],MATCH(Table3[[#This Row],[WORK TYPE]],UnitCosts[Work Type],0),2)*VLOOKUP(Table3[[#This Row],[DEVELOPMENT]],Data[],MATCH(Table3[[#This Row],[WORK TYPE]],Data[#Headers],0),FALSE)</f>
        <v>133611.6</v>
      </c>
      <c r="K157" s="1"/>
    </row>
    <row r="158" spans="1:11" x14ac:dyDescent="0.25">
      <c r="A158" s="1" t="str">
        <f>VLOOKUP(C158,Data[],2,FALSE)</f>
        <v>MANHATTAN</v>
      </c>
      <c r="B158" s="1"/>
      <c r="C158" s="1" t="s">
        <v>120</v>
      </c>
      <c r="D158" s="9" t="s">
        <v>398</v>
      </c>
      <c r="E158" s="9" t="s">
        <v>151</v>
      </c>
      <c r="F158" s="1"/>
      <c r="G158" s="1"/>
      <c r="H158" s="1"/>
      <c r="I158" s="3"/>
      <c r="J158" s="3">
        <f>INDEX(UnitCosts[],MATCH(Table3[[#This Row],[WORK TYPE]],UnitCosts[Work Type],0),2)*VLOOKUP(Table3[[#This Row],[DEVELOPMENT]],Data[],MATCH(Table3[[#This Row],[WORK TYPE]],Data[#Headers],0),FALSE)</f>
        <v>133611.6</v>
      </c>
      <c r="K158" s="1"/>
    </row>
    <row r="159" spans="1:11" x14ac:dyDescent="0.25">
      <c r="A159" s="1" t="str">
        <f>VLOOKUP(C159,Data[],2,FALSE)</f>
        <v>MANHATTAN</v>
      </c>
      <c r="B159" s="1"/>
      <c r="C159" s="1" t="s">
        <v>113</v>
      </c>
      <c r="D159" s="9" t="s">
        <v>398</v>
      </c>
      <c r="E159" s="9" t="s">
        <v>151</v>
      </c>
      <c r="F159" s="1"/>
      <c r="G159" s="1"/>
      <c r="H159" s="1"/>
      <c r="I159" s="3"/>
      <c r="J159" s="3">
        <f>INDEX(UnitCosts[],MATCH(Table3[[#This Row],[WORK TYPE]],UnitCosts[Work Type],0),2)*VLOOKUP(Table3[[#This Row],[DEVELOPMENT]],Data[],MATCH(Table3[[#This Row],[WORK TYPE]],Data[#Headers],0),FALSE)</f>
        <v>133611.6</v>
      </c>
      <c r="K159" s="1"/>
    </row>
    <row r="160" spans="1:11" x14ac:dyDescent="0.25">
      <c r="A160" s="1" t="str">
        <f>VLOOKUP(C160,Data[],2,FALSE)</f>
        <v>MANHATTAN</v>
      </c>
      <c r="B160" s="1"/>
      <c r="C160" s="1" t="s">
        <v>115</v>
      </c>
      <c r="D160" s="9" t="s">
        <v>398</v>
      </c>
      <c r="E160" s="9" t="s">
        <v>151</v>
      </c>
      <c r="F160" s="1"/>
      <c r="G160" s="1"/>
      <c r="H160" s="1"/>
      <c r="I160" s="3"/>
      <c r="J160" s="3">
        <f>INDEX(UnitCosts[],MATCH(Table3[[#This Row],[WORK TYPE]],UnitCosts[Work Type],0),2)*VLOOKUP(Table3[[#This Row],[DEVELOPMENT]],Data[],MATCH(Table3[[#This Row],[WORK TYPE]],Data[#Headers],0),FALSE)</f>
        <v>133611.6</v>
      </c>
      <c r="K160" s="1"/>
    </row>
    <row r="161" spans="1:11" x14ac:dyDescent="0.25">
      <c r="A161" s="1" t="str">
        <f>VLOOKUP(C161,Data[],2,FALSE)</f>
        <v>MANHATTAN</v>
      </c>
      <c r="B161" s="1"/>
      <c r="C161" s="1" t="s">
        <v>112</v>
      </c>
      <c r="D161" s="9" t="s">
        <v>398</v>
      </c>
      <c r="E161" s="9" t="s">
        <v>151</v>
      </c>
      <c r="F161" s="1"/>
      <c r="G161" s="1"/>
      <c r="H161" s="1"/>
      <c r="I161" s="3"/>
      <c r="J161" s="3">
        <f>INDEX(UnitCosts[],MATCH(Table3[[#This Row],[WORK TYPE]],UnitCosts[Work Type],0),2)*VLOOKUP(Table3[[#This Row],[DEVELOPMENT]],Data[],MATCH(Table3[[#This Row],[WORK TYPE]],Data[#Headers],0),FALSE)</f>
        <v>133611.6</v>
      </c>
      <c r="K161" s="1"/>
    </row>
    <row r="162" spans="1:11" x14ac:dyDescent="0.25">
      <c r="A162" s="1" t="str">
        <f>VLOOKUP(C162,Data[],2,FALSE)</f>
        <v>MANHATTAN</v>
      </c>
      <c r="B162" s="1"/>
      <c r="C162" s="1" t="s">
        <v>83</v>
      </c>
      <c r="D162" s="9" t="s">
        <v>398</v>
      </c>
      <c r="E162" s="9" t="s">
        <v>151</v>
      </c>
      <c r="F162" s="1"/>
      <c r="G162" s="1"/>
      <c r="H162" s="1"/>
      <c r="I162" s="3"/>
      <c r="J162" s="3">
        <f>INDEX(UnitCosts[],MATCH(Table3[[#This Row],[WORK TYPE]],UnitCosts[Work Type],0),2)*VLOOKUP(Table3[[#This Row],[DEVELOPMENT]],Data[],MATCH(Table3[[#This Row],[WORK TYPE]],Data[#Headers],0),FALSE)</f>
        <v>133611.6</v>
      </c>
      <c r="K162" s="1"/>
    </row>
    <row r="163" spans="1:11" x14ac:dyDescent="0.25">
      <c r="A163" s="1" t="str">
        <f>VLOOKUP(C163,Data[],2,FALSE)</f>
        <v>MANHATTAN</v>
      </c>
      <c r="B163" s="1"/>
      <c r="C163" s="1" t="s">
        <v>136</v>
      </c>
      <c r="D163" s="9" t="s">
        <v>398</v>
      </c>
      <c r="E163" s="9" t="s">
        <v>151</v>
      </c>
      <c r="F163" s="1"/>
      <c r="G163" s="1"/>
      <c r="H163" s="1"/>
      <c r="I163" s="3"/>
      <c r="J163" s="3">
        <f>INDEX(UnitCosts[],MATCH(Table3[[#This Row],[WORK TYPE]],UnitCosts[Work Type],0),2)*VLOOKUP(Table3[[#This Row],[DEVELOPMENT]],Data[],MATCH(Table3[[#This Row],[WORK TYPE]],Data[#Headers],0),FALSE)</f>
        <v>133611.6</v>
      </c>
      <c r="K163" s="1"/>
    </row>
    <row r="164" spans="1:11" x14ac:dyDescent="0.25">
      <c r="A164" s="1" t="str">
        <f>VLOOKUP(C164,Data[],2,FALSE)</f>
        <v>MANHATTAN</v>
      </c>
      <c r="B164" s="1"/>
      <c r="C164" s="1" t="s">
        <v>78</v>
      </c>
      <c r="D164" s="9" t="s">
        <v>398</v>
      </c>
      <c r="E164" s="9" t="s">
        <v>151</v>
      </c>
      <c r="F164" s="1"/>
      <c r="G164" s="1"/>
      <c r="H164" s="1"/>
      <c r="I164" s="3"/>
      <c r="J164" s="3">
        <f>INDEX(UnitCosts[],MATCH(Table3[[#This Row],[WORK TYPE]],UnitCosts[Work Type],0),2)*VLOOKUP(Table3[[#This Row],[DEVELOPMENT]],Data[],MATCH(Table3[[#This Row],[WORK TYPE]],Data[#Headers],0),FALSE)</f>
        <v>133611.6</v>
      </c>
      <c r="K164" s="1"/>
    </row>
    <row r="165" spans="1:11" x14ac:dyDescent="0.25">
      <c r="A165" s="1" t="str">
        <f>VLOOKUP(C165,Data[],2,FALSE)</f>
        <v>MANHATTAN</v>
      </c>
      <c r="B165" s="1"/>
      <c r="C165" s="1" t="s">
        <v>128</v>
      </c>
      <c r="D165" s="9" t="s">
        <v>398</v>
      </c>
      <c r="E165" s="9" t="s">
        <v>151</v>
      </c>
      <c r="F165" s="1"/>
      <c r="G165" s="1"/>
      <c r="H165" s="1"/>
      <c r="I165" s="3"/>
      <c r="J165" s="3">
        <f>INDEX(UnitCosts[],MATCH(Table3[[#This Row],[WORK TYPE]],UnitCosts[Work Type],0),2)*VLOOKUP(Table3[[#This Row],[DEVELOPMENT]],Data[],MATCH(Table3[[#This Row],[WORK TYPE]],Data[#Headers],0),FALSE)</f>
        <v>133611.6</v>
      </c>
      <c r="K165" s="1"/>
    </row>
    <row r="166" spans="1:11" x14ac:dyDescent="0.25">
      <c r="A166" s="1" t="str">
        <f>VLOOKUP(C166,Data[],2,FALSE)</f>
        <v>MANHATTAN</v>
      </c>
      <c r="B166" s="1"/>
      <c r="C166" s="1" t="s">
        <v>81</v>
      </c>
      <c r="D166" s="9" t="s">
        <v>398</v>
      </c>
      <c r="E166" s="9" t="s">
        <v>151</v>
      </c>
      <c r="F166" s="1"/>
      <c r="G166" s="1"/>
      <c r="H166" s="1"/>
      <c r="I166" s="3"/>
      <c r="J166" s="3">
        <f>INDEX(UnitCosts[],MATCH(Table3[[#This Row],[WORK TYPE]],UnitCosts[Work Type],0),2)*VLOOKUP(Table3[[#This Row],[DEVELOPMENT]],Data[],MATCH(Table3[[#This Row],[WORK TYPE]],Data[#Headers],0),FALSE)</f>
        <v>133611.6</v>
      </c>
      <c r="K166" s="1"/>
    </row>
    <row r="167" spans="1:11" x14ac:dyDescent="0.25">
      <c r="A167" s="1" t="str">
        <f>VLOOKUP(C167,Data[],2,FALSE)</f>
        <v>MANHATTAN</v>
      </c>
      <c r="B167" s="1"/>
      <c r="C167" s="1" t="s">
        <v>129</v>
      </c>
      <c r="D167" s="9" t="s">
        <v>398</v>
      </c>
      <c r="E167" s="1" t="s">
        <v>150</v>
      </c>
      <c r="F167" s="1"/>
      <c r="G167" s="1"/>
      <c r="H167" s="1"/>
      <c r="I167" s="3"/>
      <c r="J167" s="3">
        <f>INDEX(UnitCosts[],MATCH(Table3[[#This Row],[WORK TYPE]],UnitCosts[Work Type],0),2)*VLOOKUP(Table3[[#This Row],[DEVELOPMENT]],Data[],MATCH(Table3[[#This Row],[WORK TYPE]],Data[#Headers],0),FALSE)</f>
        <v>13656</v>
      </c>
      <c r="K167" s="1"/>
    </row>
    <row r="168" spans="1:11" x14ac:dyDescent="0.25">
      <c r="A168" s="1" t="str">
        <f>VLOOKUP(C168,Data[],2,FALSE)</f>
        <v>MANHATTAN</v>
      </c>
      <c r="B168" s="1"/>
      <c r="C168" s="1" t="s">
        <v>131</v>
      </c>
      <c r="D168" s="9" t="s">
        <v>398</v>
      </c>
      <c r="E168" s="1" t="s">
        <v>150</v>
      </c>
      <c r="F168" s="1"/>
      <c r="G168" s="1"/>
      <c r="H168" s="1"/>
      <c r="I168" s="3"/>
      <c r="J168" s="3">
        <f>INDEX(UnitCosts[],MATCH(Table3[[#This Row],[WORK TYPE]],UnitCosts[Work Type],0),2)*VLOOKUP(Table3[[#This Row],[DEVELOPMENT]],Data[],MATCH(Table3[[#This Row],[WORK TYPE]],Data[#Headers],0),FALSE)</f>
        <v>13656</v>
      </c>
      <c r="K168" s="1"/>
    </row>
    <row r="169" spans="1:11" x14ac:dyDescent="0.25">
      <c r="A169" s="1" t="str">
        <f>VLOOKUP(C169,Data[],2,FALSE)</f>
        <v>MANHATTAN</v>
      </c>
      <c r="B169" s="1"/>
      <c r="C169" s="1" t="s">
        <v>133</v>
      </c>
      <c r="D169" s="9" t="s">
        <v>398</v>
      </c>
      <c r="E169" s="1" t="s">
        <v>150</v>
      </c>
      <c r="F169" s="1"/>
      <c r="G169" s="1"/>
      <c r="H169" s="1"/>
      <c r="I169" s="3"/>
      <c r="J169" s="3">
        <f>INDEX(UnitCosts[],MATCH(Table3[[#This Row],[WORK TYPE]],UnitCosts[Work Type],0),2)*VLOOKUP(Table3[[#This Row],[DEVELOPMENT]],Data[],MATCH(Table3[[#This Row],[WORK TYPE]],Data[#Headers],0),FALSE)</f>
        <v>13656</v>
      </c>
      <c r="K169" s="1"/>
    </row>
    <row r="170" spans="1:11" x14ac:dyDescent="0.25">
      <c r="A170" s="1" t="str">
        <f>VLOOKUP(C170,Data[],2,FALSE)</f>
        <v>MANHATTAN</v>
      </c>
      <c r="B170" s="1"/>
      <c r="C170" s="1" t="s">
        <v>127</v>
      </c>
      <c r="D170" s="9" t="s">
        <v>398</v>
      </c>
      <c r="E170" s="1" t="s">
        <v>150</v>
      </c>
      <c r="F170" s="1"/>
      <c r="G170" s="1"/>
      <c r="H170" s="1"/>
      <c r="I170" s="3"/>
      <c r="J170" s="3">
        <f>INDEX(UnitCosts[],MATCH(Table3[[#This Row],[WORK TYPE]],UnitCosts[Work Type],0),2)*VLOOKUP(Table3[[#This Row],[DEVELOPMENT]],Data[],MATCH(Table3[[#This Row],[WORK TYPE]],Data[#Headers],0),FALSE)</f>
        <v>13656</v>
      </c>
      <c r="K170" s="1"/>
    </row>
    <row r="171" spans="1:11" x14ac:dyDescent="0.25">
      <c r="A171" s="1" t="str">
        <f>VLOOKUP(C171,Data[],2,FALSE)</f>
        <v>MANHATTAN</v>
      </c>
      <c r="B171" s="1"/>
      <c r="C171" s="1" t="s">
        <v>122</v>
      </c>
      <c r="D171" s="9" t="s">
        <v>398</v>
      </c>
      <c r="E171" s="1" t="s">
        <v>150</v>
      </c>
      <c r="F171" s="1"/>
      <c r="G171" s="1"/>
      <c r="H171" s="1"/>
      <c r="I171" s="3"/>
      <c r="J171" s="3">
        <f>INDEX(UnitCosts[],MATCH(Table3[[#This Row],[WORK TYPE]],UnitCosts[Work Type],0),2)*VLOOKUP(Table3[[#This Row],[DEVELOPMENT]],Data[],MATCH(Table3[[#This Row],[WORK TYPE]],Data[#Headers],0),FALSE)</f>
        <v>13656</v>
      </c>
      <c r="K171" s="1"/>
    </row>
    <row r="172" spans="1:11" x14ac:dyDescent="0.25">
      <c r="A172" s="1" t="str">
        <f>VLOOKUP(C172,Data[],2,FALSE)</f>
        <v>MANHATTAN</v>
      </c>
      <c r="B172" s="1"/>
      <c r="C172" s="1" t="s">
        <v>120</v>
      </c>
      <c r="D172" s="9" t="s">
        <v>398</v>
      </c>
      <c r="E172" s="1" t="s">
        <v>150</v>
      </c>
      <c r="F172" s="1"/>
      <c r="G172" s="1"/>
      <c r="H172" s="1"/>
      <c r="I172" s="3"/>
      <c r="J172" s="3">
        <f>INDEX(UnitCosts[],MATCH(Table3[[#This Row],[WORK TYPE]],UnitCosts[Work Type],0),2)*VLOOKUP(Table3[[#This Row],[DEVELOPMENT]],Data[],MATCH(Table3[[#This Row],[WORK TYPE]],Data[#Headers],0),FALSE)</f>
        <v>13656</v>
      </c>
      <c r="K172" s="1"/>
    </row>
    <row r="173" spans="1:11" x14ac:dyDescent="0.25">
      <c r="A173" s="1" t="str">
        <f>VLOOKUP(C173,Data[],2,FALSE)</f>
        <v>MANHATTAN</v>
      </c>
      <c r="B173" s="1"/>
      <c r="C173" s="1" t="s">
        <v>113</v>
      </c>
      <c r="D173" s="9" t="s">
        <v>398</v>
      </c>
      <c r="E173" s="1" t="s">
        <v>150</v>
      </c>
      <c r="F173" s="1"/>
      <c r="G173" s="1"/>
      <c r="H173" s="1"/>
      <c r="I173" s="3"/>
      <c r="J173" s="3">
        <f>INDEX(UnitCosts[],MATCH(Table3[[#This Row],[WORK TYPE]],UnitCosts[Work Type],0),2)*VLOOKUP(Table3[[#This Row],[DEVELOPMENT]],Data[],MATCH(Table3[[#This Row],[WORK TYPE]],Data[#Headers],0),FALSE)</f>
        <v>13656</v>
      </c>
      <c r="K173" s="1"/>
    </row>
    <row r="174" spans="1:11" x14ac:dyDescent="0.25">
      <c r="A174" s="1" t="str">
        <f>VLOOKUP(C174,Data[],2,FALSE)</f>
        <v>MANHATTAN</v>
      </c>
      <c r="B174" s="1"/>
      <c r="C174" s="1" t="s">
        <v>115</v>
      </c>
      <c r="D174" s="9" t="s">
        <v>398</v>
      </c>
      <c r="E174" s="1" t="s">
        <v>150</v>
      </c>
      <c r="F174" s="1"/>
      <c r="G174" s="1"/>
      <c r="H174" s="1"/>
      <c r="I174" s="3"/>
      <c r="J174" s="3">
        <f>INDEX(UnitCosts[],MATCH(Table3[[#This Row],[WORK TYPE]],UnitCosts[Work Type],0),2)*VLOOKUP(Table3[[#This Row],[DEVELOPMENT]],Data[],MATCH(Table3[[#This Row],[WORK TYPE]],Data[#Headers],0),FALSE)</f>
        <v>13656</v>
      </c>
      <c r="K174" s="1"/>
    </row>
    <row r="175" spans="1:11" x14ac:dyDescent="0.25">
      <c r="A175" s="1" t="str">
        <f>VLOOKUP(C175,Data[],2,FALSE)</f>
        <v>MANHATTAN</v>
      </c>
      <c r="B175" s="1"/>
      <c r="C175" s="1" t="s">
        <v>112</v>
      </c>
      <c r="D175" s="9" t="s">
        <v>398</v>
      </c>
      <c r="E175" s="1" t="s">
        <v>150</v>
      </c>
      <c r="F175" s="1"/>
      <c r="G175" s="1"/>
      <c r="H175" s="1"/>
      <c r="I175" s="3"/>
      <c r="J175" s="3">
        <f>INDEX(UnitCosts[],MATCH(Table3[[#This Row],[WORK TYPE]],UnitCosts[Work Type],0),2)*VLOOKUP(Table3[[#This Row],[DEVELOPMENT]],Data[],MATCH(Table3[[#This Row],[WORK TYPE]],Data[#Headers],0),FALSE)</f>
        <v>13656</v>
      </c>
      <c r="K175" s="1"/>
    </row>
    <row r="176" spans="1:11" x14ac:dyDescent="0.25">
      <c r="A176" s="1" t="str">
        <f>VLOOKUP(C176,Data[],2,FALSE)</f>
        <v>MANHATTAN</v>
      </c>
      <c r="B176" s="1"/>
      <c r="C176" s="1" t="s">
        <v>77</v>
      </c>
      <c r="D176" s="9" t="s">
        <v>398</v>
      </c>
      <c r="E176" s="1" t="s">
        <v>150</v>
      </c>
      <c r="F176" s="1"/>
      <c r="G176" s="1"/>
      <c r="H176" s="1"/>
      <c r="I176" s="3"/>
      <c r="J176" s="3">
        <f>INDEX(UnitCosts[],MATCH(Table3[[#This Row],[WORK TYPE]],UnitCosts[Work Type],0),2)*VLOOKUP(Table3[[#This Row],[DEVELOPMENT]],Data[],MATCH(Table3[[#This Row],[WORK TYPE]],Data[#Headers],0),FALSE)</f>
        <v>13656</v>
      </c>
      <c r="K176" s="1"/>
    </row>
    <row r="177" spans="1:11" x14ac:dyDescent="0.25">
      <c r="A177" s="1" t="str">
        <f>VLOOKUP(C177,Data[],2,FALSE)</f>
        <v>MANHATTAN</v>
      </c>
      <c r="B177" s="1"/>
      <c r="C177" s="1" t="s">
        <v>83</v>
      </c>
      <c r="D177" s="9" t="s">
        <v>398</v>
      </c>
      <c r="E177" s="1" t="s">
        <v>150</v>
      </c>
      <c r="F177" s="1"/>
      <c r="G177" s="1"/>
      <c r="H177" s="1"/>
      <c r="I177" s="3"/>
      <c r="J177" s="3">
        <f>INDEX(UnitCosts[],MATCH(Table3[[#This Row],[WORK TYPE]],UnitCosts[Work Type],0),2)*VLOOKUP(Table3[[#This Row],[DEVELOPMENT]],Data[],MATCH(Table3[[#This Row],[WORK TYPE]],Data[#Headers],0),FALSE)</f>
        <v>13656</v>
      </c>
      <c r="K177" s="1"/>
    </row>
    <row r="178" spans="1:11" x14ac:dyDescent="0.25">
      <c r="A178" s="1" t="str">
        <f>VLOOKUP(C178,Data[],2,FALSE)</f>
        <v>MANHATTAN</v>
      </c>
      <c r="B178" s="1"/>
      <c r="C178" s="1" t="s">
        <v>136</v>
      </c>
      <c r="D178" s="9" t="s">
        <v>398</v>
      </c>
      <c r="E178" s="1" t="s">
        <v>150</v>
      </c>
      <c r="F178" s="1"/>
      <c r="G178" s="1"/>
      <c r="H178" s="1"/>
      <c r="I178" s="3"/>
      <c r="J178" s="3">
        <f>INDEX(UnitCosts[],MATCH(Table3[[#This Row],[WORK TYPE]],UnitCosts[Work Type],0),2)*VLOOKUP(Table3[[#This Row],[DEVELOPMENT]],Data[],MATCH(Table3[[#This Row],[WORK TYPE]],Data[#Headers],0),FALSE)</f>
        <v>13656</v>
      </c>
      <c r="K178" s="1"/>
    </row>
    <row r="179" spans="1:11" x14ac:dyDescent="0.25">
      <c r="A179" s="1" t="str">
        <f>VLOOKUP(C179,Data[],2,FALSE)</f>
        <v>MANHATTAN</v>
      </c>
      <c r="B179" s="1"/>
      <c r="C179" s="1" t="s">
        <v>78</v>
      </c>
      <c r="D179" s="9" t="s">
        <v>398</v>
      </c>
      <c r="E179" s="1" t="s">
        <v>150</v>
      </c>
      <c r="F179" s="1"/>
      <c r="G179" s="1"/>
      <c r="H179" s="1"/>
      <c r="I179" s="3"/>
      <c r="J179" s="3">
        <f>INDEX(UnitCosts[],MATCH(Table3[[#This Row],[WORK TYPE]],UnitCosts[Work Type],0),2)*VLOOKUP(Table3[[#This Row],[DEVELOPMENT]],Data[],MATCH(Table3[[#This Row],[WORK TYPE]],Data[#Headers],0),FALSE)</f>
        <v>13656</v>
      </c>
      <c r="K179" s="1"/>
    </row>
    <row r="180" spans="1:11" x14ac:dyDescent="0.25">
      <c r="A180" s="1" t="str">
        <f>VLOOKUP(C180,Data[],2,FALSE)</f>
        <v>MANHATTAN</v>
      </c>
      <c r="B180" s="1"/>
      <c r="C180" s="1" t="s">
        <v>128</v>
      </c>
      <c r="D180" s="9" t="s">
        <v>398</v>
      </c>
      <c r="E180" s="1" t="s">
        <v>150</v>
      </c>
      <c r="F180" s="1"/>
      <c r="G180" s="1"/>
      <c r="H180" s="1"/>
      <c r="I180" s="3"/>
      <c r="J180" s="3">
        <f>INDEX(UnitCosts[],MATCH(Table3[[#This Row],[WORK TYPE]],UnitCosts[Work Type],0),2)*VLOOKUP(Table3[[#This Row],[DEVELOPMENT]],Data[],MATCH(Table3[[#This Row],[WORK TYPE]],Data[#Headers],0),FALSE)</f>
        <v>13656</v>
      </c>
      <c r="K180" s="1"/>
    </row>
    <row r="181" spans="1:11" x14ac:dyDescent="0.25">
      <c r="A181" s="1" t="str">
        <f>VLOOKUP(C181,Data[],2,FALSE)</f>
        <v>MANHATTAN</v>
      </c>
      <c r="B181" s="1"/>
      <c r="C181" s="1" t="s">
        <v>90</v>
      </c>
      <c r="D181" s="9" t="s">
        <v>398</v>
      </c>
      <c r="E181" s="1" t="s">
        <v>150</v>
      </c>
      <c r="F181" s="1"/>
      <c r="G181" s="1"/>
      <c r="H181" s="1"/>
      <c r="I181" s="3"/>
      <c r="J181" s="3">
        <f>INDEX(UnitCosts[],MATCH(Table3[[#This Row],[WORK TYPE]],UnitCosts[Work Type],0),2)*VLOOKUP(Table3[[#This Row],[DEVELOPMENT]],Data[],MATCH(Table3[[#This Row],[WORK TYPE]],Data[#Headers],0),FALSE)</f>
        <v>13656</v>
      </c>
      <c r="K181" s="1"/>
    </row>
    <row r="182" spans="1:11" x14ac:dyDescent="0.25">
      <c r="A182" s="1" t="str">
        <f>VLOOKUP(C182,Data[],2,FALSE)</f>
        <v>MANHATTAN</v>
      </c>
      <c r="B182" s="1"/>
      <c r="C182" s="1" t="s">
        <v>81</v>
      </c>
      <c r="D182" s="9" t="s">
        <v>398</v>
      </c>
      <c r="E182" s="1" t="s">
        <v>150</v>
      </c>
      <c r="F182" s="1"/>
      <c r="G182" s="1"/>
      <c r="H182" s="1"/>
      <c r="I182" s="3"/>
      <c r="J182" s="3">
        <f>INDEX(UnitCosts[],MATCH(Table3[[#This Row],[WORK TYPE]],UnitCosts[Work Type],0),2)*VLOOKUP(Table3[[#This Row],[DEVELOPMENT]],Data[],MATCH(Table3[[#This Row],[WORK TYPE]],Data[#Headers],0),FALSE)</f>
        <v>13656</v>
      </c>
      <c r="K182" s="1"/>
    </row>
    <row r="183" spans="1:11" x14ac:dyDescent="0.25">
      <c r="A183" s="1" t="str">
        <f>VLOOKUP(C183,Data[],2,FALSE)</f>
        <v>MANHATTAN</v>
      </c>
      <c r="B183" s="1"/>
      <c r="C183" s="1" t="s">
        <v>131</v>
      </c>
      <c r="D183" s="9" t="s">
        <v>398</v>
      </c>
      <c r="E183" s="1" t="s">
        <v>141</v>
      </c>
      <c r="F183" s="1"/>
      <c r="G183" s="1"/>
      <c r="H183" s="1"/>
      <c r="I183" s="3"/>
      <c r="J183" s="3">
        <f>INDEX(UnitCosts[],MATCH(Table3[[#This Row],[WORK TYPE]],UnitCosts[Work Type],0),2)*VLOOKUP(Table3[[#This Row],[DEVELOPMENT]],Data[],MATCH(Table3[[#This Row],[WORK TYPE]],Data[#Headers],0),FALSE)</f>
        <v>37000</v>
      </c>
      <c r="K183" s="1"/>
    </row>
    <row r="184" spans="1:11" x14ac:dyDescent="0.25">
      <c r="A184" s="1" t="str">
        <f>VLOOKUP(C184,Data[],2,FALSE)</f>
        <v>MANHATTAN</v>
      </c>
      <c r="B184" s="1"/>
      <c r="C184" s="1" t="s">
        <v>127</v>
      </c>
      <c r="D184" s="9" t="s">
        <v>398</v>
      </c>
      <c r="E184" s="1" t="s">
        <v>141</v>
      </c>
      <c r="F184" s="1"/>
      <c r="G184" s="1"/>
      <c r="H184" s="1"/>
      <c r="I184" s="3"/>
      <c r="J184" s="3">
        <f>INDEX(UnitCosts[],MATCH(Table3[[#This Row],[WORK TYPE]],UnitCosts[Work Type],0),2)*VLOOKUP(Table3[[#This Row],[DEVELOPMENT]],Data[],MATCH(Table3[[#This Row],[WORK TYPE]],Data[#Headers],0),FALSE)</f>
        <v>37000</v>
      </c>
      <c r="K184" s="1"/>
    </row>
    <row r="185" spans="1:11" x14ac:dyDescent="0.25">
      <c r="A185" s="1" t="str">
        <f>VLOOKUP(C185,Data[],2,FALSE)</f>
        <v>MANHATTAN</v>
      </c>
      <c r="B185" s="1"/>
      <c r="C185" s="1" t="s">
        <v>120</v>
      </c>
      <c r="D185" s="9" t="s">
        <v>398</v>
      </c>
      <c r="E185" s="1" t="s">
        <v>141</v>
      </c>
      <c r="F185" s="1"/>
      <c r="G185" s="1"/>
      <c r="H185" s="1"/>
      <c r="I185" s="3"/>
      <c r="J185" s="3">
        <f>INDEX(UnitCosts[],MATCH(Table3[[#This Row],[WORK TYPE]],UnitCosts[Work Type],0),2)*VLOOKUP(Table3[[#This Row],[DEVELOPMENT]],Data[],MATCH(Table3[[#This Row],[WORK TYPE]],Data[#Headers],0),FALSE)</f>
        <v>37000</v>
      </c>
      <c r="K185" s="1"/>
    </row>
    <row r="186" spans="1:11" x14ac:dyDescent="0.25">
      <c r="A186" s="1" t="str">
        <f>VLOOKUP(C186,Data[],2,FALSE)</f>
        <v>MANHATTAN</v>
      </c>
      <c r="B186" s="1"/>
      <c r="C186" s="1" t="s">
        <v>113</v>
      </c>
      <c r="D186" s="9" t="s">
        <v>398</v>
      </c>
      <c r="E186" s="1" t="s">
        <v>141</v>
      </c>
      <c r="F186" s="1"/>
      <c r="G186" s="1"/>
      <c r="H186" s="1"/>
      <c r="I186" s="3"/>
      <c r="J186" s="3">
        <f>INDEX(UnitCosts[],MATCH(Table3[[#This Row],[WORK TYPE]],UnitCosts[Work Type],0),2)*VLOOKUP(Table3[[#This Row],[DEVELOPMENT]],Data[],MATCH(Table3[[#This Row],[WORK TYPE]],Data[#Headers],0),FALSE)</f>
        <v>37000</v>
      </c>
      <c r="K186" s="1"/>
    </row>
    <row r="187" spans="1:11" x14ac:dyDescent="0.25">
      <c r="A187" s="1" t="str">
        <f>VLOOKUP(C187,Data[],2,FALSE)</f>
        <v>MANHATTAN</v>
      </c>
      <c r="B187" s="1"/>
      <c r="C187" s="1" t="s">
        <v>115</v>
      </c>
      <c r="D187" s="9" t="s">
        <v>398</v>
      </c>
      <c r="E187" s="1" t="s">
        <v>141</v>
      </c>
      <c r="F187" s="1"/>
      <c r="G187" s="1"/>
      <c r="H187" s="1"/>
      <c r="I187" s="3"/>
      <c r="J187" s="3">
        <f>INDEX(UnitCosts[],MATCH(Table3[[#This Row],[WORK TYPE]],UnitCosts[Work Type],0),2)*VLOOKUP(Table3[[#This Row],[DEVELOPMENT]],Data[],MATCH(Table3[[#This Row],[WORK TYPE]],Data[#Headers],0),FALSE)</f>
        <v>37000</v>
      </c>
      <c r="K187" s="1"/>
    </row>
    <row r="188" spans="1:11" x14ac:dyDescent="0.25">
      <c r="A188" s="1" t="str">
        <f>VLOOKUP(C188,Data[],2,FALSE)</f>
        <v>MANHATTAN</v>
      </c>
      <c r="B188" s="1"/>
      <c r="C188" s="1" t="s">
        <v>112</v>
      </c>
      <c r="D188" s="9" t="s">
        <v>398</v>
      </c>
      <c r="E188" s="1" t="s">
        <v>141</v>
      </c>
      <c r="F188" s="1"/>
      <c r="G188" s="1"/>
      <c r="H188" s="1"/>
      <c r="I188" s="3"/>
      <c r="J188" s="3">
        <f>INDEX(UnitCosts[],MATCH(Table3[[#This Row],[WORK TYPE]],UnitCosts[Work Type],0),2)*VLOOKUP(Table3[[#This Row],[DEVELOPMENT]],Data[],MATCH(Table3[[#This Row],[WORK TYPE]],Data[#Headers],0),FALSE)</f>
        <v>37000</v>
      </c>
      <c r="K188" s="1"/>
    </row>
    <row r="189" spans="1:11" x14ac:dyDescent="0.25">
      <c r="A189" s="1" t="str">
        <f>VLOOKUP(C189,Data[],2,FALSE)</f>
        <v>MANHATTAN</v>
      </c>
      <c r="B189" s="1"/>
      <c r="C189" s="1" t="s">
        <v>83</v>
      </c>
      <c r="D189" s="9" t="s">
        <v>398</v>
      </c>
      <c r="E189" s="1" t="s">
        <v>141</v>
      </c>
      <c r="F189" s="1"/>
      <c r="G189" s="1"/>
      <c r="H189" s="1"/>
      <c r="I189" s="3"/>
      <c r="J189" s="3">
        <f>INDEX(UnitCosts[],MATCH(Table3[[#This Row],[WORK TYPE]],UnitCosts[Work Type],0),2)*VLOOKUP(Table3[[#This Row],[DEVELOPMENT]],Data[],MATCH(Table3[[#This Row],[WORK TYPE]],Data[#Headers],0),FALSE)</f>
        <v>37000</v>
      </c>
      <c r="K189" s="1"/>
    </row>
    <row r="190" spans="1:11" x14ac:dyDescent="0.25">
      <c r="A190" s="1" t="str">
        <f>VLOOKUP(C190,Data[],2,FALSE)</f>
        <v>MANHATTAN</v>
      </c>
      <c r="B190" s="1"/>
      <c r="C190" s="1" t="s">
        <v>136</v>
      </c>
      <c r="D190" s="9" t="s">
        <v>398</v>
      </c>
      <c r="E190" s="1" t="s">
        <v>141</v>
      </c>
      <c r="F190" s="1"/>
      <c r="G190" s="1"/>
      <c r="H190" s="1"/>
      <c r="I190" s="3"/>
      <c r="J190" s="3">
        <f>INDEX(UnitCosts[],MATCH(Table3[[#This Row],[WORK TYPE]],UnitCosts[Work Type],0),2)*VLOOKUP(Table3[[#This Row],[DEVELOPMENT]],Data[],MATCH(Table3[[#This Row],[WORK TYPE]],Data[#Headers],0),FALSE)</f>
        <v>37000</v>
      </c>
      <c r="K190" s="1"/>
    </row>
    <row r="191" spans="1:11" x14ac:dyDescent="0.25">
      <c r="A191" s="1" t="str">
        <f>VLOOKUP(C191,Data[],2,FALSE)</f>
        <v>MANHATTAN</v>
      </c>
      <c r="B191" s="1"/>
      <c r="C191" s="1" t="s">
        <v>78</v>
      </c>
      <c r="D191" s="9" t="s">
        <v>398</v>
      </c>
      <c r="E191" s="1" t="s">
        <v>141</v>
      </c>
      <c r="F191" s="1"/>
      <c r="G191" s="1"/>
      <c r="H191" s="1"/>
      <c r="I191" s="3"/>
      <c r="J191" s="3">
        <f>INDEX(UnitCosts[],MATCH(Table3[[#This Row],[WORK TYPE]],UnitCosts[Work Type],0),2)*VLOOKUP(Table3[[#This Row],[DEVELOPMENT]],Data[],MATCH(Table3[[#This Row],[WORK TYPE]],Data[#Headers],0),FALSE)</f>
        <v>37000</v>
      </c>
      <c r="K191" s="1"/>
    </row>
    <row r="192" spans="1:11" x14ac:dyDescent="0.25">
      <c r="A192" s="1" t="str">
        <f>VLOOKUP(C192,Data[],2,FALSE)</f>
        <v>MANHATTAN</v>
      </c>
      <c r="B192" s="1"/>
      <c r="C192" s="1" t="s">
        <v>128</v>
      </c>
      <c r="D192" s="9" t="s">
        <v>398</v>
      </c>
      <c r="E192" s="1" t="s">
        <v>141</v>
      </c>
      <c r="F192" s="1"/>
      <c r="G192" s="1"/>
      <c r="H192" s="1"/>
      <c r="I192" s="3"/>
      <c r="J192" s="3">
        <f>INDEX(UnitCosts[],MATCH(Table3[[#This Row],[WORK TYPE]],UnitCosts[Work Type],0),2)*VLOOKUP(Table3[[#This Row],[DEVELOPMENT]],Data[],MATCH(Table3[[#This Row],[WORK TYPE]],Data[#Headers],0),FALSE)</f>
        <v>37000</v>
      </c>
      <c r="K192" s="1"/>
    </row>
    <row r="193" spans="1:11" x14ac:dyDescent="0.25">
      <c r="A193" s="1" t="str">
        <f>VLOOKUP(C193,Data[],2,FALSE)</f>
        <v>MANHATTAN</v>
      </c>
      <c r="B193" s="1"/>
      <c r="C193" s="1" t="s">
        <v>81</v>
      </c>
      <c r="D193" s="9" t="s">
        <v>398</v>
      </c>
      <c r="E193" s="1" t="s">
        <v>141</v>
      </c>
      <c r="F193" s="1"/>
      <c r="G193" s="1"/>
      <c r="H193" s="1"/>
      <c r="I193" s="3"/>
      <c r="J193" s="3">
        <f>INDEX(UnitCosts[],MATCH(Table3[[#This Row],[WORK TYPE]],UnitCosts[Work Type],0),2)*VLOOKUP(Table3[[#This Row],[DEVELOPMENT]],Data[],MATCH(Table3[[#This Row],[WORK TYPE]],Data[#Headers],0),FALSE)</f>
        <v>37000</v>
      </c>
      <c r="K193" s="1"/>
    </row>
  </sheetData>
  <conditionalFormatting sqref="M37:N65">
    <cfRule type="containsErrors" dxfId="29" priority="6">
      <formula>ISERROR(M37)</formula>
    </cfRule>
  </conditionalFormatting>
  <conditionalFormatting sqref="N110:P138">
    <cfRule type="containsErrors" dxfId="28" priority="3">
      <formula>ISERROR(N110)</formula>
    </cfRule>
  </conditionalFormatting>
  <conditionalFormatting sqref="N109:P109">
    <cfRule type="containsErrors" dxfId="27" priority="4">
      <formula>ISERROR(N109)</formula>
    </cfRule>
  </conditionalFormatting>
  <conditionalFormatting sqref="A4:K193">
    <cfRule type="containsErrors" dxfId="26" priority="1">
      <formula>ISERROR(A4)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361A-1FAF-4364-9E30-BA41EF6C0DC7}">
  <dimension ref="A1:G301"/>
  <sheetViews>
    <sheetView workbookViewId="0">
      <selection activeCell="B15" sqref="B15"/>
    </sheetView>
  </sheetViews>
  <sheetFormatPr defaultRowHeight="15" x14ac:dyDescent="0.25"/>
  <cols>
    <col min="1" max="1" width="45.28515625" bestFit="1" customWidth="1"/>
    <col min="2" max="2" width="14.28515625" bestFit="1" customWidth="1"/>
    <col min="3" max="3" width="17.5703125" bestFit="1" customWidth="1"/>
    <col min="6" max="6" width="9.28515625" bestFit="1" customWidth="1"/>
    <col min="7" max="7" width="16.28515625" bestFit="1" customWidth="1"/>
  </cols>
  <sheetData>
    <row r="1" spans="1:7" x14ac:dyDescent="0.25">
      <c r="F1" s="73" t="s">
        <v>399</v>
      </c>
      <c r="G1" s="23">
        <f>GETPIVOTDATA("Sum of COST",$A$3)+GETPIVOTDATA("Sum of ESTIMATES",$A$3)</f>
        <v>27545858.626262043</v>
      </c>
    </row>
    <row r="2" spans="1:7" x14ac:dyDescent="0.25">
      <c r="F2" s="1">
        <v>2019</v>
      </c>
      <c r="G2" s="3">
        <f>GETPIVOTDATA("Sum of COST",$A$3,"CALENDAR YEAR",2019)+GETPIVOTDATA("Sum of ESTIMATES",$A$3,"CALENDAR YEAR",2019)</f>
        <v>3170880.55</v>
      </c>
    </row>
    <row r="3" spans="1:7" x14ac:dyDescent="0.25">
      <c r="A3" s="18" t="s">
        <v>400</v>
      </c>
      <c r="B3" t="s">
        <v>401</v>
      </c>
      <c r="C3" t="s">
        <v>402</v>
      </c>
      <c r="F3" s="1">
        <v>2020</v>
      </c>
      <c r="G3" s="3">
        <f>GETPIVOTDATA("Sum of COST",$A$3,"CALENDAR YEAR",2020)+GETPIVOTDATA("Sum of ESTIMATES",$A$3,"CALENDAR YEAR",2020)</f>
        <v>8554799.0212620459</v>
      </c>
    </row>
    <row r="4" spans="1:7" x14ac:dyDescent="0.25">
      <c r="A4" s="19">
        <v>2019</v>
      </c>
      <c r="B4" s="22">
        <v>3170880.55</v>
      </c>
      <c r="C4" s="22"/>
      <c r="F4" s="1">
        <v>2021</v>
      </c>
      <c r="G4" s="3">
        <f>GETPIVOTDATA("Sum of COST",$A$3,"CALENDAR YEAR",2021)+GETPIVOTDATA("Sum of ESTIMATES",$A$3,"CALENDAR YEAR",2021)</f>
        <v>5442349.0200000005</v>
      </c>
    </row>
    <row r="5" spans="1:7" x14ac:dyDescent="0.25">
      <c r="A5" s="21" t="s">
        <v>27</v>
      </c>
      <c r="B5" s="22">
        <v>1467376.7999999998</v>
      </c>
      <c r="C5" s="22"/>
      <c r="F5" s="1">
        <v>2022</v>
      </c>
      <c r="G5" s="3">
        <f>GETPIVOTDATA("Sum of COST",$A$3,"CALENDAR YEAR",2022)+GETPIVOTDATA("Sum of ESTIMATES",$A$3,"CALENDAR YEAR",2022)</f>
        <v>2712097.6349999998</v>
      </c>
    </row>
    <row r="6" spans="1:7" x14ac:dyDescent="0.25">
      <c r="A6" s="72" t="s">
        <v>26</v>
      </c>
      <c r="B6" s="22">
        <v>44243.94</v>
      </c>
      <c r="C6" s="22"/>
      <c r="F6" s="1">
        <v>2023</v>
      </c>
      <c r="G6" s="3">
        <f>GETPIVOTDATA("Sum of COST",$A$3,"CALENDAR YEAR",2023)+GETPIVOTDATA("Sum of ESTIMATES",$A$3,"CALENDAR YEAR",2023)</f>
        <v>3228462.9000000004</v>
      </c>
    </row>
    <row r="7" spans="1:7" x14ac:dyDescent="0.25">
      <c r="A7" s="72" t="s">
        <v>31</v>
      </c>
      <c r="B7" s="22">
        <v>44405.061000000002</v>
      </c>
      <c r="C7" s="22"/>
      <c r="F7" s="1">
        <v>2024</v>
      </c>
      <c r="G7" s="3">
        <f>GETPIVOTDATA("Sum of COST",$A$3,"CALENDAR YEAR",2024)+GETPIVOTDATA("Sum of ESTIMATES",$A$3,"CALENDAR YEAR",2024)</f>
        <v>4436776.5</v>
      </c>
    </row>
    <row r="8" spans="1:7" x14ac:dyDescent="0.25">
      <c r="A8" s="72" t="s">
        <v>32</v>
      </c>
      <c r="B8" s="22">
        <v>59206.748</v>
      </c>
      <c r="C8" s="22"/>
      <c r="F8" s="1">
        <v>2025</v>
      </c>
      <c r="G8" s="3" t="e">
        <f>GETPIVOTDATA("Sum of COST",$A$3,"CALENDAR YEAR",2025)+GETPIVOTDATA("Sum of ESTIMATES",$A$3,"CALENDAR YEAR",2025)</f>
        <v>#REF!</v>
      </c>
    </row>
    <row r="9" spans="1:7" x14ac:dyDescent="0.25">
      <c r="A9" s="72" t="s">
        <v>34</v>
      </c>
      <c r="B9" s="22">
        <v>66607.591499999995</v>
      </c>
      <c r="C9" s="22"/>
      <c r="F9" s="1">
        <v>2026</v>
      </c>
      <c r="G9" s="3" t="e">
        <f>GETPIVOTDATA("Sum of COST",$A$3,"CALENDAR YEAR",2026)+GETPIVOTDATA("Sum of ESTIMATES",$A$3,"CALENDAR YEAR",2026)</f>
        <v>#REF!</v>
      </c>
    </row>
    <row r="10" spans="1:7" x14ac:dyDescent="0.25">
      <c r="A10" s="72" t="s">
        <v>35</v>
      </c>
      <c r="B10" s="22">
        <v>51805.904499999997</v>
      </c>
      <c r="C10" s="22"/>
      <c r="F10" s="1">
        <v>2027</v>
      </c>
      <c r="G10" s="3" t="e">
        <f>GETPIVOTDATA("Sum of COST",$A$3,"CALENDAR YEAR",2027)+GETPIVOTDATA("Sum of ESTIMATES",$A$3,"CALENDAR YEAR",2027)</f>
        <v>#REF!</v>
      </c>
    </row>
    <row r="11" spans="1:7" x14ac:dyDescent="0.25">
      <c r="A11" s="72" t="s">
        <v>36</v>
      </c>
      <c r="B11" s="22">
        <v>56519.89</v>
      </c>
      <c r="C11" s="22"/>
      <c r="F11" s="1">
        <v>2028</v>
      </c>
      <c r="G11" s="3" t="e">
        <f>GETPIVOTDATA("Sum of COST",$A$3,"CALENDAR YEAR",2028)+GETPIVOTDATA("Sum of ESTIMATES",$A$3,"CALENDAR YEAR",2028)</f>
        <v>#REF!</v>
      </c>
    </row>
    <row r="12" spans="1:7" x14ac:dyDescent="0.25">
      <c r="A12" s="72" t="s">
        <v>37</v>
      </c>
      <c r="B12" s="22">
        <v>51805.904499999997</v>
      </c>
      <c r="C12" s="22"/>
      <c r="F12" s="1">
        <v>2029</v>
      </c>
      <c r="G12" s="3" t="e">
        <f>GETPIVOTDATA("Sum of COST",$A$3,"CALENDAR YEAR",2029)+GETPIVOTDATA("Sum of ESTIMATES",$A$3,"CALENDAR YEAR",2029)</f>
        <v>#REF!</v>
      </c>
    </row>
    <row r="13" spans="1:7" x14ac:dyDescent="0.25">
      <c r="A13" s="72" t="s">
        <v>38</v>
      </c>
      <c r="B13" s="22">
        <v>518059.04499999998</v>
      </c>
      <c r="C13" s="22"/>
      <c r="F13" s="1">
        <v>2030</v>
      </c>
      <c r="G13" s="3" t="e">
        <f>GETPIVOTDATA("Sum of COST",$A$3,"CALENDAR YEAR",2030)+GETPIVOTDATA("Sum of ESTIMATES",$A$3,"CALENDAR YEAR",2030)</f>
        <v>#REF!</v>
      </c>
    </row>
    <row r="14" spans="1:7" x14ac:dyDescent="0.25">
      <c r="A14" s="72" t="s">
        <v>39</v>
      </c>
      <c r="B14" s="22">
        <v>59206.748</v>
      </c>
      <c r="C14" s="22"/>
    </row>
    <row r="15" spans="1:7" x14ac:dyDescent="0.25">
      <c r="A15" s="72" t="s">
        <v>40</v>
      </c>
      <c r="B15" s="22">
        <v>66607.591499999995</v>
      </c>
      <c r="C15" s="22"/>
    </row>
    <row r="16" spans="1:7" x14ac:dyDescent="0.25">
      <c r="A16" s="72" t="s">
        <v>41</v>
      </c>
      <c r="B16" s="22">
        <v>37004.217499999999</v>
      </c>
      <c r="C16" s="22"/>
    </row>
    <row r="17" spans="1:3" x14ac:dyDescent="0.25">
      <c r="A17" s="72" t="s">
        <v>42</v>
      </c>
      <c r="B17" s="22">
        <v>44405.061000000002</v>
      </c>
      <c r="C17" s="22"/>
    </row>
    <row r="18" spans="1:3" x14ac:dyDescent="0.25">
      <c r="A18" s="72" t="s">
        <v>43</v>
      </c>
      <c r="B18" s="22">
        <v>32007.26</v>
      </c>
      <c r="C18" s="22"/>
    </row>
    <row r="19" spans="1:3" x14ac:dyDescent="0.25">
      <c r="A19" s="72" t="s">
        <v>44</v>
      </c>
      <c r="B19" s="22">
        <v>74933.740000000005</v>
      </c>
      <c r="C19" s="22"/>
    </row>
    <row r="20" spans="1:3" x14ac:dyDescent="0.25">
      <c r="A20" s="72" t="s">
        <v>45</v>
      </c>
      <c r="B20" s="22">
        <v>148620.14000000001</v>
      </c>
      <c r="C20" s="22"/>
    </row>
    <row r="21" spans="1:3" x14ac:dyDescent="0.25">
      <c r="A21" s="72" t="s">
        <v>46</v>
      </c>
      <c r="B21" s="22">
        <v>74933.740000000005</v>
      </c>
      <c r="C21" s="22"/>
    </row>
    <row r="22" spans="1:3" x14ac:dyDescent="0.25">
      <c r="A22" s="72" t="s">
        <v>47</v>
      </c>
      <c r="B22" s="22">
        <v>37004.217499999999</v>
      </c>
      <c r="C22" s="22"/>
    </row>
    <row r="23" spans="1:3" x14ac:dyDescent="0.25">
      <c r="A23" s="21" t="s">
        <v>49</v>
      </c>
      <c r="B23" s="22">
        <v>1703503.75</v>
      </c>
      <c r="C23" s="22"/>
    </row>
    <row r="24" spans="1:3" x14ac:dyDescent="0.25">
      <c r="A24" s="72" t="s">
        <v>48</v>
      </c>
      <c r="B24" s="22">
        <v>607266.5199999999</v>
      </c>
      <c r="C24" s="22"/>
    </row>
    <row r="25" spans="1:3" x14ac:dyDescent="0.25">
      <c r="A25" s="72" t="s">
        <v>50</v>
      </c>
      <c r="B25" s="22">
        <v>534717.81000000006</v>
      </c>
      <c r="C25" s="22"/>
    </row>
    <row r="26" spans="1:3" x14ac:dyDescent="0.25">
      <c r="A26" s="72" t="s">
        <v>51</v>
      </c>
      <c r="B26" s="22">
        <v>561519.42000000004</v>
      </c>
      <c r="C26" s="22"/>
    </row>
    <row r="27" spans="1:3" x14ac:dyDescent="0.25">
      <c r="A27" s="19">
        <v>2020</v>
      </c>
      <c r="B27" s="22"/>
      <c r="C27" s="22">
        <v>8554799.0212620459</v>
      </c>
    </row>
    <row r="28" spans="1:3" x14ac:dyDescent="0.25">
      <c r="A28" s="21" t="s">
        <v>52</v>
      </c>
      <c r="B28" s="22"/>
      <c r="C28" s="22">
        <v>111996.72</v>
      </c>
    </row>
    <row r="29" spans="1:3" x14ac:dyDescent="0.25">
      <c r="A29" s="72" t="s">
        <v>36</v>
      </c>
      <c r="B29" s="22"/>
      <c r="C29" s="22">
        <v>37332.239999999998</v>
      </c>
    </row>
    <row r="30" spans="1:3" x14ac:dyDescent="0.25">
      <c r="A30" s="72" t="s">
        <v>55</v>
      </c>
      <c r="B30" s="22"/>
      <c r="C30" s="22">
        <v>37332.239999999998</v>
      </c>
    </row>
    <row r="31" spans="1:3" x14ac:dyDescent="0.25">
      <c r="A31" s="72" t="s">
        <v>56</v>
      </c>
      <c r="B31" s="22"/>
      <c r="C31" s="22">
        <v>37332.239999999998</v>
      </c>
    </row>
    <row r="32" spans="1:3" x14ac:dyDescent="0.25">
      <c r="A32" s="21" t="s">
        <v>27</v>
      </c>
      <c r="B32" s="22"/>
      <c r="C32" s="22">
        <v>510658.20149999991</v>
      </c>
    </row>
    <row r="33" spans="1:3" x14ac:dyDescent="0.25">
      <c r="A33" s="72" t="s">
        <v>57</v>
      </c>
      <c r="B33" s="22"/>
      <c r="C33" s="22">
        <v>7400.8434999999999</v>
      </c>
    </row>
    <row r="34" spans="1:3" x14ac:dyDescent="0.25">
      <c r="A34" s="72" t="s">
        <v>58</v>
      </c>
      <c r="B34" s="22"/>
      <c r="C34" s="22">
        <v>125814.3395</v>
      </c>
    </row>
    <row r="35" spans="1:3" x14ac:dyDescent="0.25">
      <c r="A35" s="72" t="s">
        <v>59</v>
      </c>
      <c r="B35" s="22"/>
      <c r="C35" s="22">
        <v>14801.687</v>
      </c>
    </row>
    <row r="36" spans="1:3" x14ac:dyDescent="0.25">
      <c r="A36" s="72" t="s">
        <v>60</v>
      </c>
      <c r="B36" s="22"/>
      <c r="C36" s="22">
        <v>22202.530500000001</v>
      </c>
    </row>
    <row r="37" spans="1:3" x14ac:dyDescent="0.25">
      <c r="A37" s="72" t="s">
        <v>61</v>
      </c>
      <c r="B37" s="22"/>
      <c r="C37" s="22">
        <v>29603.374</v>
      </c>
    </row>
    <row r="38" spans="1:3" x14ac:dyDescent="0.25">
      <c r="A38" s="72" t="s">
        <v>62</v>
      </c>
      <c r="B38" s="22"/>
      <c r="C38" s="22">
        <v>7400.8434999999999</v>
      </c>
    </row>
    <row r="39" spans="1:3" x14ac:dyDescent="0.25">
      <c r="A39" s="72" t="s">
        <v>63</v>
      </c>
      <c r="B39" s="22"/>
      <c r="C39" s="22">
        <v>7400.8434999999999</v>
      </c>
    </row>
    <row r="40" spans="1:3" x14ac:dyDescent="0.25">
      <c r="A40" s="72" t="s">
        <v>64</v>
      </c>
      <c r="B40" s="22"/>
      <c r="C40" s="22">
        <v>22202.530500000001</v>
      </c>
    </row>
    <row r="41" spans="1:3" x14ac:dyDescent="0.25">
      <c r="A41" s="72" t="s">
        <v>55</v>
      </c>
      <c r="B41" s="22"/>
      <c r="C41" s="22">
        <v>133215.18299999999</v>
      </c>
    </row>
    <row r="42" spans="1:3" x14ac:dyDescent="0.25">
      <c r="A42" s="72" t="s">
        <v>65</v>
      </c>
      <c r="B42" s="22"/>
      <c r="C42" s="22">
        <v>14801.687</v>
      </c>
    </row>
    <row r="43" spans="1:3" x14ac:dyDescent="0.25">
      <c r="A43" s="72" t="s">
        <v>51</v>
      </c>
      <c r="B43" s="22"/>
      <c r="C43" s="22">
        <v>7400.8434999999999</v>
      </c>
    </row>
    <row r="44" spans="1:3" x14ac:dyDescent="0.25">
      <c r="A44" s="72" t="s">
        <v>66</v>
      </c>
      <c r="B44" s="22"/>
      <c r="C44" s="22">
        <v>118413.496</v>
      </c>
    </row>
    <row r="45" spans="1:3" x14ac:dyDescent="0.25">
      <c r="A45" s="21" t="s">
        <v>68</v>
      </c>
      <c r="B45" s="22"/>
      <c r="C45" s="22">
        <v>2762129.37</v>
      </c>
    </row>
    <row r="46" spans="1:3" x14ac:dyDescent="0.25">
      <c r="A46" s="72" t="s">
        <v>67</v>
      </c>
      <c r="B46" s="22"/>
      <c r="C46" s="22">
        <v>0</v>
      </c>
    </row>
    <row r="47" spans="1:3" x14ac:dyDescent="0.25">
      <c r="A47" s="72" t="s">
        <v>69</v>
      </c>
      <c r="B47" s="22"/>
      <c r="C47" s="22">
        <v>0</v>
      </c>
    </row>
    <row r="48" spans="1:3" x14ac:dyDescent="0.25">
      <c r="A48" s="72" t="s">
        <v>70</v>
      </c>
      <c r="B48" s="22"/>
      <c r="C48" s="22">
        <v>0</v>
      </c>
    </row>
    <row r="49" spans="1:3" x14ac:dyDescent="0.25">
      <c r="A49" s="72" t="s">
        <v>71</v>
      </c>
      <c r="B49" s="22"/>
      <c r="C49" s="22">
        <v>0</v>
      </c>
    </row>
    <row r="50" spans="1:3" x14ac:dyDescent="0.25">
      <c r="A50" s="72" t="s">
        <v>72</v>
      </c>
      <c r="B50" s="22"/>
      <c r="C50" s="22">
        <v>0</v>
      </c>
    </row>
    <row r="51" spans="1:3" x14ac:dyDescent="0.25">
      <c r="A51" s="72" t="s">
        <v>73</v>
      </c>
      <c r="B51" s="22"/>
      <c r="C51" s="22">
        <v>586220.8949999999</v>
      </c>
    </row>
    <row r="52" spans="1:3" x14ac:dyDescent="0.25">
      <c r="A52" s="72" t="s">
        <v>74</v>
      </c>
      <c r="B52" s="22"/>
      <c r="C52" s="22">
        <v>0</v>
      </c>
    </row>
    <row r="53" spans="1:3" x14ac:dyDescent="0.25">
      <c r="A53" s="72" t="s">
        <v>75</v>
      </c>
      <c r="B53" s="22"/>
      <c r="C53" s="22">
        <v>0</v>
      </c>
    </row>
    <row r="54" spans="1:3" x14ac:dyDescent="0.25">
      <c r="A54" s="72" t="s">
        <v>76</v>
      </c>
      <c r="B54" s="22"/>
      <c r="C54" s="22">
        <v>0</v>
      </c>
    </row>
    <row r="55" spans="1:3" x14ac:dyDescent="0.25">
      <c r="A55" s="72" t="s">
        <v>77</v>
      </c>
      <c r="B55" s="22"/>
      <c r="C55" s="22">
        <v>390813.93</v>
      </c>
    </row>
    <row r="56" spans="1:3" x14ac:dyDescent="0.25">
      <c r="A56" s="72" t="s">
        <v>78</v>
      </c>
      <c r="B56" s="22"/>
      <c r="C56" s="22">
        <v>0</v>
      </c>
    </row>
    <row r="57" spans="1:3" x14ac:dyDescent="0.25">
      <c r="A57" s="72" t="s">
        <v>79</v>
      </c>
      <c r="B57" s="22"/>
      <c r="C57" s="22">
        <v>0</v>
      </c>
    </row>
    <row r="58" spans="1:3" x14ac:dyDescent="0.25">
      <c r="A58" s="72" t="s">
        <v>80</v>
      </c>
      <c r="B58" s="22"/>
      <c r="C58" s="22">
        <v>0</v>
      </c>
    </row>
    <row r="59" spans="1:3" x14ac:dyDescent="0.25">
      <c r="A59" s="72" t="s">
        <v>81</v>
      </c>
      <c r="B59" s="22"/>
      <c r="C59" s="22">
        <v>781627.86</v>
      </c>
    </row>
    <row r="60" spans="1:3" x14ac:dyDescent="0.25">
      <c r="A60" s="72" t="s">
        <v>82</v>
      </c>
      <c r="B60" s="22"/>
      <c r="C60" s="22">
        <v>0</v>
      </c>
    </row>
    <row r="61" spans="1:3" x14ac:dyDescent="0.25">
      <c r="A61" s="72" t="s">
        <v>83</v>
      </c>
      <c r="B61" s="22"/>
      <c r="C61" s="22">
        <v>390813.93</v>
      </c>
    </row>
    <row r="62" spans="1:3" x14ac:dyDescent="0.25">
      <c r="A62" s="72" t="s">
        <v>84</v>
      </c>
      <c r="B62" s="22"/>
      <c r="C62" s="22">
        <v>0</v>
      </c>
    </row>
    <row r="63" spans="1:3" x14ac:dyDescent="0.25">
      <c r="A63" s="72" t="s">
        <v>36</v>
      </c>
      <c r="B63" s="22"/>
      <c r="C63" s="22">
        <v>417245.79</v>
      </c>
    </row>
    <row r="64" spans="1:3" x14ac:dyDescent="0.25">
      <c r="A64" s="72" t="s">
        <v>87</v>
      </c>
      <c r="B64" s="22"/>
      <c r="C64" s="22">
        <v>0</v>
      </c>
    </row>
    <row r="65" spans="1:3" x14ac:dyDescent="0.25">
      <c r="A65" s="72" t="s">
        <v>88</v>
      </c>
      <c r="B65" s="22"/>
      <c r="C65" s="22">
        <v>0</v>
      </c>
    </row>
    <row r="66" spans="1:3" x14ac:dyDescent="0.25">
      <c r="A66" s="72" t="s">
        <v>89</v>
      </c>
      <c r="B66" s="22"/>
      <c r="C66" s="22">
        <v>0</v>
      </c>
    </row>
    <row r="67" spans="1:3" x14ac:dyDescent="0.25">
      <c r="A67" s="72" t="s">
        <v>90</v>
      </c>
      <c r="B67" s="22"/>
      <c r="C67" s="22">
        <v>0</v>
      </c>
    </row>
    <row r="68" spans="1:3" x14ac:dyDescent="0.25">
      <c r="A68" s="72" t="s">
        <v>91</v>
      </c>
      <c r="B68" s="22"/>
      <c r="C68" s="22">
        <v>195406.965</v>
      </c>
    </row>
    <row r="69" spans="1:3" x14ac:dyDescent="0.25">
      <c r="A69" s="72" t="s">
        <v>92</v>
      </c>
      <c r="B69" s="22"/>
      <c r="C69" s="22">
        <v>0</v>
      </c>
    </row>
    <row r="70" spans="1:3" x14ac:dyDescent="0.25">
      <c r="A70" s="72" t="s">
        <v>93</v>
      </c>
      <c r="B70" s="22"/>
      <c r="C70" s="22">
        <v>0</v>
      </c>
    </row>
    <row r="71" spans="1:3" x14ac:dyDescent="0.25">
      <c r="A71" s="72" t="s">
        <v>94</v>
      </c>
      <c r="B71" s="22"/>
      <c r="C71" s="22">
        <v>0</v>
      </c>
    </row>
    <row r="72" spans="1:3" x14ac:dyDescent="0.25">
      <c r="A72" s="72" t="s">
        <v>95</v>
      </c>
      <c r="B72" s="22"/>
      <c r="C72" s="22">
        <v>0</v>
      </c>
    </row>
    <row r="73" spans="1:3" x14ac:dyDescent="0.25">
      <c r="A73" s="72" t="s">
        <v>96</v>
      </c>
      <c r="B73" s="22"/>
      <c r="C73" s="22">
        <v>0</v>
      </c>
    </row>
    <row r="74" spans="1:3" x14ac:dyDescent="0.25">
      <c r="A74" s="72" t="s">
        <v>97</v>
      </c>
      <c r="B74" s="22"/>
      <c r="C74" s="22">
        <v>0</v>
      </c>
    </row>
    <row r="75" spans="1:3" x14ac:dyDescent="0.25">
      <c r="A75" s="72" t="s">
        <v>98</v>
      </c>
      <c r="B75" s="22"/>
      <c r="C75" s="22">
        <v>0</v>
      </c>
    </row>
    <row r="76" spans="1:3" x14ac:dyDescent="0.25">
      <c r="A76" s="72" t="s">
        <v>99</v>
      </c>
      <c r="B76" s="22"/>
      <c r="C76" s="22">
        <v>0</v>
      </c>
    </row>
    <row r="77" spans="1:3" x14ac:dyDescent="0.25">
      <c r="A77" s="72" t="s">
        <v>100</v>
      </c>
      <c r="B77" s="22"/>
      <c r="C77" s="22">
        <v>0</v>
      </c>
    </row>
    <row r="78" spans="1:3" x14ac:dyDescent="0.25">
      <c r="A78" s="72" t="s">
        <v>101</v>
      </c>
      <c r="B78" s="22"/>
      <c r="C78" s="22">
        <v>0</v>
      </c>
    </row>
    <row r="79" spans="1:3" x14ac:dyDescent="0.25">
      <c r="A79" s="72" t="s">
        <v>102</v>
      </c>
      <c r="B79" s="22"/>
      <c r="C79" s="22">
        <v>0</v>
      </c>
    </row>
    <row r="80" spans="1:3" x14ac:dyDescent="0.25">
      <c r="A80" s="21" t="s">
        <v>49</v>
      </c>
      <c r="B80" s="22"/>
      <c r="C80" s="22">
        <v>5169957.7297620457</v>
      </c>
    </row>
    <row r="81" spans="1:3" x14ac:dyDescent="0.25">
      <c r="A81" s="72" t="s">
        <v>36</v>
      </c>
      <c r="B81" s="22"/>
      <c r="C81" s="22">
        <v>1875140.9186071779</v>
      </c>
    </row>
    <row r="82" spans="1:3" x14ac:dyDescent="0.25">
      <c r="A82" s="72" t="s">
        <v>103</v>
      </c>
      <c r="B82" s="22"/>
      <c r="C82" s="22">
        <v>256091.65616175026</v>
      </c>
    </row>
    <row r="83" spans="1:3" x14ac:dyDescent="0.25">
      <c r="A83" s="72" t="s">
        <v>55</v>
      </c>
      <c r="B83" s="22"/>
      <c r="C83" s="22">
        <v>2047014.5133466078</v>
      </c>
    </row>
    <row r="84" spans="1:3" x14ac:dyDescent="0.25">
      <c r="A84" s="72" t="s">
        <v>104</v>
      </c>
      <c r="B84" s="22"/>
      <c r="C84" s="22">
        <v>991710.64164650941</v>
      </c>
    </row>
    <row r="85" spans="1:3" x14ac:dyDescent="0.25">
      <c r="A85" s="21" t="s">
        <v>106</v>
      </c>
      <c r="B85" s="22"/>
      <c r="C85" s="22">
        <v>57</v>
      </c>
    </row>
    <row r="86" spans="1:3" x14ac:dyDescent="0.25">
      <c r="A86" s="72" t="s">
        <v>62</v>
      </c>
      <c r="B86" s="22"/>
      <c r="C86" s="22">
        <v>1</v>
      </c>
    </row>
    <row r="87" spans="1:3" x14ac:dyDescent="0.25">
      <c r="A87" s="72" t="s">
        <v>65</v>
      </c>
      <c r="B87" s="22"/>
      <c r="C87" s="22">
        <v>2</v>
      </c>
    </row>
    <row r="88" spans="1:3" x14ac:dyDescent="0.25">
      <c r="A88" s="72" t="s">
        <v>56</v>
      </c>
      <c r="B88" s="22"/>
      <c r="C88" s="22">
        <v>46</v>
      </c>
    </row>
    <row r="89" spans="1:3" x14ac:dyDescent="0.25">
      <c r="A89" s="72" t="s">
        <v>108</v>
      </c>
      <c r="B89" s="22"/>
      <c r="C89" s="22">
        <v>8</v>
      </c>
    </row>
    <row r="90" spans="1:3" x14ac:dyDescent="0.25">
      <c r="A90" s="19">
        <v>2021</v>
      </c>
      <c r="B90" s="22"/>
      <c r="C90" s="22">
        <v>5442349.0200000005</v>
      </c>
    </row>
    <row r="91" spans="1:3" x14ac:dyDescent="0.25">
      <c r="A91" s="21" t="s">
        <v>109</v>
      </c>
      <c r="B91" s="22"/>
      <c r="C91" s="22">
        <v>2614140</v>
      </c>
    </row>
    <row r="92" spans="1:3" x14ac:dyDescent="0.25">
      <c r="A92" s="72" t="s">
        <v>36</v>
      </c>
      <c r="B92" s="22"/>
      <c r="C92" s="22">
        <v>1307070</v>
      </c>
    </row>
    <row r="93" spans="1:3" x14ac:dyDescent="0.25">
      <c r="A93" s="72" t="s">
        <v>55</v>
      </c>
      <c r="B93" s="22"/>
      <c r="C93" s="22">
        <v>1307070</v>
      </c>
    </row>
    <row r="94" spans="1:3" x14ac:dyDescent="0.25">
      <c r="A94" s="21" t="s">
        <v>68</v>
      </c>
      <c r="B94" s="22"/>
      <c r="C94" s="22">
        <v>2828209.02</v>
      </c>
    </row>
    <row r="95" spans="1:3" x14ac:dyDescent="0.25">
      <c r="A95" s="72" t="s">
        <v>111</v>
      </c>
      <c r="B95" s="22"/>
      <c r="C95" s="22">
        <v>404029.86000000004</v>
      </c>
    </row>
    <row r="96" spans="1:3" x14ac:dyDescent="0.25">
      <c r="A96" s="72" t="s">
        <v>112</v>
      </c>
      <c r="B96" s="22"/>
      <c r="C96" s="22">
        <v>606044.79</v>
      </c>
    </row>
    <row r="97" spans="1:3" x14ac:dyDescent="0.25">
      <c r="A97" s="72" t="s">
        <v>113</v>
      </c>
      <c r="B97" s="22"/>
      <c r="C97" s="22">
        <v>404029.86000000004</v>
      </c>
    </row>
    <row r="98" spans="1:3" x14ac:dyDescent="0.25">
      <c r="A98" s="72" t="s">
        <v>39</v>
      </c>
      <c r="B98" s="22"/>
      <c r="C98" s="22">
        <v>0</v>
      </c>
    </row>
    <row r="99" spans="1:3" x14ac:dyDescent="0.25">
      <c r="A99" s="72" t="s">
        <v>114</v>
      </c>
      <c r="B99" s="22"/>
      <c r="C99" s="22">
        <v>404029.86000000004</v>
      </c>
    </row>
    <row r="100" spans="1:3" x14ac:dyDescent="0.25">
      <c r="A100" s="72" t="s">
        <v>115</v>
      </c>
      <c r="B100" s="22"/>
      <c r="C100" s="22">
        <v>606044.79</v>
      </c>
    </row>
    <row r="101" spans="1:3" x14ac:dyDescent="0.25">
      <c r="A101" s="72" t="s">
        <v>116</v>
      </c>
      <c r="B101" s="22"/>
      <c r="C101" s="22">
        <v>404029.86000000004</v>
      </c>
    </row>
    <row r="102" spans="1:3" x14ac:dyDescent="0.25">
      <c r="A102" s="19">
        <v>2022</v>
      </c>
      <c r="B102" s="22"/>
      <c r="C102" s="22">
        <v>2712097.6349999998</v>
      </c>
    </row>
    <row r="103" spans="1:3" x14ac:dyDescent="0.25">
      <c r="A103" s="21" t="s">
        <v>68</v>
      </c>
      <c r="B103" s="22"/>
      <c r="C103" s="22">
        <v>2712097.6349999998</v>
      </c>
    </row>
    <row r="104" spans="1:3" x14ac:dyDescent="0.25">
      <c r="A104" s="72" t="s">
        <v>118</v>
      </c>
      <c r="B104" s="22"/>
      <c r="C104" s="22">
        <v>208622.89499999999</v>
      </c>
    </row>
    <row r="105" spans="1:3" x14ac:dyDescent="0.25">
      <c r="A105" s="72" t="s">
        <v>119</v>
      </c>
      <c r="B105" s="22"/>
      <c r="C105" s="22">
        <v>417245.79</v>
      </c>
    </row>
    <row r="106" spans="1:3" x14ac:dyDescent="0.25">
      <c r="A106" s="72" t="s">
        <v>120</v>
      </c>
      <c r="B106" s="22"/>
      <c r="C106" s="22">
        <v>625868.68499999994</v>
      </c>
    </row>
    <row r="107" spans="1:3" x14ac:dyDescent="0.25">
      <c r="A107" s="72" t="s">
        <v>105</v>
      </c>
      <c r="B107" s="22"/>
      <c r="C107" s="22">
        <v>208622.89499999999</v>
      </c>
    </row>
    <row r="108" spans="1:3" x14ac:dyDescent="0.25">
      <c r="A108" s="72" t="s">
        <v>121</v>
      </c>
      <c r="B108" s="22"/>
      <c r="C108" s="22">
        <v>208622.89499999999</v>
      </c>
    </row>
    <row r="109" spans="1:3" x14ac:dyDescent="0.25">
      <c r="A109" s="72" t="s">
        <v>122</v>
      </c>
      <c r="B109" s="22"/>
      <c r="C109" s="22">
        <v>625868.68499999994</v>
      </c>
    </row>
    <row r="110" spans="1:3" x14ac:dyDescent="0.25">
      <c r="A110" s="72" t="s">
        <v>123</v>
      </c>
      <c r="B110" s="22"/>
      <c r="C110" s="22">
        <v>417245.79</v>
      </c>
    </row>
    <row r="111" spans="1:3" x14ac:dyDescent="0.25">
      <c r="A111" s="19">
        <v>2023</v>
      </c>
      <c r="B111" s="22"/>
      <c r="C111" s="22">
        <v>3228462.9000000004</v>
      </c>
    </row>
    <row r="112" spans="1:3" x14ac:dyDescent="0.25">
      <c r="A112" s="21" t="s">
        <v>68</v>
      </c>
      <c r="B112" s="22"/>
      <c r="C112" s="22">
        <v>3228462.9000000004</v>
      </c>
    </row>
    <row r="113" spans="1:3" x14ac:dyDescent="0.25">
      <c r="A113" s="72" t="s">
        <v>124</v>
      </c>
      <c r="B113" s="22"/>
      <c r="C113" s="22">
        <v>215230.86000000002</v>
      </c>
    </row>
    <row r="114" spans="1:3" x14ac:dyDescent="0.25">
      <c r="A114" s="72" t="s">
        <v>117</v>
      </c>
      <c r="B114" s="22"/>
      <c r="C114" s="22">
        <v>0</v>
      </c>
    </row>
    <row r="115" spans="1:3" x14ac:dyDescent="0.25">
      <c r="A115" s="72" t="s">
        <v>125</v>
      </c>
      <c r="B115" s="22"/>
      <c r="C115" s="22">
        <v>0</v>
      </c>
    </row>
    <row r="116" spans="1:3" x14ac:dyDescent="0.25">
      <c r="A116" s="72" t="s">
        <v>134</v>
      </c>
      <c r="B116" s="22"/>
      <c r="C116" s="22">
        <v>645692.58000000007</v>
      </c>
    </row>
    <row r="117" spans="1:3" x14ac:dyDescent="0.25">
      <c r="A117" s="72" t="s">
        <v>107</v>
      </c>
      <c r="B117" s="22"/>
      <c r="C117" s="22">
        <v>430461.72000000003</v>
      </c>
    </row>
    <row r="118" spans="1:3" x14ac:dyDescent="0.25">
      <c r="A118" s="72" t="s">
        <v>126</v>
      </c>
      <c r="B118" s="22"/>
      <c r="C118" s="22">
        <v>430461.72000000003</v>
      </c>
    </row>
    <row r="119" spans="1:3" x14ac:dyDescent="0.25">
      <c r="A119" s="72" t="s">
        <v>127</v>
      </c>
      <c r="B119" s="22"/>
      <c r="C119" s="22">
        <v>1076154.3</v>
      </c>
    </row>
    <row r="120" spans="1:3" x14ac:dyDescent="0.25">
      <c r="A120" s="72" t="s">
        <v>47</v>
      </c>
      <c r="B120" s="22"/>
      <c r="C120" s="22">
        <v>430461.72000000003</v>
      </c>
    </row>
    <row r="121" spans="1:3" x14ac:dyDescent="0.25">
      <c r="A121" s="19">
        <v>2024</v>
      </c>
      <c r="B121" s="22"/>
      <c r="C121" s="22">
        <v>4436776.5</v>
      </c>
    </row>
    <row r="122" spans="1:3" x14ac:dyDescent="0.25">
      <c r="A122" s="21" t="s">
        <v>68</v>
      </c>
      <c r="B122" s="22"/>
      <c r="C122" s="22">
        <v>4436776.5</v>
      </c>
    </row>
    <row r="123" spans="1:3" x14ac:dyDescent="0.25">
      <c r="A123" s="72" t="s">
        <v>129</v>
      </c>
      <c r="B123" s="22"/>
      <c r="C123" s="22">
        <v>443677.65</v>
      </c>
    </row>
    <row r="124" spans="1:3" x14ac:dyDescent="0.25">
      <c r="A124" s="72" t="s">
        <v>130</v>
      </c>
      <c r="B124" s="22"/>
      <c r="C124" s="22">
        <v>665516.47499999998</v>
      </c>
    </row>
    <row r="125" spans="1:3" x14ac:dyDescent="0.25">
      <c r="A125" s="72" t="s">
        <v>131</v>
      </c>
      <c r="B125" s="22"/>
      <c r="C125" s="22">
        <v>443677.65</v>
      </c>
    </row>
    <row r="126" spans="1:3" x14ac:dyDescent="0.25">
      <c r="A126" s="72" t="s">
        <v>132</v>
      </c>
      <c r="B126" s="22"/>
      <c r="C126" s="22">
        <v>0</v>
      </c>
    </row>
    <row r="127" spans="1:3" x14ac:dyDescent="0.25">
      <c r="A127" s="72" t="s">
        <v>133</v>
      </c>
      <c r="B127" s="22"/>
      <c r="C127" s="22">
        <v>665516.47499999998</v>
      </c>
    </row>
    <row r="128" spans="1:3" x14ac:dyDescent="0.25">
      <c r="A128" s="72" t="s">
        <v>135</v>
      </c>
      <c r="B128" s="22"/>
      <c r="C128" s="22">
        <v>665516.47499999998</v>
      </c>
    </row>
    <row r="129" spans="1:3" x14ac:dyDescent="0.25">
      <c r="A129" s="72" t="s">
        <v>136</v>
      </c>
      <c r="B129" s="22"/>
      <c r="C129" s="22">
        <v>665516.47499999998</v>
      </c>
    </row>
    <row r="130" spans="1:3" x14ac:dyDescent="0.25">
      <c r="A130" s="72" t="s">
        <v>128</v>
      </c>
      <c r="B130" s="22"/>
      <c r="C130" s="22">
        <v>887355.3</v>
      </c>
    </row>
    <row r="131" spans="1:3" x14ac:dyDescent="0.25">
      <c r="A131" s="72" t="s">
        <v>137</v>
      </c>
      <c r="B131" s="22"/>
      <c r="C131" s="22">
        <v>0</v>
      </c>
    </row>
    <row r="132" spans="1:3" x14ac:dyDescent="0.25">
      <c r="A132" s="19">
        <v>113</v>
      </c>
      <c r="B132" s="22"/>
      <c r="C132" s="22">
        <v>1</v>
      </c>
    </row>
    <row r="133" spans="1:3" x14ac:dyDescent="0.25">
      <c r="A133" s="21" t="s">
        <v>106</v>
      </c>
      <c r="B133" s="22"/>
      <c r="C133" s="22">
        <v>1</v>
      </c>
    </row>
    <row r="134" spans="1:3" x14ac:dyDescent="0.25">
      <c r="A134" s="72" t="s">
        <v>105</v>
      </c>
      <c r="B134" s="22"/>
      <c r="C134" s="22">
        <v>1</v>
      </c>
    </row>
    <row r="135" spans="1:3" x14ac:dyDescent="0.25">
      <c r="A135" s="19">
        <v>59</v>
      </c>
      <c r="B135" s="22"/>
      <c r="C135" s="22">
        <v>2</v>
      </c>
    </row>
    <row r="136" spans="1:3" x14ac:dyDescent="0.25">
      <c r="A136" s="21" t="s">
        <v>106</v>
      </c>
      <c r="B136" s="22"/>
      <c r="C136" s="22">
        <v>2</v>
      </c>
    </row>
    <row r="137" spans="1:3" x14ac:dyDescent="0.25">
      <c r="A137" s="72" t="s">
        <v>93</v>
      </c>
      <c r="B137" s="22"/>
      <c r="C137" s="22">
        <v>0</v>
      </c>
    </row>
    <row r="138" spans="1:3" x14ac:dyDescent="0.25">
      <c r="A138" s="72" t="s">
        <v>107</v>
      </c>
      <c r="B138" s="22"/>
      <c r="C138" s="22">
        <v>2</v>
      </c>
    </row>
    <row r="139" spans="1:3" x14ac:dyDescent="0.25">
      <c r="A139" s="19">
        <v>112</v>
      </c>
      <c r="B139" s="22"/>
      <c r="C139" s="22">
        <v>0</v>
      </c>
    </row>
    <row r="140" spans="1:3" x14ac:dyDescent="0.25">
      <c r="A140" s="21" t="s">
        <v>106</v>
      </c>
      <c r="B140" s="22"/>
      <c r="C140" s="22">
        <v>0</v>
      </c>
    </row>
    <row r="141" spans="1:3" x14ac:dyDescent="0.25">
      <c r="A141" s="72" t="s">
        <v>94</v>
      </c>
      <c r="B141" s="22"/>
      <c r="C141" s="22">
        <v>0</v>
      </c>
    </row>
    <row r="142" spans="1:3" x14ac:dyDescent="0.25">
      <c r="A142" s="19">
        <v>2</v>
      </c>
      <c r="B142" s="22"/>
      <c r="C142" s="22">
        <v>0</v>
      </c>
    </row>
    <row r="143" spans="1:3" x14ac:dyDescent="0.25">
      <c r="A143" s="21" t="s">
        <v>106</v>
      </c>
      <c r="B143" s="22"/>
      <c r="C143" s="22">
        <v>0</v>
      </c>
    </row>
    <row r="144" spans="1:3" x14ac:dyDescent="0.25">
      <c r="A144" s="72" t="s">
        <v>96</v>
      </c>
      <c r="B144" s="22"/>
      <c r="C144" s="22">
        <v>0</v>
      </c>
    </row>
    <row r="145" spans="1:3" x14ac:dyDescent="0.25">
      <c r="A145" s="72" t="s">
        <v>97</v>
      </c>
      <c r="B145" s="22"/>
      <c r="C145" s="22">
        <v>0</v>
      </c>
    </row>
    <row r="146" spans="1:3" x14ac:dyDescent="0.25">
      <c r="A146" s="72" t="s">
        <v>99</v>
      </c>
      <c r="B146" s="22"/>
      <c r="C146" s="22">
        <v>0</v>
      </c>
    </row>
    <row r="147" spans="1:3" x14ac:dyDescent="0.25">
      <c r="A147" s="72" t="s">
        <v>101</v>
      </c>
      <c r="B147" s="22"/>
      <c r="C147" s="22">
        <v>0</v>
      </c>
    </row>
    <row r="148" spans="1:3" x14ac:dyDescent="0.25">
      <c r="A148" s="19">
        <v>166</v>
      </c>
      <c r="B148" s="22"/>
      <c r="C148" s="22">
        <v>1</v>
      </c>
    </row>
    <row r="149" spans="1:3" x14ac:dyDescent="0.25">
      <c r="A149" s="21" t="s">
        <v>106</v>
      </c>
      <c r="B149" s="22"/>
      <c r="C149" s="22">
        <v>1</v>
      </c>
    </row>
    <row r="150" spans="1:3" x14ac:dyDescent="0.25">
      <c r="A150" s="72" t="s">
        <v>69</v>
      </c>
      <c r="B150" s="22"/>
      <c r="C150" s="22">
        <v>1</v>
      </c>
    </row>
    <row r="151" spans="1:3" x14ac:dyDescent="0.25">
      <c r="A151" s="19">
        <v>165</v>
      </c>
      <c r="B151" s="22"/>
      <c r="C151" s="22">
        <v>1</v>
      </c>
    </row>
    <row r="152" spans="1:3" x14ac:dyDescent="0.25">
      <c r="A152" s="21" t="s">
        <v>106</v>
      </c>
      <c r="B152" s="22"/>
      <c r="C152" s="22">
        <v>1</v>
      </c>
    </row>
    <row r="153" spans="1:3" x14ac:dyDescent="0.25">
      <c r="A153" s="72" t="s">
        <v>74</v>
      </c>
      <c r="B153" s="22"/>
      <c r="C153" s="22">
        <v>1</v>
      </c>
    </row>
    <row r="154" spans="1:3" x14ac:dyDescent="0.25">
      <c r="A154" s="19">
        <v>128</v>
      </c>
      <c r="B154" s="22"/>
      <c r="C154" s="22">
        <v>0</v>
      </c>
    </row>
    <row r="155" spans="1:3" x14ac:dyDescent="0.25">
      <c r="A155" s="21" t="s">
        <v>106</v>
      </c>
      <c r="B155" s="22"/>
      <c r="C155" s="22">
        <v>0</v>
      </c>
    </row>
    <row r="156" spans="1:3" x14ac:dyDescent="0.25">
      <c r="A156" s="72" t="s">
        <v>80</v>
      </c>
      <c r="B156" s="22"/>
      <c r="C156" s="22">
        <v>0</v>
      </c>
    </row>
    <row r="157" spans="1:3" x14ac:dyDescent="0.25">
      <c r="A157" s="19">
        <v>164</v>
      </c>
      <c r="B157" s="22"/>
      <c r="C157" s="22">
        <v>0</v>
      </c>
    </row>
    <row r="158" spans="1:3" x14ac:dyDescent="0.25">
      <c r="A158" s="21" t="s">
        <v>106</v>
      </c>
      <c r="B158" s="22"/>
      <c r="C158" s="22">
        <v>0</v>
      </c>
    </row>
    <row r="159" spans="1:3" x14ac:dyDescent="0.25">
      <c r="A159" s="72" t="s">
        <v>117</v>
      </c>
      <c r="B159" s="22"/>
      <c r="C159" s="22">
        <v>0</v>
      </c>
    </row>
    <row r="160" spans="1:3" x14ac:dyDescent="0.25">
      <c r="A160" s="19">
        <v>202</v>
      </c>
      <c r="B160" s="22"/>
      <c r="C160" s="22">
        <v>0</v>
      </c>
    </row>
    <row r="161" spans="1:3" x14ac:dyDescent="0.25">
      <c r="A161" s="21" t="s">
        <v>106</v>
      </c>
      <c r="B161" s="22"/>
      <c r="C161" s="22">
        <v>0</v>
      </c>
    </row>
    <row r="162" spans="1:3" x14ac:dyDescent="0.25">
      <c r="A162" s="72" t="s">
        <v>82</v>
      </c>
      <c r="B162" s="22"/>
      <c r="C162" s="22">
        <v>0</v>
      </c>
    </row>
    <row r="163" spans="1:3" x14ac:dyDescent="0.25">
      <c r="A163" s="19">
        <v>207</v>
      </c>
      <c r="B163" s="22"/>
      <c r="C163" s="22">
        <v>1</v>
      </c>
    </row>
    <row r="164" spans="1:3" x14ac:dyDescent="0.25">
      <c r="A164" s="21" t="s">
        <v>106</v>
      </c>
      <c r="B164" s="22"/>
      <c r="C164" s="22">
        <v>1</v>
      </c>
    </row>
    <row r="165" spans="1:3" x14ac:dyDescent="0.25">
      <c r="A165" s="72" t="s">
        <v>67</v>
      </c>
      <c r="B165" s="22"/>
      <c r="C165" s="22">
        <v>1</v>
      </c>
    </row>
    <row r="166" spans="1:3" x14ac:dyDescent="0.25">
      <c r="A166" s="19">
        <v>206</v>
      </c>
      <c r="B166" s="22"/>
      <c r="C166" s="22">
        <v>3</v>
      </c>
    </row>
    <row r="167" spans="1:3" x14ac:dyDescent="0.25">
      <c r="A167" s="21" t="s">
        <v>106</v>
      </c>
      <c r="B167" s="22"/>
      <c r="C167" s="22">
        <v>3</v>
      </c>
    </row>
    <row r="168" spans="1:3" x14ac:dyDescent="0.25">
      <c r="A168" s="72" t="s">
        <v>124</v>
      </c>
      <c r="B168" s="22"/>
      <c r="C168" s="22">
        <v>3</v>
      </c>
    </row>
    <row r="169" spans="1:3" x14ac:dyDescent="0.25">
      <c r="A169" s="19">
        <v>232</v>
      </c>
      <c r="B169" s="22"/>
      <c r="C169" s="22">
        <v>2</v>
      </c>
    </row>
    <row r="170" spans="1:3" x14ac:dyDescent="0.25">
      <c r="A170" s="21" t="s">
        <v>106</v>
      </c>
      <c r="B170" s="22"/>
      <c r="C170" s="22">
        <v>2</v>
      </c>
    </row>
    <row r="171" spans="1:3" x14ac:dyDescent="0.25">
      <c r="A171" s="72" t="s">
        <v>121</v>
      </c>
      <c r="B171" s="22"/>
      <c r="C171" s="22">
        <v>2</v>
      </c>
    </row>
    <row r="172" spans="1:3" x14ac:dyDescent="0.25">
      <c r="A172" s="19">
        <v>277</v>
      </c>
      <c r="B172" s="22"/>
      <c r="C172" s="22">
        <v>35</v>
      </c>
    </row>
    <row r="173" spans="1:3" x14ac:dyDescent="0.25">
      <c r="A173" s="21" t="s">
        <v>106</v>
      </c>
      <c r="B173" s="22"/>
      <c r="C173" s="22">
        <v>35</v>
      </c>
    </row>
    <row r="174" spans="1:3" x14ac:dyDescent="0.25">
      <c r="A174" s="72" t="s">
        <v>84</v>
      </c>
      <c r="B174" s="22"/>
      <c r="C174" s="22">
        <v>35</v>
      </c>
    </row>
    <row r="175" spans="1:3" x14ac:dyDescent="0.25">
      <c r="A175" s="19">
        <v>216</v>
      </c>
      <c r="B175" s="22"/>
      <c r="C175" s="22">
        <v>9</v>
      </c>
    </row>
    <row r="176" spans="1:3" x14ac:dyDescent="0.25">
      <c r="A176" s="21" t="s">
        <v>106</v>
      </c>
      <c r="B176" s="22"/>
      <c r="C176" s="22">
        <v>9</v>
      </c>
    </row>
    <row r="177" spans="1:3" x14ac:dyDescent="0.25">
      <c r="A177" s="72" t="s">
        <v>115</v>
      </c>
      <c r="B177" s="22"/>
      <c r="C177" s="22">
        <v>9</v>
      </c>
    </row>
    <row r="178" spans="1:3" x14ac:dyDescent="0.25">
      <c r="A178" s="19">
        <v>203</v>
      </c>
      <c r="B178" s="22"/>
      <c r="C178" s="22">
        <v>1</v>
      </c>
    </row>
    <row r="179" spans="1:3" x14ac:dyDescent="0.25">
      <c r="A179" s="21" t="s">
        <v>106</v>
      </c>
      <c r="B179" s="22"/>
      <c r="C179" s="22">
        <v>1</v>
      </c>
    </row>
    <row r="180" spans="1:3" x14ac:dyDescent="0.25">
      <c r="A180" s="72" t="s">
        <v>102</v>
      </c>
      <c r="B180" s="22"/>
      <c r="C180" s="22">
        <v>1</v>
      </c>
    </row>
    <row r="181" spans="1:3" x14ac:dyDescent="0.25">
      <c r="A181" s="19">
        <v>379</v>
      </c>
      <c r="B181" s="22"/>
      <c r="C181" s="22">
        <v>6</v>
      </c>
    </row>
    <row r="182" spans="1:3" x14ac:dyDescent="0.25">
      <c r="A182" s="21" t="s">
        <v>106</v>
      </c>
      <c r="B182" s="22"/>
      <c r="C182" s="22">
        <v>6</v>
      </c>
    </row>
    <row r="183" spans="1:3" x14ac:dyDescent="0.25">
      <c r="A183" s="72" t="s">
        <v>31</v>
      </c>
      <c r="B183" s="22"/>
      <c r="C183" s="22">
        <v>6</v>
      </c>
    </row>
    <row r="184" spans="1:3" x14ac:dyDescent="0.25">
      <c r="A184" s="19">
        <v>373</v>
      </c>
      <c r="B184" s="22"/>
      <c r="C184" s="22">
        <v>17</v>
      </c>
    </row>
    <row r="185" spans="1:3" x14ac:dyDescent="0.25">
      <c r="A185" s="21" t="s">
        <v>106</v>
      </c>
      <c r="B185" s="22"/>
      <c r="C185" s="22">
        <v>17</v>
      </c>
    </row>
    <row r="186" spans="1:3" x14ac:dyDescent="0.25">
      <c r="A186" s="72" t="s">
        <v>83</v>
      </c>
      <c r="B186" s="22"/>
      <c r="C186" s="22">
        <v>17</v>
      </c>
    </row>
    <row r="187" spans="1:3" x14ac:dyDescent="0.25">
      <c r="A187" s="19">
        <v>356</v>
      </c>
      <c r="B187" s="22"/>
      <c r="C187" s="22">
        <v>18</v>
      </c>
    </row>
    <row r="188" spans="1:3" x14ac:dyDescent="0.25">
      <c r="A188" s="21" t="s">
        <v>106</v>
      </c>
      <c r="B188" s="22"/>
      <c r="C188" s="22">
        <v>18</v>
      </c>
    </row>
    <row r="189" spans="1:3" x14ac:dyDescent="0.25">
      <c r="A189" s="72" t="s">
        <v>128</v>
      </c>
      <c r="B189" s="22"/>
      <c r="C189" s="22">
        <v>18</v>
      </c>
    </row>
    <row r="190" spans="1:3" x14ac:dyDescent="0.25">
      <c r="A190" s="19">
        <v>416</v>
      </c>
      <c r="B190" s="22"/>
      <c r="C190" s="22">
        <v>6</v>
      </c>
    </row>
    <row r="191" spans="1:3" x14ac:dyDescent="0.25">
      <c r="A191" s="21" t="s">
        <v>106</v>
      </c>
      <c r="B191" s="22"/>
      <c r="C191" s="22">
        <v>6</v>
      </c>
    </row>
    <row r="192" spans="1:3" x14ac:dyDescent="0.25">
      <c r="A192" s="72" t="s">
        <v>123</v>
      </c>
      <c r="B192" s="22"/>
      <c r="C192" s="22">
        <v>6</v>
      </c>
    </row>
    <row r="193" spans="1:3" x14ac:dyDescent="0.25">
      <c r="A193" s="19">
        <v>401</v>
      </c>
      <c r="B193" s="22"/>
      <c r="C193" s="22">
        <v>22</v>
      </c>
    </row>
    <row r="194" spans="1:3" x14ac:dyDescent="0.25">
      <c r="A194" s="21" t="s">
        <v>106</v>
      </c>
      <c r="B194" s="22"/>
      <c r="C194" s="22">
        <v>22</v>
      </c>
    </row>
    <row r="195" spans="1:3" x14ac:dyDescent="0.25">
      <c r="A195" s="72" t="s">
        <v>127</v>
      </c>
      <c r="B195" s="22"/>
      <c r="C195" s="22">
        <v>22</v>
      </c>
    </row>
    <row r="196" spans="1:3" x14ac:dyDescent="0.25">
      <c r="A196" s="19">
        <v>580</v>
      </c>
      <c r="B196" s="22"/>
      <c r="C196" s="22">
        <v>6</v>
      </c>
    </row>
    <row r="197" spans="1:3" x14ac:dyDescent="0.25">
      <c r="A197" s="21" t="s">
        <v>106</v>
      </c>
      <c r="B197" s="22"/>
      <c r="C197" s="22">
        <v>6</v>
      </c>
    </row>
    <row r="198" spans="1:3" x14ac:dyDescent="0.25">
      <c r="A198" s="72" t="s">
        <v>129</v>
      </c>
      <c r="B198" s="22"/>
      <c r="C198" s="22">
        <v>6</v>
      </c>
    </row>
    <row r="199" spans="1:3" x14ac:dyDescent="0.25">
      <c r="A199" s="19">
        <v>574</v>
      </c>
      <c r="B199" s="22"/>
      <c r="C199" s="22">
        <v>20</v>
      </c>
    </row>
    <row r="200" spans="1:3" x14ac:dyDescent="0.25">
      <c r="A200" s="21" t="s">
        <v>106</v>
      </c>
      <c r="B200" s="22"/>
      <c r="C200" s="22">
        <v>20</v>
      </c>
    </row>
    <row r="201" spans="1:3" x14ac:dyDescent="0.25">
      <c r="A201" s="72" t="s">
        <v>113</v>
      </c>
      <c r="B201" s="22"/>
      <c r="C201" s="22">
        <v>20</v>
      </c>
    </row>
    <row r="202" spans="1:3" x14ac:dyDescent="0.25">
      <c r="A202" s="19">
        <v>554</v>
      </c>
      <c r="B202" s="22"/>
      <c r="C202" s="22">
        <v>1</v>
      </c>
    </row>
    <row r="203" spans="1:3" x14ac:dyDescent="0.25">
      <c r="A203" s="21" t="s">
        <v>106</v>
      </c>
      <c r="B203" s="22"/>
      <c r="C203" s="22">
        <v>1</v>
      </c>
    </row>
    <row r="204" spans="1:3" x14ac:dyDescent="0.25">
      <c r="A204" s="72" t="s">
        <v>92</v>
      </c>
      <c r="B204" s="22"/>
      <c r="C204" s="22">
        <v>1</v>
      </c>
    </row>
    <row r="205" spans="1:3" x14ac:dyDescent="0.25">
      <c r="A205" s="19">
        <v>672</v>
      </c>
      <c r="B205" s="22"/>
      <c r="C205" s="22">
        <v>8</v>
      </c>
    </row>
    <row r="206" spans="1:3" x14ac:dyDescent="0.25">
      <c r="A206" s="21" t="s">
        <v>106</v>
      </c>
      <c r="B206" s="22"/>
      <c r="C206" s="22">
        <v>8</v>
      </c>
    </row>
    <row r="207" spans="1:3" x14ac:dyDescent="0.25">
      <c r="A207" s="72" t="s">
        <v>26</v>
      </c>
      <c r="B207" s="22"/>
      <c r="C207" s="22">
        <v>8</v>
      </c>
    </row>
    <row r="208" spans="1:3" x14ac:dyDescent="0.25">
      <c r="A208" s="19">
        <v>664</v>
      </c>
      <c r="B208" s="22"/>
      <c r="C208" s="22">
        <v>34</v>
      </c>
    </row>
    <row r="209" spans="1:3" x14ac:dyDescent="0.25">
      <c r="A209" s="21" t="s">
        <v>106</v>
      </c>
      <c r="B209" s="22"/>
      <c r="C209" s="22">
        <v>34</v>
      </c>
    </row>
    <row r="210" spans="1:3" x14ac:dyDescent="0.25">
      <c r="A210" s="72" t="s">
        <v>112</v>
      </c>
      <c r="B210" s="22"/>
      <c r="C210" s="22">
        <v>34</v>
      </c>
    </row>
    <row r="211" spans="1:3" x14ac:dyDescent="0.25">
      <c r="A211" s="19">
        <v>590</v>
      </c>
      <c r="B211" s="22"/>
      <c r="C211" s="22">
        <v>10</v>
      </c>
    </row>
    <row r="212" spans="1:3" x14ac:dyDescent="0.25">
      <c r="A212" s="21" t="s">
        <v>106</v>
      </c>
      <c r="B212" s="22"/>
      <c r="C212" s="22">
        <v>10</v>
      </c>
    </row>
    <row r="213" spans="1:3" x14ac:dyDescent="0.25">
      <c r="A213" s="72" t="s">
        <v>131</v>
      </c>
      <c r="B213" s="22"/>
      <c r="C213" s="22">
        <v>10</v>
      </c>
    </row>
    <row r="214" spans="1:3" x14ac:dyDescent="0.25">
      <c r="A214" s="19">
        <v>630</v>
      </c>
      <c r="B214" s="22"/>
      <c r="C214" s="22">
        <v>40</v>
      </c>
    </row>
    <row r="215" spans="1:3" x14ac:dyDescent="0.25">
      <c r="A215" s="21" t="s">
        <v>106</v>
      </c>
      <c r="B215" s="22"/>
      <c r="C215" s="22">
        <v>40</v>
      </c>
    </row>
    <row r="216" spans="1:3" x14ac:dyDescent="0.25">
      <c r="A216" s="72" t="s">
        <v>95</v>
      </c>
      <c r="B216" s="22"/>
      <c r="C216" s="22">
        <v>40</v>
      </c>
    </row>
    <row r="217" spans="1:3" x14ac:dyDescent="0.25">
      <c r="A217" s="19">
        <v>708</v>
      </c>
      <c r="B217" s="22"/>
      <c r="C217" s="22">
        <v>3</v>
      </c>
    </row>
    <row r="218" spans="1:3" x14ac:dyDescent="0.25">
      <c r="A218" s="21" t="s">
        <v>106</v>
      </c>
      <c r="B218" s="22"/>
      <c r="C218" s="22">
        <v>3</v>
      </c>
    </row>
    <row r="219" spans="1:3" x14ac:dyDescent="0.25">
      <c r="A219" s="72" t="s">
        <v>90</v>
      </c>
      <c r="B219" s="22"/>
      <c r="C219" s="22">
        <v>3</v>
      </c>
    </row>
    <row r="220" spans="1:3" x14ac:dyDescent="0.25">
      <c r="A220" s="19">
        <v>705</v>
      </c>
      <c r="B220" s="22"/>
      <c r="C220" s="22">
        <v>18</v>
      </c>
    </row>
    <row r="221" spans="1:3" x14ac:dyDescent="0.25">
      <c r="A221" s="21" t="s">
        <v>106</v>
      </c>
      <c r="B221" s="22"/>
      <c r="C221" s="22">
        <v>18</v>
      </c>
    </row>
    <row r="222" spans="1:3" x14ac:dyDescent="0.25">
      <c r="A222" s="72" t="s">
        <v>114</v>
      </c>
      <c r="B222" s="22"/>
      <c r="C222" s="22">
        <v>18</v>
      </c>
    </row>
    <row r="223" spans="1:3" x14ac:dyDescent="0.25">
      <c r="A223" s="19">
        <v>687</v>
      </c>
      <c r="B223" s="22"/>
      <c r="C223" s="22">
        <v>14</v>
      </c>
    </row>
    <row r="224" spans="1:3" x14ac:dyDescent="0.25">
      <c r="A224" s="21" t="s">
        <v>106</v>
      </c>
      <c r="B224" s="22"/>
      <c r="C224" s="22">
        <v>14</v>
      </c>
    </row>
    <row r="225" spans="1:3" x14ac:dyDescent="0.25">
      <c r="A225" s="72" t="s">
        <v>136</v>
      </c>
      <c r="B225" s="22"/>
      <c r="C225" s="22">
        <v>14</v>
      </c>
    </row>
    <row r="226" spans="1:3" x14ac:dyDescent="0.25">
      <c r="A226" s="19">
        <v>938</v>
      </c>
      <c r="B226" s="22"/>
      <c r="C226" s="22">
        <v>11</v>
      </c>
    </row>
    <row r="227" spans="1:3" x14ac:dyDescent="0.25">
      <c r="A227" s="21" t="s">
        <v>106</v>
      </c>
      <c r="B227" s="22"/>
      <c r="C227" s="22">
        <v>11</v>
      </c>
    </row>
    <row r="228" spans="1:3" x14ac:dyDescent="0.25">
      <c r="A228" s="72" t="s">
        <v>130</v>
      </c>
      <c r="B228" s="22"/>
      <c r="C228" s="22">
        <v>11</v>
      </c>
    </row>
    <row r="229" spans="1:3" x14ac:dyDescent="0.25">
      <c r="A229" s="19">
        <v>927</v>
      </c>
      <c r="B229" s="22"/>
      <c r="C229" s="22">
        <v>6</v>
      </c>
    </row>
    <row r="230" spans="1:3" x14ac:dyDescent="0.25">
      <c r="A230" s="21" t="s">
        <v>106</v>
      </c>
      <c r="B230" s="22"/>
      <c r="C230" s="22">
        <v>6</v>
      </c>
    </row>
    <row r="231" spans="1:3" x14ac:dyDescent="0.25">
      <c r="A231" s="72" t="s">
        <v>76</v>
      </c>
      <c r="B231" s="22"/>
      <c r="C231" s="22">
        <v>6</v>
      </c>
    </row>
    <row r="232" spans="1:3" x14ac:dyDescent="0.25">
      <c r="A232" s="19">
        <v>1001</v>
      </c>
      <c r="B232" s="22"/>
      <c r="C232" s="22">
        <v>13</v>
      </c>
    </row>
    <row r="233" spans="1:3" x14ac:dyDescent="0.25">
      <c r="A233" s="21" t="s">
        <v>106</v>
      </c>
      <c r="B233" s="22"/>
      <c r="C233" s="22">
        <v>13</v>
      </c>
    </row>
    <row r="234" spans="1:3" x14ac:dyDescent="0.25">
      <c r="A234" s="72" t="s">
        <v>71</v>
      </c>
      <c r="B234" s="22"/>
      <c r="C234" s="22">
        <v>0</v>
      </c>
    </row>
    <row r="235" spans="1:3" x14ac:dyDescent="0.25">
      <c r="A235" s="72" t="s">
        <v>120</v>
      </c>
      <c r="B235" s="22"/>
      <c r="C235" s="22">
        <v>13</v>
      </c>
    </row>
    <row r="236" spans="1:3" x14ac:dyDescent="0.25">
      <c r="A236" s="19">
        <v>1010</v>
      </c>
      <c r="B236" s="22"/>
      <c r="C236" s="22">
        <v>1</v>
      </c>
    </row>
    <row r="237" spans="1:3" x14ac:dyDescent="0.25">
      <c r="A237" s="21" t="s">
        <v>106</v>
      </c>
      <c r="B237" s="22"/>
      <c r="C237" s="22">
        <v>1</v>
      </c>
    </row>
    <row r="238" spans="1:3" x14ac:dyDescent="0.25">
      <c r="A238" s="72" t="s">
        <v>75</v>
      </c>
      <c r="B238" s="22"/>
      <c r="C238" s="22">
        <v>1</v>
      </c>
    </row>
    <row r="239" spans="1:3" x14ac:dyDescent="0.25">
      <c r="A239" s="19">
        <v>1053</v>
      </c>
      <c r="B239" s="22"/>
      <c r="C239" s="22">
        <v>5</v>
      </c>
    </row>
    <row r="240" spans="1:3" x14ac:dyDescent="0.25">
      <c r="A240" s="21" t="s">
        <v>106</v>
      </c>
      <c r="B240" s="22"/>
      <c r="C240" s="22">
        <v>5</v>
      </c>
    </row>
    <row r="241" spans="1:3" x14ac:dyDescent="0.25">
      <c r="A241" s="72" t="s">
        <v>77</v>
      </c>
      <c r="B241" s="22"/>
      <c r="C241" s="22">
        <v>5</v>
      </c>
    </row>
    <row r="242" spans="1:3" x14ac:dyDescent="0.25">
      <c r="A242" s="19">
        <v>1048</v>
      </c>
      <c r="B242" s="22"/>
      <c r="C242" s="22">
        <v>19</v>
      </c>
    </row>
    <row r="243" spans="1:3" x14ac:dyDescent="0.25">
      <c r="A243" s="21" t="s">
        <v>106</v>
      </c>
      <c r="B243" s="22"/>
      <c r="C243" s="22">
        <v>19</v>
      </c>
    </row>
    <row r="244" spans="1:3" x14ac:dyDescent="0.25">
      <c r="A244" s="72" t="s">
        <v>111</v>
      </c>
      <c r="B244" s="22"/>
      <c r="C244" s="22">
        <v>19</v>
      </c>
    </row>
    <row r="245" spans="1:3" x14ac:dyDescent="0.25">
      <c r="A245" s="19">
        <v>988</v>
      </c>
      <c r="B245" s="22"/>
      <c r="C245" s="22">
        <v>4</v>
      </c>
    </row>
    <row r="246" spans="1:3" x14ac:dyDescent="0.25">
      <c r="A246" s="21" t="s">
        <v>106</v>
      </c>
      <c r="B246" s="22"/>
      <c r="C246" s="22">
        <v>4</v>
      </c>
    </row>
    <row r="247" spans="1:3" x14ac:dyDescent="0.25">
      <c r="A247" s="72" t="s">
        <v>91</v>
      </c>
      <c r="B247" s="22"/>
      <c r="C247" s="22">
        <v>4</v>
      </c>
    </row>
    <row r="248" spans="1:3" x14ac:dyDescent="0.25">
      <c r="A248" s="19">
        <v>1029</v>
      </c>
      <c r="B248" s="22"/>
      <c r="C248" s="22">
        <v>1</v>
      </c>
    </row>
    <row r="249" spans="1:3" x14ac:dyDescent="0.25">
      <c r="A249" s="21" t="s">
        <v>106</v>
      </c>
      <c r="B249" s="22"/>
      <c r="C249" s="22">
        <v>1</v>
      </c>
    </row>
    <row r="250" spans="1:3" x14ac:dyDescent="0.25">
      <c r="A250" s="72" t="s">
        <v>98</v>
      </c>
      <c r="B250" s="22"/>
      <c r="C250" s="22">
        <v>1</v>
      </c>
    </row>
    <row r="251" spans="1:3" x14ac:dyDescent="0.25">
      <c r="A251" s="19">
        <v>1249</v>
      </c>
      <c r="B251" s="22"/>
      <c r="C251" s="22">
        <v>49</v>
      </c>
    </row>
    <row r="252" spans="1:3" x14ac:dyDescent="0.25">
      <c r="A252" s="21" t="s">
        <v>106</v>
      </c>
      <c r="B252" s="22"/>
      <c r="C252" s="22">
        <v>49</v>
      </c>
    </row>
    <row r="253" spans="1:3" x14ac:dyDescent="0.25">
      <c r="A253" s="72" t="s">
        <v>135</v>
      </c>
      <c r="B253" s="22"/>
      <c r="C253" s="22">
        <v>49</v>
      </c>
    </row>
    <row r="254" spans="1:3" x14ac:dyDescent="0.25">
      <c r="A254" s="19">
        <v>1305</v>
      </c>
      <c r="B254" s="22"/>
      <c r="C254" s="22">
        <v>9</v>
      </c>
    </row>
    <row r="255" spans="1:3" x14ac:dyDescent="0.25">
      <c r="A255" s="21" t="s">
        <v>106</v>
      </c>
      <c r="B255" s="22"/>
      <c r="C255" s="22">
        <v>9</v>
      </c>
    </row>
    <row r="256" spans="1:3" x14ac:dyDescent="0.25">
      <c r="A256" s="72" t="s">
        <v>73</v>
      </c>
      <c r="B256" s="22"/>
      <c r="C256" s="22">
        <v>9</v>
      </c>
    </row>
    <row r="257" spans="1:3" x14ac:dyDescent="0.25">
      <c r="A257" s="19">
        <v>1296</v>
      </c>
      <c r="B257" s="22"/>
      <c r="C257" s="22">
        <v>47</v>
      </c>
    </row>
    <row r="258" spans="1:3" x14ac:dyDescent="0.25">
      <c r="A258" s="21" t="s">
        <v>106</v>
      </c>
      <c r="B258" s="22"/>
      <c r="C258" s="22">
        <v>47</v>
      </c>
    </row>
    <row r="259" spans="1:3" x14ac:dyDescent="0.25">
      <c r="A259" s="72" t="s">
        <v>134</v>
      </c>
      <c r="B259" s="22"/>
      <c r="C259" s="22">
        <v>47</v>
      </c>
    </row>
    <row r="260" spans="1:3" x14ac:dyDescent="0.25">
      <c r="A260" s="19">
        <v>1686</v>
      </c>
      <c r="B260" s="22"/>
      <c r="C260" s="22">
        <v>1</v>
      </c>
    </row>
    <row r="261" spans="1:3" x14ac:dyDescent="0.25">
      <c r="A261" s="21" t="s">
        <v>106</v>
      </c>
      <c r="B261" s="22"/>
      <c r="C261" s="22">
        <v>1</v>
      </c>
    </row>
    <row r="262" spans="1:3" x14ac:dyDescent="0.25">
      <c r="A262" s="72" t="s">
        <v>87</v>
      </c>
      <c r="B262" s="22"/>
      <c r="C262" s="22">
        <v>0</v>
      </c>
    </row>
    <row r="263" spans="1:3" x14ac:dyDescent="0.25">
      <c r="A263" s="72" t="s">
        <v>88</v>
      </c>
      <c r="B263" s="22"/>
      <c r="C263" s="22">
        <v>0</v>
      </c>
    </row>
    <row r="264" spans="1:3" x14ac:dyDescent="0.25">
      <c r="A264" s="72" t="s">
        <v>138</v>
      </c>
      <c r="B264" s="22"/>
      <c r="C264" s="22">
        <v>1</v>
      </c>
    </row>
    <row r="265" spans="1:3" x14ac:dyDescent="0.25">
      <c r="A265" s="19">
        <v>1633</v>
      </c>
      <c r="B265" s="22"/>
      <c r="C265" s="22">
        <v>3</v>
      </c>
    </row>
    <row r="266" spans="1:3" x14ac:dyDescent="0.25">
      <c r="A266" s="21" t="s">
        <v>106</v>
      </c>
      <c r="B266" s="22"/>
      <c r="C266" s="22">
        <v>3</v>
      </c>
    </row>
    <row r="267" spans="1:3" x14ac:dyDescent="0.25">
      <c r="A267" s="72" t="s">
        <v>116</v>
      </c>
      <c r="B267" s="22"/>
      <c r="C267" s="22">
        <v>3</v>
      </c>
    </row>
    <row r="268" spans="1:3" x14ac:dyDescent="0.25">
      <c r="A268" s="19">
        <v>1759</v>
      </c>
      <c r="B268" s="22"/>
      <c r="C268" s="22">
        <v>8</v>
      </c>
    </row>
    <row r="269" spans="1:3" x14ac:dyDescent="0.25">
      <c r="A269" s="21" t="s">
        <v>106</v>
      </c>
      <c r="B269" s="22"/>
      <c r="C269" s="22">
        <v>8</v>
      </c>
    </row>
    <row r="270" spans="1:3" x14ac:dyDescent="0.25">
      <c r="A270" s="72" t="s">
        <v>133</v>
      </c>
      <c r="B270" s="22"/>
      <c r="C270" s="22">
        <v>8</v>
      </c>
    </row>
    <row r="271" spans="1:3" x14ac:dyDescent="0.25">
      <c r="A271" s="19">
        <v>1751</v>
      </c>
      <c r="B271" s="22"/>
      <c r="C271" s="22">
        <v>1</v>
      </c>
    </row>
    <row r="272" spans="1:3" x14ac:dyDescent="0.25">
      <c r="A272" s="21" t="s">
        <v>106</v>
      </c>
      <c r="B272" s="22"/>
      <c r="C272" s="22">
        <v>1</v>
      </c>
    </row>
    <row r="273" spans="1:3" x14ac:dyDescent="0.25">
      <c r="A273" s="72" t="s">
        <v>126</v>
      </c>
      <c r="B273" s="22"/>
      <c r="C273" s="22">
        <v>1</v>
      </c>
    </row>
    <row r="274" spans="1:3" x14ac:dyDescent="0.25">
      <c r="A274" s="19">
        <v>1750</v>
      </c>
      <c r="B274" s="22"/>
      <c r="C274" s="22">
        <v>1</v>
      </c>
    </row>
    <row r="275" spans="1:3" x14ac:dyDescent="0.25">
      <c r="A275" s="21" t="s">
        <v>106</v>
      </c>
      <c r="B275" s="22"/>
      <c r="C275" s="22">
        <v>1</v>
      </c>
    </row>
    <row r="276" spans="1:3" x14ac:dyDescent="0.25">
      <c r="A276" s="72" t="s">
        <v>100</v>
      </c>
      <c r="B276" s="22"/>
      <c r="C276" s="22">
        <v>1</v>
      </c>
    </row>
    <row r="277" spans="1:3" x14ac:dyDescent="0.25">
      <c r="A277" s="19">
        <v>1901</v>
      </c>
      <c r="B277" s="22"/>
      <c r="C277" s="22">
        <v>8</v>
      </c>
    </row>
    <row r="278" spans="1:3" x14ac:dyDescent="0.25">
      <c r="A278" s="21" t="s">
        <v>106</v>
      </c>
      <c r="B278" s="22"/>
      <c r="C278" s="22">
        <v>8</v>
      </c>
    </row>
    <row r="279" spans="1:3" x14ac:dyDescent="0.25">
      <c r="A279" s="72" t="s">
        <v>70</v>
      </c>
      <c r="B279" s="22"/>
      <c r="C279" s="22">
        <v>0</v>
      </c>
    </row>
    <row r="280" spans="1:3" x14ac:dyDescent="0.25">
      <c r="A280" s="72" t="s">
        <v>119</v>
      </c>
      <c r="B280" s="22"/>
      <c r="C280" s="22">
        <v>8</v>
      </c>
    </row>
    <row r="281" spans="1:3" x14ac:dyDescent="0.25">
      <c r="A281" s="19">
        <v>1908</v>
      </c>
      <c r="B281" s="22"/>
      <c r="C281" s="22">
        <v>7</v>
      </c>
    </row>
    <row r="282" spans="1:3" x14ac:dyDescent="0.25">
      <c r="A282" s="21" t="s">
        <v>106</v>
      </c>
      <c r="B282" s="22"/>
      <c r="C282" s="22">
        <v>7</v>
      </c>
    </row>
    <row r="283" spans="1:3" x14ac:dyDescent="0.25">
      <c r="A283" s="72" t="s">
        <v>72</v>
      </c>
      <c r="B283" s="22"/>
      <c r="C283" s="22">
        <v>7</v>
      </c>
    </row>
    <row r="284" spans="1:3" x14ac:dyDescent="0.25">
      <c r="A284" s="72" t="s">
        <v>79</v>
      </c>
      <c r="B284" s="22"/>
      <c r="C284" s="22">
        <v>0</v>
      </c>
    </row>
    <row r="285" spans="1:3" x14ac:dyDescent="0.25">
      <c r="A285" s="72" t="s">
        <v>89</v>
      </c>
      <c r="B285" s="22"/>
      <c r="C285" s="22">
        <v>0</v>
      </c>
    </row>
    <row r="286" spans="1:3" x14ac:dyDescent="0.25">
      <c r="A286" s="19">
        <v>1871</v>
      </c>
      <c r="B286" s="22"/>
      <c r="C286" s="22">
        <v>6</v>
      </c>
    </row>
    <row r="287" spans="1:3" x14ac:dyDescent="0.25">
      <c r="A287" s="21" t="s">
        <v>106</v>
      </c>
      <c r="B287" s="22"/>
      <c r="C287" s="22">
        <v>6</v>
      </c>
    </row>
    <row r="288" spans="1:3" x14ac:dyDescent="0.25">
      <c r="A288" s="72" t="s">
        <v>125</v>
      </c>
      <c r="B288" s="22"/>
      <c r="C288" s="22">
        <v>0</v>
      </c>
    </row>
    <row r="289" spans="1:3" x14ac:dyDescent="0.25">
      <c r="A289" s="72" t="s">
        <v>122</v>
      </c>
      <c r="B289" s="22"/>
      <c r="C289" s="22">
        <v>6</v>
      </c>
    </row>
    <row r="290" spans="1:3" x14ac:dyDescent="0.25">
      <c r="A290" s="19">
        <v>1847</v>
      </c>
      <c r="B290" s="22"/>
      <c r="C290" s="22">
        <v>0</v>
      </c>
    </row>
    <row r="291" spans="1:3" x14ac:dyDescent="0.25">
      <c r="A291" s="21" t="s">
        <v>106</v>
      </c>
      <c r="B291" s="22"/>
      <c r="C291" s="22">
        <v>0</v>
      </c>
    </row>
    <row r="292" spans="1:3" x14ac:dyDescent="0.25">
      <c r="A292" s="72" t="s">
        <v>137</v>
      </c>
      <c r="B292" s="22"/>
      <c r="C292" s="22">
        <v>0</v>
      </c>
    </row>
    <row r="293" spans="1:3" x14ac:dyDescent="0.25">
      <c r="A293" s="19">
        <v>1942</v>
      </c>
      <c r="B293" s="22"/>
      <c r="C293" s="22">
        <v>9</v>
      </c>
    </row>
    <row r="294" spans="1:3" x14ac:dyDescent="0.25">
      <c r="A294" s="21" t="s">
        <v>106</v>
      </c>
      <c r="B294" s="22"/>
      <c r="C294" s="22">
        <v>9</v>
      </c>
    </row>
    <row r="295" spans="1:3" x14ac:dyDescent="0.25">
      <c r="A295" s="72" t="s">
        <v>78</v>
      </c>
      <c r="B295" s="22"/>
      <c r="C295" s="22">
        <v>0</v>
      </c>
    </row>
    <row r="296" spans="1:3" x14ac:dyDescent="0.25">
      <c r="A296" s="72" t="s">
        <v>81</v>
      </c>
      <c r="B296" s="22"/>
      <c r="C296" s="22">
        <v>9</v>
      </c>
    </row>
    <row r="297" spans="1:3" x14ac:dyDescent="0.25">
      <c r="A297" s="19">
        <v>1933</v>
      </c>
      <c r="B297" s="22"/>
      <c r="C297" s="22">
        <v>5</v>
      </c>
    </row>
    <row r="298" spans="1:3" x14ac:dyDescent="0.25">
      <c r="A298" s="21" t="s">
        <v>106</v>
      </c>
      <c r="B298" s="22"/>
      <c r="C298" s="22">
        <v>5</v>
      </c>
    </row>
    <row r="299" spans="1:3" x14ac:dyDescent="0.25">
      <c r="A299" s="72" t="s">
        <v>132</v>
      </c>
      <c r="B299" s="22"/>
      <c r="C299" s="22">
        <v>0</v>
      </c>
    </row>
    <row r="300" spans="1:3" x14ac:dyDescent="0.25">
      <c r="A300" s="72" t="s">
        <v>47</v>
      </c>
      <c r="B300" s="22"/>
      <c r="C300" s="22">
        <v>5</v>
      </c>
    </row>
    <row r="301" spans="1:3" x14ac:dyDescent="0.25">
      <c r="A301" s="19" t="s">
        <v>403</v>
      </c>
      <c r="B301" s="22">
        <v>3170880.55</v>
      </c>
      <c r="C301" s="22">
        <v>24374978.076262042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DD11-4994-45C2-A4DE-09F6259C3BB5}">
  <dimension ref="A1:F330"/>
  <sheetViews>
    <sheetView workbookViewId="0">
      <selection activeCell="B17" sqref="B17"/>
    </sheetView>
  </sheetViews>
  <sheetFormatPr defaultRowHeight="15" x14ac:dyDescent="0.25"/>
  <cols>
    <col min="1" max="1" width="45.28515625" bestFit="1" customWidth="1"/>
    <col min="2" max="2" width="14.28515625" bestFit="1" customWidth="1"/>
    <col min="3" max="3" width="17.5703125" bestFit="1" customWidth="1"/>
    <col min="5" max="6" width="16.28515625" bestFit="1" customWidth="1"/>
  </cols>
  <sheetData>
    <row r="1" spans="1:6" x14ac:dyDescent="0.25">
      <c r="E1" s="49" t="s">
        <v>404</v>
      </c>
      <c r="F1" s="23">
        <f>GETPIVOTDATA("Sum of ESTIMATES",$A$3)+GETPIVOTDATA("Sum of COST",$A$3)</f>
        <v>60805792.094097897</v>
      </c>
    </row>
    <row r="2" spans="1:6" x14ac:dyDescent="0.25">
      <c r="E2" s="1" t="s">
        <v>405</v>
      </c>
      <c r="F2" s="3">
        <f>GETPIVOTDATA("Sum of COST",$A$3,"BOROUGH","BRONX")+GETPIVOTDATA("Sum of ESTIMATES",$A$3,"BOROUGH","BRONX")</f>
        <v>5976701.2365000006</v>
      </c>
    </row>
    <row r="3" spans="1:6" x14ac:dyDescent="0.25">
      <c r="A3" s="18" t="s">
        <v>400</v>
      </c>
      <c r="B3" t="s">
        <v>401</v>
      </c>
      <c r="C3" t="s">
        <v>402</v>
      </c>
      <c r="E3" s="1" t="s">
        <v>406</v>
      </c>
      <c r="F3" s="3">
        <f>GETPIVOTDATA("Sum of COST",$A$3,"BOROUGH","BROOKLYN")+GETPIVOTDATA("Sum of ESTIMATES",$A$3,"BOROUGH","BROOKLYN")</f>
        <v>7959173.0748357913</v>
      </c>
    </row>
    <row r="4" spans="1:6" x14ac:dyDescent="0.25">
      <c r="A4" s="19" t="s">
        <v>407</v>
      </c>
      <c r="B4" s="22">
        <v>421848.07949999999</v>
      </c>
      <c r="C4" s="22">
        <v>5554853.1570000006</v>
      </c>
      <c r="E4" s="1" t="s">
        <v>408</v>
      </c>
      <c r="F4" s="3">
        <f>GETPIVOTDATA("Sum of COST",$A$3,"BOROUGH","MANHATTAN")+GETPIVOTDATA("Sum of ESTIMATES",$A$3,"BOROUGH","MANHATTAN")</f>
        <v>45558612.727761999</v>
      </c>
    </row>
    <row r="5" spans="1:6" x14ac:dyDescent="0.25">
      <c r="A5" s="21" t="s">
        <v>109</v>
      </c>
      <c r="B5" s="22"/>
      <c r="C5" s="22">
        <v>2614140</v>
      </c>
      <c r="E5" s="1" t="s">
        <v>409</v>
      </c>
      <c r="F5" s="3">
        <f>GETPIVOTDATA("Sum of COST",$A$3,"BOROUGH","QUEENS")+GETPIVOTDATA("Sum of ESTIMATES",$A$3,"BOROUGH","QUEENS")</f>
        <v>1311305.0550000002</v>
      </c>
    </row>
    <row r="6" spans="1:6" x14ac:dyDescent="0.25">
      <c r="A6" s="72" t="s">
        <v>140</v>
      </c>
      <c r="B6" s="22"/>
      <c r="C6" s="22">
        <v>1307070</v>
      </c>
      <c r="E6" s="1" t="s">
        <v>410</v>
      </c>
      <c r="F6" s="3"/>
    </row>
    <row r="7" spans="1:6" x14ac:dyDescent="0.25">
      <c r="A7" s="72" t="s">
        <v>47</v>
      </c>
      <c r="B7" s="22"/>
      <c r="C7" s="22">
        <v>1307070</v>
      </c>
    </row>
    <row r="8" spans="1:6" x14ac:dyDescent="0.25">
      <c r="A8" s="21" t="s">
        <v>52</v>
      </c>
      <c r="B8" s="22"/>
      <c r="C8" s="22">
        <v>111996.72</v>
      </c>
    </row>
    <row r="9" spans="1:6" x14ac:dyDescent="0.25">
      <c r="A9" s="72" t="s">
        <v>39</v>
      </c>
      <c r="B9" s="22"/>
      <c r="C9" s="22">
        <v>0</v>
      </c>
    </row>
    <row r="10" spans="1:6" x14ac:dyDescent="0.25">
      <c r="A10" s="72" t="s">
        <v>40</v>
      </c>
      <c r="B10" s="22"/>
      <c r="C10" s="22">
        <v>37332.239999999998</v>
      </c>
    </row>
    <row r="11" spans="1:6" x14ac:dyDescent="0.25">
      <c r="A11" s="72" t="s">
        <v>41</v>
      </c>
      <c r="B11" s="22"/>
      <c r="C11" s="22">
        <v>37332.239999999998</v>
      </c>
    </row>
    <row r="12" spans="1:6" x14ac:dyDescent="0.25">
      <c r="A12" s="72" t="s">
        <v>47</v>
      </c>
      <c r="B12" s="22"/>
      <c r="C12" s="22">
        <v>37332.239999999998</v>
      </c>
    </row>
    <row r="13" spans="1:6" x14ac:dyDescent="0.25">
      <c r="A13" s="21" t="s">
        <v>27</v>
      </c>
      <c r="B13" s="22">
        <v>421848.07949999999</v>
      </c>
      <c r="C13" s="22">
        <v>162818.55700000003</v>
      </c>
    </row>
    <row r="14" spans="1:6" x14ac:dyDescent="0.25">
      <c r="A14" s="72" t="s">
        <v>31</v>
      </c>
      <c r="B14" s="22">
        <v>44405.061000000002</v>
      </c>
      <c r="C14" s="22"/>
    </row>
    <row r="15" spans="1:6" x14ac:dyDescent="0.25">
      <c r="A15" s="72" t="s">
        <v>143</v>
      </c>
      <c r="B15" s="22"/>
      <c r="C15" s="22">
        <v>29603.374</v>
      </c>
    </row>
    <row r="16" spans="1:6" x14ac:dyDescent="0.25">
      <c r="A16" s="72" t="s">
        <v>32</v>
      </c>
      <c r="B16" s="22">
        <v>59206.748</v>
      </c>
      <c r="C16" s="22"/>
    </row>
    <row r="17" spans="1:3" x14ac:dyDescent="0.25">
      <c r="A17" s="72" t="s">
        <v>34</v>
      </c>
      <c r="B17" s="22">
        <v>66607.591499999995</v>
      </c>
      <c r="C17" s="22"/>
    </row>
    <row r="18" spans="1:3" x14ac:dyDescent="0.25">
      <c r="A18" s="72" t="s">
        <v>144</v>
      </c>
      <c r="B18" s="22"/>
      <c r="C18" s="22">
        <v>22202.530500000001</v>
      </c>
    </row>
    <row r="19" spans="1:3" x14ac:dyDescent="0.25">
      <c r="A19" s="72" t="s">
        <v>145</v>
      </c>
      <c r="B19" s="22"/>
      <c r="C19" s="22">
        <v>7400.8434999999999</v>
      </c>
    </row>
    <row r="20" spans="1:3" x14ac:dyDescent="0.25">
      <c r="A20" s="72" t="s">
        <v>121</v>
      </c>
      <c r="B20" s="22"/>
      <c r="C20" s="22">
        <v>14801.687</v>
      </c>
    </row>
    <row r="21" spans="1:3" x14ac:dyDescent="0.25">
      <c r="A21" s="72" t="s">
        <v>35</v>
      </c>
      <c r="B21" s="22">
        <v>51805.904499999997</v>
      </c>
      <c r="C21" s="22"/>
    </row>
    <row r="22" spans="1:3" x14ac:dyDescent="0.25">
      <c r="A22" s="72" t="s">
        <v>39</v>
      </c>
      <c r="B22" s="22">
        <v>59206.748</v>
      </c>
      <c r="C22" s="22"/>
    </row>
    <row r="23" spans="1:3" x14ac:dyDescent="0.25">
      <c r="A23" s="72" t="s">
        <v>40</v>
      </c>
      <c r="B23" s="22">
        <v>66607.591499999995</v>
      </c>
      <c r="C23" s="22"/>
    </row>
    <row r="24" spans="1:3" x14ac:dyDescent="0.25">
      <c r="A24" s="72" t="s">
        <v>140</v>
      </c>
      <c r="B24" s="22"/>
      <c r="C24" s="22">
        <v>59206.748</v>
      </c>
    </row>
    <row r="25" spans="1:3" x14ac:dyDescent="0.25">
      <c r="A25" s="72" t="s">
        <v>147</v>
      </c>
      <c r="B25" s="22"/>
      <c r="C25" s="22">
        <v>14801.687</v>
      </c>
    </row>
    <row r="26" spans="1:3" x14ac:dyDescent="0.25">
      <c r="A26" s="72" t="s">
        <v>41</v>
      </c>
      <c r="B26" s="22">
        <v>37004.217499999999</v>
      </c>
      <c r="C26" s="22"/>
    </row>
    <row r="27" spans="1:3" x14ac:dyDescent="0.25">
      <c r="A27" s="72" t="s">
        <v>149</v>
      </c>
      <c r="B27" s="22"/>
      <c r="C27" s="22">
        <v>14801.687</v>
      </c>
    </row>
    <row r="28" spans="1:3" x14ac:dyDescent="0.25">
      <c r="A28" s="72" t="s">
        <v>47</v>
      </c>
      <c r="B28" s="22">
        <v>37004.217499999999</v>
      </c>
      <c r="C28" s="22"/>
    </row>
    <row r="29" spans="1:3" x14ac:dyDescent="0.25">
      <c r="A29" s="21" t="s">
        <v>68</v>
      </c>
      <c r="B29" s="22"/>
      <c r="C29" s="22">
        <v>2665841.88</v>
      </c>
    </row>
    <row r="30" spans="1:3" x14ac:dyDescent="0.25">
      <c r="A30" s="72" t="s">
        <v>121</v>
      </c>
      <c r="B30" s="22"/>
      <c r="C30" s="22">
        <v>208622.89499999999</v>
      </c>
    </row>
    <row r="31" spans="1:3" x14ac:dyDescent="0.25">
      <c r="A31" s="72" t="s">
        <v>39</v>
      </c>
      <c r="B31" s="22"/>
      <c r="C31" s="22">
        <v>0</v>
      </c>
    </row>
    <row r="32" spans="1:3" x14ac:dyDescent="0.25">
      <c r="A32" s="72" t="s">
        <v>47</v>
      </c>
      <c r="B32" s="22"/>
      <c r="C32" s="22">
        <v>430461.72000000003</v>
      </c>
    </row>
    <row r="33" spans="1:3" x14ac:dyDescent="0.25">
      <c r="A33" s="72" t="s">
        <v>73</v>
      </c>
      <c r="B33" s="22"/>
      <c r="C33" s="22">
        <v>586220.8949999999</v>
      </c>
    </row>
    <row r="34" spans="1:3" x14ac:dyDescent="0.25">
      <c r="A34" s="72" t="s">
        <v>124</v>
      </c>
      <c r="B34" s="22"/>
      <c r="C34" s="22">
        <v>215230.86000000002</v>
      </c>
    </row>
    <row r="35" spans="1:3" x14ac:dyDescent="0.25">
      <c r="A35" s="72" t="s">
        <v>105</v>
      </c>
      <c r="B35" s="22"/>
      <c r="C35" s="22">
        <v>208622.89499999999</v>
      </c>
    </row>
    <row r="36" spans="1:3" x14ac:dyDescent="0.25">
      <c r="A36" s="72" t="s">
        <v>114</v>
      </c>
      <c r="B36" s="22"/>
      <c r="C36" s="22">
        <v>404029.86000000004</v>
      </c>
    </row>
    <row r="37" spans="1:3" x14ac:dyDescent="0.25">
      <c r="A37" s="72" t="s">
        <v>91</v>
      </c>
      <c r="B37" s="22"/>
      <c r="C37" s="22">
        <v>195406.965</v>
      </c>
    </row>
    <row r="38" spans="1:3" x14ac:dyDescent="0.25">
      <c r="A38" s="72" t="s">
        <v>132</v>
      </c>
      <c r="B38" s="22"/>
      <c r="C38" s="22">
        <v>0</v>
      </c>
    </row>
    <row r="39" spans="1:3" x14ac:dyDescent="0.25">
      <c r="A39" s="72" t="s">
        <v>123</v>
      </c>
      <c r="B39" s="22"/>
      <c r="C39" s="22">
        <v>417245.79</v>
      </c>
    </row>
    <row r="40" spans="1:3" x14ac:dyDescent="0.25">
      <c r="A40" s="72" t="s">
        <v>96</v>
      </c>
      <c r="B40" s="22"/>
      <c r="C40" s="22">
        <v>0</v>
      </c>
    </row>
    <row r="41" spans="1:3" x14ac:dyDescent="0.25">
      <c r="A41" s="72" t="s">
        <v>97</v>
      </c>
      <c r="B41" s="22"/>
      <c r="C41" s="22">
        <v>0</v>
      </c>
    </row>
    <row r="42" spans="1:3" x14ac:dyDescent="0.25">
      <c r="A42" s="72" t="s">
        <v>98</v>
      </c>
      <c r="B42" s="22"/>
      <c r="C42" s="22">
        <v>0</v>
      </c>
    </row>
    <row r="43" spans="1:3" x14ac:dyDescent="0.25">
      <c r="A43" s="72" t="s">
        <v>99</v>
      </c>
      <c r="B43" s="22"/>
      <c r="C43" s="22">
        <v>0</v>
      </c>
    </row>
    <row r="44" spans="1:3" x14ac:dyDescent="0.25">
      <c r="A44" s="21" t="s">
        <v>106</v>
      </c>
      <c r="B44" s="22"/>
      <c r="C44" s="22">
        <v>56</v>
      </c>
    </row>
    <row r="45" spans="1:3" x14ac:dyDescent="0.25">
      <c r="A45" s="72" t="s">
        <v>31</v>
      </c>
      <c r="B45" s="22"/>
      <c r="C45" s="22">
        <v>6</v>
      </c>
    </row>
    <row r="46" spans="1:3" x14ac:dyDescent="0.25">
      <c r="A46" s="72" t="s">
        <v>121</v>
      </c>
      <c r="B46" s="22"/>
      <c r="C46" s="22">
        <v>2</v>
      </c>
    </row>
    <row r="47" spans="1:3" x14ac:dyDescent="0.25">
      <c r="A47" s="72" t="s">
        <v>138</v>
      </c>
      <c r="B47" s="22"/>
      <c r="C47" s="22">
        <v>1</v>
      </c>
    </row>
    <row r="48" spans="1:3" x14ac:dyDescent="0.25">
      <c r="A48" s="72" t="s">
        <v>47</v>
      </c>
      <c r="B48" s="22"/>
      <c r="C48" s="22">
        <v>5</v>
      </c>
    </row>
    <row r="49" spans="1:3" x14ac:dyDescent="0.25">
      <c r="A49" s="72" t="s">
        <v>73</v>
      </c>
      <c r="B49" s="22"/>
      <c r="C49" s="22">
        <v>9</v>
      </c>
    </row>
    <row r="50" spans="1:3" x14ac:dyDescent="0.25">
      <c r="A50" s="72" t="s">
        <v>124</v>
      </c>
      <c r="B50" s="22"/>
      <c r="C50" s="22">
        <v>3</v>
      </c>
    </row>
    <row r="51" spans="1:3" x14ac:dyDescent="0.25">
      <c r="A51" s="72" t="s">
        <v>105</v>
      </c>
      <c r="B51" s="22"/>
      <c r="C51" s="22">
        <v>1</v>
      </c>
    </row>
    <row r="52" spans="1:3" x14ac:dyDescent="0.25">
      <c r="A52" s="72" t="s">
        <v>114</v>
      </c>
      <c r="B52" s="22"/>
      <c r="C52" s="22">
        <v>18</v>
      </c>
    </row>
    <row r="53" spans="1:3" x14ac:dyDescent="0.25">
      <c r="A53" s="72" t="s">
        <v>91</v>
      </c>
      <c r="B53" s="22"/>
      <c r="C53" s="22">
        <v>4</v>
      </c>
    </row>
    <row r="54" spans="1:3" x14ac:dyDescent="0.25">
      <c r="A54" s="72" t="s">
        <v>132</v>
      </c>
      <c r="B54" s="22"/>
      <c r="C54" s="22">
        <v>0</v>
      </c>
    </row>
    <row r="55" spans="1:3" x14ac:dyDescent="0.25">
      <c r="A55" s="72" t="s">
        <v>123</v>
      </c>
      <c r="B55" s="22"/>
      <c r="C55" s="22">
        <v>6</v>
      </c>
    </row>
    <row r="56" spans="1:3" x14ac:dyDescent="0.25">
      <c r="A56" s="72" t="s">
        <v>96</v>
      </c>
      <c r="B56" s="22"/>
      <c r="C56" s="22">
        <v>0</v>
      </c>
    </row>
    <row r="57" spans="1:3" x14ac:dyDescent="0.25">
      <c r="A57" s="72" t="s">
        <v>97</v>
      </c>
      <c r="B57" s="22"/>
      <c r="C57" s="22">
        <v>0</v>
      </c>
    </row>
    <row r="58" spans="1:3" x14ac:dyDescent="0.25">
      <c r="A58" s="72" t="s">
        <v>98</v>
      </c>
      <c r="B58" s="22"/>
      <c r="C58" s="22">
        <v>1</v>
      </c>
    </row>
    <row r="59" spans="1:3" x14ac:dyDescent="0.25">
      <c r="A59" s="72" t="s">
        <v>99</v>
      </c>
      <c r="B59" s="22"/>
      <c r="C59" s="22">
        <v>0</v>
      </c>
    </row>
    <row r="60" spans="1:3" x14ac:dyDescent="0.25">
      <c r="A60" s="19" t="s">
        <v>411</v>
      </c>
      <c r="B60" s="22">
        <v>882067.83050000004</v>
      </c>
      <c r="C60" s="22">
        <v>7077105.2443357911</v>
      </c>
    </row>
    <row r="61" spans="1:3" x14ac:dyDescent="0.25">
      <c r="A61" s="21" t="s">
        <v>109</v>
      </c>
      <c r="B61" s="22"/>
      <c r="C61" s="22">
        <v>1307070</v>
      </c>
    </row>
    <row r="62" spans="1:3" x14ac:dyDescent="0.25">
      <c r="A62" s="72" t="s">
        <v>38</v>
      </c>
      <c r="B62" s="22"/>
      <c r="C62" s="22">
        <v>1307070</v>
      </c>
    </row>
    <row r="63" spans="1:3" x14ac:dyDescent="0.25">
      <c r="A63" s="21" t="s">
        <v>52</v>
      </c>
      <c r="B63" s="22"/>
      <c r="C63" s="22">
        <v>111996.72</v>
      </c>
    </row>
    <row r="64" spans="1:3" x14ac:dyDescent="0.25">
      <c r="A64" s="72" t="s">
        <v>38</v>
      </c>
      <c r="B64" s="22"/>
      <c r="C64" s="22">
        <v>37332.239999999998</v>
      </c>
    </row>
    <row r="65" spans="1:3" x14ac:dyDescent="0.25">
      <c r="A65" s="72" t="s">
        <v>42</v>
      </c>
      <c r="B65" s="22"/>
      <c r="C65" s="22">
        <v>37332.239999999998</v>
      </c>
    </row>
    <row r="66" spans="1:3" x14ac:dyDescent="0.25">
      <c r="A66" s="72" t="s">
        <v>45</v>
      </c>
      <c r="B66" s="22"/>
      <c r="C66" s="22">
        <v>37332.239999999998</v>
      </c>
    </row>
    <row r="67" spans="1:3" x14ac:dyDescent="0.25">
      <c r="A67" s="21" t="s">
        <v>27</v>
      </c>
      <c r="B67" s="22">
        <v>882067.83050000004</v>
      </c>
      <c r="C67" s="22">
        <v>74008.434999999998</v>
      </c>
    </row>
    <row r="68" spans="1:3" x14ac:dyDescent="0.25">
      <c r="A68" s="72" t="s">
        <v>118</v>
      </c>
      <c r="B68" s="22"/>
      <c r="C68" s="22">
        <v>7400.8434999999999</v>
      </c>
    </row>
    <row r="69" spans="1:3" x14ac:dyDescent="0.25">
      <c r="A69" s="72" t="s">
        <v>142</v>
      </c>
      <c r="B69" s="22"/>
      <c r="C69" s="22">
        <v>37004.217499999999</v>
      </c>
    </row>
    <row r="70" spans="1:3" x14ac:dyDescent="0.25">
      <c r="A70" s="72" t="s">
        <v>26</v>
      </c>
      <c r="B70" s="22">
        <v>44243.94</v>
      </c>
      <c r="C70" s="22"/>
    </row>
    <row r="71" spans="1:3" x14ac:dyDescent="0.25">
      <c r="A71" s="72" t="s">
        <v>139</v>
      </c>
      <c r="B71" s="22"/>
      <c r="C71" s="22">
        <v>7400.8434999999999</v>
      </c>
    </row>
    <row r="72" spans="1:3" x14ac:dyDescent="0.25">
      <c r="A72" s="72" t="s">
        <v>37</v>
      </c>
      <c r="B72" s="22">
        <v>51805.904499999997</v>
      </c>
      <c r="C72" s="22"/>
    </row>
    <row r="73" spans="1:3" x14ac:dyDescent="0.25">
      <c r="A73" s="72" t="s">
        <v>38</v>
      </c>
      <c r="B73" s="22">
        <v>518059.04499999998</v>
      </c>
      <c r="C73" s="22"/>
    </row>
    <row r="74" spans="1:3" x14ac:dyDescent="0.25">
      <c r="A74" s="72" t="s">
        <v>42</v>
      </c>
      <c r="B74" s="22">
        <v>44405.061000000002</v>
      </c>
      <c r="C74" s="22"/>
    </row>
    <row r="75" spans="1:3" x14ac:dyDescent="0.25">
      <c r="A75" s="72" t="s">
        <v>148</v>
      </c>
      <c r="B75" s="22"/>
      <c r="C75" s="22">
        <v>22202.530500000001</v>
      </c>
    </row>
    <row r="76" spans="1:3" x14ac:dyDescent="0.25">
      <c r="A76" s="72" t="s">
        <v>45</v>
      </c>
      <c r="B76" s="22">
        <v>148620.14000000001</v>
      </c>
      <c r="C76" s="22"/>
    </row>
    <row r="77" spans="1:3" x14ac:dyDescent="0.25">
      <c r="A77" s="72" t="s">
        <v>46</v>
      </c>
      <c r="B77" s="22">
        <v>74933.740000000005</v>
      </c>
      <c r="C77" s="22"/>
    </row>
    <row r="78" spans="1:3" x14ac:dyDescent="0.25">
      <c r="A78" s="21" t="s">
        <v>68</v>
      </c>
      <c r="B78" s="22"/>
      <c r="C78" s="22">
        <v>625868.68499999994</v>
      </c>
    </row>
    <row r="79" spans="1:3" x14ac:dyDescent="0.25">
      <c r="A79" s="72" t="s">
        <v>118</v>
      </c>
      <c r="B79" s="22"/>
      <c r="C79" s="22">
        <v>208622.89499999999</v>
      </c>
    </row>
    <row r="80" spans="1:3" x14ac:dyDescent="0.25">
      <c r="A80" s="72" t="s">
        <v>119</v>
      </c>
      <c r="B80" s="22"/>
      <c r="C80" s="22">
        <v>417245.79</v>
      </c>
    </row>
    <row r="81" spans="1:3" x14ac:dyDescent="0.25">
      <c r="A81" s="72" t="s">
        <v>72</v>
      </c>
      <c r="B81" s="22"/>
      <c r="C81" s="22">
        <v>0</v>
      </c>
    </row>
    <row r="82" spans="1:3" x14ac:dyDescent="0.25">
      <c r="A82" s="72" t="s">
        <v>84</v>
      </c>
      <c r="B82" s="22"/>
      <c r="C82" s="22">
        <v>0</v>
      </c>
    </row>
    <row r="83" spans="1:3" x14ac:dyDescent="0.25">
      <c r="A83" s="21" t="s">
        <v>49</v>
      </c>
      <c r="B83" s="22"/>
      <c r="C83" s="22">
        <v>4824491.8043357916</v>
      </c>
    </row>
    <row r="84" spans="1:3" x14ac:dyDescent="0.25">
      <c r="A84" s="72" t="s">
        <v>139</v>
      </c>
      <c r="B84" s="22"/>
      <c r="C84" s="22">
        <v>359215.8130054081</v>
      </c>
    </row>
    <row r="85" spans="1:3" x14ac:dyDescent="0.25">
      <c r="A85" s="72" t="s">
        <v>37</v>
      </c>
      <c r="B85" s="22"/>
      <c r="C85" s="22">
        <v>1515925.1056017699</v>
      </c>
    </row>
    <row r="86" spans="1:3" x14ac:dyDescent="0.25">
      <c r="A86" s="72" t="s">
        <v>38</v>
      </c>
      <c r="B86" s="22"/>
      <c r="C86" s="22">
        <v>2949350.8857286135</v>
      </c>
    </row>
    <row r="87" spans="1:3" x14ac:dyDescent="0.25">
      <c r="A87" s="21" t="s">
        <v>106</v>
      </c>
      <c r="B87" s="22"/>
      <c r="C87" s="22">
        <v>58</v>
      </c>
    </row>
    <row r="88" spans="1:3" x14ac:dyDescent="0.25">
      <c r="A88" s="72" t="s">
        <v>26</v>
      </c>
      <c r="B88" s="22"/>
      <c r="C88" s="22">
        <v>8</v>
      </c>
    </row>
    <row r="89" spans="1:3" x14ac:dyDescent="0.25">
      <c r="A89" s="72" t="s">
        <v>119</v>
      </c>
      <c r="B89" s="22"/>
      <c r="C89" s="22">
        <v>8</v>
      </c>
    </row>
    <row r="90" spans="1:3" x14ac:dyDescent="0.25">
      <c r="A90" s="72" t="s">
        <v>72</v>
      </c>
      <c r="B90" s="22"/>
      <c r="C90" s="22">
        <v>7</v>
      </c>
    </row>
    <row r="91" spans="1:3" x14ac:dyDescent="0.25">
      <c r="A91" s="72" t="s">
        <v>84</v>
      </c>
      <c r="B91" s="22"/>
      <c r="C91" s="22">
        <v>35</v>
      </c>
    </row>
    <row r="92" spans="1:3" x14ac:dyDescent="0.25">
      <c r="A92" s="21" t="s">
        <v>151</v>
      </c>
      <c r="B92" s="22"/>
      <c r="C92" s="22">
        <v>133611.6</v>
      </c>
    </row>
    <row r="93" spans="1:3" x14ac:dyDescent="0.25">
      <c r="A93" s="72" t="s">
        <v>38</v>
      </c>
      <c r="B93" s="22"/>
      <c r="C93" s="22">
        <v>133611.6</v>
      </c>
    </row>
    <row r="94" spans="1:3" x14ac:dyDescent="0.25">
      <c r="A94" s="19" t="s">
        <v>412</v>
      </c>
      <c r="B94" s="22">
        <v>1866964.6400000001</v>
      </c>
      <c r="C94" s="22">
        <v>43691648.087761998</v>
      </c>
    </row>
    <row r="95" spans="1:3" x14ac:dyDescent="0.25">
      <c r="A95" s="21" t="s">
        <v>109</v>
      </c>
      <c r="B95" s="22"/>
      <c r="C95" s="22">
        <v>22220190</v>
      </c>
    </row>
    <row r="96" spans="1:3" x14ac:dyDescent="0.25">
      <c r="A96" s="72" t="s">
        <v>36</v>
      </c>
      <c r="B96" s="22"/>
      <c r="C96" s="22">
        <v>1307070</v>
      </c>
    </row>
    <row r="97" spans="1:3" x14ac:dyDescent="0.25">
      <c r="A97" s="72" t="s">
        <v>55</v>
      </c>
      <c r="B97" s="22"/>
      <c r="C97" s="22">
        <v>1307070</v>
      </c>
    </row>
    <row r="98" spans="1:3" x14ac:dyDescent="0.25">
      <c r="A98" s="72" t="s">
        <v>120</v>
      </c>
      <c r="B98" s="22"/>
      <c r="C98" s="22">
        <v>1307070</v>
      </c>
    </row>
    <row r="99" spans="1:3" x14ac:dyDescent="0.25">
      <c r="A99" s="72" t="s">
        <v>129</v>
      </c>
      <c r="B99" s="22"/>
      <c r="C99" s="22">
        <v>1307070</v>
      </c>
    </row>
    <row r="100" spans="1:3" x14ac:dyDescent="0.25">
      <c r="A100" s="72" t="s">
        <v>77</v>
      </c>
      <c r="B100" s="22"/>
      <c r="C100" s="22">
        <v>1307070</v>
      </c>
    </row>
    <row r="101" spans="1:3" x14ac:dyDescent="0.25">
      <c r="A101" s="72" t="s">
        <v>78</v>
      </c>
      <c r="B101" s="22"/>
      <c r="C101" s="22">
        <v>0</v>
      </c>
    </row>
    <row r="102" spans="1:3" x14ac:dyDescent="0.25">
      <c r="A102" s="72" t="s">
        <v>81</v>
      </c>
      <c r="B102" s="22"/>
      <c r="C102" s="22">
        <v>1307070</v>
      </c>
    </row>
    <row r="103" spans="1:3" x14ac:dyDescent="0.25">
      <c r="A103" s="72" t="s">
        <v>112</v>
      </c>
      <c r="B103" s="22"/>
      <c r="C103" s="22">
        <v>1307070</v>
      </c>
    </row>
    <row r="104" spans="1:3" x14ac:dyDescent="0.25">
      <c r="A104" s="72" t="s">
        <v>83</v>
      </c>
      <c r="B104" s="22"/>
      <c r="C104" s="22">
        <v>1307070</v>
      </c>
    </row>
    <row r="105" spans="1:3" x14ac:dyDescent="0.25">
      <c r="A105" s="72" t="s">
        <v>131</v>
      </c>
      <c r="B105" s="22"/>
      <c r="C105" s="22">
        <v>1307070</v>
      </c>
    </row>
    <row r="106" spans="1:3" x14ac:dyDescent="0.25">
      <c r="A106" s="72" t="s">
        <v>113</v>
      </c>
      <c r="B106" s="22"/>
      <c r="C106" s="22">
        <v>1307070</v>
      </c>
    </row>
    <row r="107" spans="1:3" x14ac:dyDescent="0.25">
      <c r="A107" s="72" t="s">
        <v>122</v>
      </c>
      <c r="B107" s="22"/>
      <c r="C107" s="22">
        <v>1307070</v>
      </c>
    </row>
    <row r="108" spans="1:3" x14ac:dyDescent="0.25">
      <c r="A108" s="72" t="s">
        <v>90</v>
      </c>
      <c r="B108" s="22"/>
      <c r="C108" s="22">
        <v>1307070</v>
      </c>
    </row>
    <row r="109" spans="1:3" x14ac:dyDescent="0.25">
      <c r="A109" s="72" t="s">
        <v>133</v>
      </c>
      <c r="B109" s="22"/>
      <c r="C109" s="22">
        <v>1307070</v>
      </c>
    </row>
    <row r="110" spans="1:3" x14ac:dyDescent="0.25">
      <c r="A110" s="72" t="s">
        <v>115</v>
      </c>
      <c r="B110" s="22"/>
      <c r="C110" s="22">
        <v>1307070</v>
      </c>
    </row>
    <row r="111" spans="1:3" x14ac:dyDescent="0.25">
      <c r="A111" s="72" t="s">
        <v>136</v>
      </c>
      <c r="B111" s="22"/>
      <c r="C111" s="22">
        <v>1307070</v>
      </c>
    </row>
    <row r="112" spans="1:3" x14ac:dyDescent="0.25">
      <c r="A112" s="72" t="s">
        <v>128</v>
      </c>
      <c r="B112" s="22"/>
      <c r="C112" s="22">
        <v>1307070</v>
      </c>
    </row>
    <row r="113" spans="1:3" x14ac:dyDescent="0.25">
      <c r="A113" s="72" t="s">
        <v>127</v>
      </c>
      <c r="B113" s="22"/>
      <c r="C113" s="22">
        <v>1307070</v>
      </c>
    </row>
    <row r="114" spans="1:3" x14ac:dyDescent="0.25">
      <c r="A114" s="21" t="s">
        <v>52</v>
      </c>
      <c r="B114" s="22"/>
      <c r="C114" s="22">
        <v>671980.32</v>
      </c>
    </row>
    <row r="115" spans="1:3" x14ac:dyDescent="0.25">
      <c r="A115" s="72" t="s">
        <v>36</v>
      </c>
      <c r="B115" s="22"/>
      <c r="C115" s="22">
        <v>37332.239999999998</v>
      </c>
    </row>
    <row r="116" spans="1:3" x14ac:dyDescent="0.25">
      <c r="A116" s="72" t="s">
        <v>55</v>
      </c>
      <c r="B116" s="22"/>
      <c r="C116" s="22">
        <v>37332.239999999998</v>
      </c>
    </row>
    <row r="117" spans="1:3" x14ac:dyDescent="0.25">
      <c r="A117" s="72" t="s">
        <v>56</v>
      </c>
      <c r="B117" s="22"/>
      <c r="C117" s="22">
        <v>37332.239999999998</v>
      </c>
    </row>
    <row r="118" spans="1:3" x14ac:dyDescent="0.25">
      <c r="A118" s="72" t="s">
        <v>120</v>
      </c>
      <c r="B118" s="22"/>
      <c r="C118" s="22">
        <v>37332.239999999998</v>
      </c>
    </row>
    <row r="119" spans="1:3" x14ac:dyDescent="0.25">
      <c r="A119" s="72" t="s">
        <v>129</v>
      </c>
      <c r="B119" s="22"/>
      <c r="C119" s="22">
        <v>37332.239999999998</v>
      </c>
    </row>
    <row r="120" spans="1:3" x14ac:dyDescent="0.25">
      <c r="A120" s="72" t="s">
        <v>77</v>
      </c>
      <c r="B120" s="22"/>
      <c r="C120" s="22">
        <v>37332.239999999998</v>
      </c>
    </row>
    <row r="121" spans="1:3" x14ac:dyDescent="0.25">
      <c r="A121" s="72" t="s">
        <v>78</v>
      </c>
      <c r="B121" s="22"/>
      <c r="C121" s="22">
        <v>0</v>
      </c>
    </row>
    <row r="122" spans="1:3" x14ac:dyDescent="0.25">
      <c r="A122" s="72" t="s">
        <v>81</v>
      </c>
      <c r="B122" s="22"/>
      <c r="C122" s="22">
        <v>37332.239999999998</v>
      </c>
    </row>
    <row r="123" spans="1:3" x14ac:dyDescent="0.25">
      <c r="A123" s="72" t="s">
        <v>112</v>
      </c>
      <c r="B123" s="22"/>
      <c r="C123" s="22">
        <v>37332.239999999998</v>
      </c>
    </row>
    <row r="124" spans="1:3" x14ac:dyDescent="0.25">
      <c r="A124" s="72" t="s">
        <v>83</v>
      </c>
      <c r="B124" s="22"/>
      <c r="C124" s="22">
        <v>37332.239999999998</v>
      </c>
    </row>
    <row r="125" spans="1:3" x14ac:dyDescent="0.25">
      <c r="A125" s="72" t="s">
        <v>131</v>
      </c>
      <c r="B125" s="22"/>
      <c r="C125" s="22">
        <v>37332.239999999998</v>
      </c>
    </row>
    <row r="126" spans="1:3" x14ac:dyDescent="0.25">
      <c r="A126" s="72" t="s">
        <v>113</v>
      </c>
      <c r="B126" s="22"/>
      <c r="C126" s="22">
        <v>37332.239999999998</v>
      </c>
    </row>
    <row r="127" spans="1:3" x14ac:dyDescent="0.25">
      <c r="A127" s="72" t="s">
        <v>122</v>
      </c>
      <c r="B127" s="22"/>
      <c r="C127" s="22">
        <v>37332.239999999998</v>
      </c>
    </row>
    <row r="128" spans="1:3" x14ac:dyDescent="0.25">
      <c r="A128" s="72" t="s">
        <v>90</v>
      </c>
      <c r="B128" s="22"/>
      <c r="C128" s="22">
        <v>37332.239999999998</v>
      </c>
    </row>
    <row r="129" spans="1:3" x14ac:dyDescent="0.25">
      <c r="A129" s="72" t="s">
        <v>133</v>
      </c>
      <c r="B129" s="22"/>
      <c r="C129" s="22">
        <v>37332.239999999998</v>
      </c>
    </row>
    <row r="130" spans="1:3" x14ac:dyDescent="0.25">
      <c r="A130" s="72" t="s">
        <v>115</v>
      </c>
      <c r="B130" s="22"/>
      <c r="C130" s="22">
        <v>37332.239999999998</v>
      </c>
    </row>
    <row r="131" spans="1:3" x14ac:dyDescent="0.25">
      <c r="A131" s="72" t="s">
        <v>136</v>
      </c>
      <c r="B131" s="22"/>
      <c r="C131" s="22">
        <v>37332.239999999998</v>
      </c>
    </row>
    <row r="132" spans="1:3" x14ac:dyDescent="0.25">
      <c r="A132" s="72" t="s">
        <v>128</v>
      </c>
      <c r="B132" s="22"/>
      <c r="C132" s="22">
        <v>37332.239999999998</v>
      </c>
    </row>
    <row r="133" spans="1:3" x14ac:dyDescent="0.25">
      <c r="A133" s="72" t="s">
        <v>127</v>
      </c>
      <c r="B133" s="22"/>
      <c r="C133" s="22">
        <v>37332.239999999998</v>
      </c>
    </row>
    <row r="134" spans="1:3" x14ac:dyDescent="0.25">
      <c r="A134" s="21" t="s">
        <v>27</v>
      </c>
      <c r="B134" s="22">
        <v>163460.89000000001</v>
      </c>
      <c r="C134" s="22">
        <v>2353468.2329999995</v>
      </c>
    </row>
    <row r="135" spans="1:3" x14ac:dyDescent="0.25">
      <c r="A135" s="72" t="s">
        <v>57</v>
      </c>
      <c r="B135" s="22"/>
      <c r="C135" s="22">
        <v>7400.8434999999999</v>
      </c>
    </row>
    <row r="136" spans="1:3" x14ac:dyDescent="0.25">
      <c r="A136" s="72" t="s">
        <v>58</v>
      </c>
      <c r="B136" s="22"/>
      <c r="C136" s="22">
        <v>125814.3395</v>
      </c>
    </row>
    <row r="137" spans="1:3" x14ac:dyDescent="0.25">
      <c r="A137" s="72" t="s">
        <v>59</v>
      </c>
      <c r="B137" s="22"/>
      <c r="C137" s="22">
        <v>14801.687</v>
      </c>
    </row>
    <row r="138" spans="1:3" x14ac:dyDescent="0.25">
      <c r="A138" s="72" t="s">
        <v>60</v>
      </c>
      <c r="B138" s="22"/>
      <c r="C138" s="22">
        <v>22202.530500000001</v>
      </c>
    </row>
    <row r="139" spans="1:3" x14ac:dyDescent="0.25">
      <c r="A139" s="72" t="s">
        <v>61</v>
      </c>
      <c r="B139" s="22"/>
      <c r="C139" s="22">
        <v>29603.374</v>
      </c>
    </row>
    <row r="140" spans="1:3" x14ac:dyDescent="0.25">
      <c r="A140" s="72" t="s">
        <v>36</v>
      </c>
      <c r="B140" s="22">
        <v>56519.89</v>
      </c>
      <c r="C140" s="22"/>
    </row>
    <row r="141" spans="1:3" x14ac:dyDescent="0.25">
      <c r="A141" s="72" t="s">
        <v>62</v>
      </c>
      <c r="B141" s="22"/>
      <c r="C141" s="22">
        <v>7400.8434999999999</v>
      </c>
    </row>
    <row r="142" spans="1:3" x14ac:dyDescent="0.25">
      <c r="A142" s="72" t="s">
        <v>63</v>
      </c>
      <c r="B142" s="22"/>
      <c r="C142" s="22">
        <v>7400.8434999999999</v>
      </c>
    </row>
    <row r="143" spans="1:3" x14ac:dyDescent="0.25">
      <c r="A143" s="72" t="s">
        <v>64</v>
      </c>
      <c r="B143" s="22"/>
      <c r="C143" s="22">
        <v>22202.530500000001</v>
      </c>
    </row>
    <row r="144" spans="1:3" x14ac:dyDescent="0.25">
      <c r="A144" s="72" t="s">
        <v>55</v>
      </c>
      <c r="B144" s="22"/>
      <c r="C144" s="22">
        <v>133215.18299999999</v>
      </c>
    </row>
    <row r="145" spans="1:3" x14ac:dyDescent="0.25">
      <c r="A145" s="72" t="s">
        <v>43</v>
      </c>
      <c r="B145" s="22">
        <v>32007.26</v>
      </c>
      <c r="C145" s="22"/>
    </row>
    <row r="146" spans="1:3" x14ac:dyDescent="0.25">
      <c r="A146" s="72" t="s">
        <v>65</v>
      </c>
      <c r="B146" s="22"/>
      <c r="C146" s="22">
        <v>14801.687</v>
      </c>
    </row>
    <row r="147" spans="1:3" x14ac:dyDescent="0.25">
      <c r="A147" s="72" t="s">
        <v>44</v>
      </c>
      <c r="B147" s="22">
        <v>74933.740000000005</v>
      </c>
      <c r="C147" s="22"/>
    </row>
    <row r="148" spans="1:3" x14ac:dyDescent="0.25">
      <c r="A148" s="72" t="s">
        <v>51</v>
      </c>
      <c r="B148" s="22"/>
      <c r="C148" s="22">
        <v>7400.8434999999999</v>
      </c>
    </row>
    <row r="149" spans="1:3" x14ac:dyDescent="0.25">
      <c r="A149" s="72" t="s">
        <v>66</v>
      </c>
      <c r="B149" s="22"/>
      <c r="C149" s="22">
        <v>118413.496</v>
      </c>
    </row>
    <row r="150" spans="1:3" x14ac:dyDescent="0.25">
      <c r="A150" s="72" t="s">
        <v>120</v>
      </c>
      <c r="B150" s="22"/>
      <c r="C150" s="22">
        <v>96210.965500000006</v>
      </c>
    </row>
    <row r="151" spans="1:3" x14ac:dyDescent="0.25">
      <c r="A151" s="72" t="s">
        <v>129</v>
      </c>
      <c r="B151" s="22"/>
      <c r="C151" s="22">
        <v>44405.061000000002</v>
      </c>
    </row>
    <row r="152" spans="1:3" x14ac:dyDescent="0.25">
      <c r="A152" s="72" t="s">
        <v>77</v>
      </c>
      <c r="B152" s="22"/>
      <c r="C152" s="22">
        <v>37004.217499999999</v>
      </c>
    </row>
    <row r="153" spans="1:3" x14ac:dyDescent="0.25">
      <c r="A153" s="72" t="s">
        <v>78</v>
      </c>
      <c r="B153" s="22"/>
      <c r="C153" s="22">
        <v>0</v>
      </c>
    </row>
    <row r="154" spans="1:3" x14ac:dyDescent="0.25">
      <c r="A154" s="72" t="s">
        <v>81</v>
      </c>
      <c r="B154" s="22"/>
      <c r="C154" s="22">
        <v>66607.591499999995</v>
      </c>
    </row>
    <row r="155" spans="1:3" x14ac:dyDescent="0.25">
      <c r="A155" s="72" t="s">
        <v>112</v>
      </c>
      <c r="B155" s="22"/>
      <c r="C155" s="22">
        <v>251628.679</v>
      </c>
    </row>
    <row r="156" spans="1:3" x14ac:dyDescent="0.25">
      <c r="A156" s="72" t="s">
        <v>83</v>
      </c>
      <c r="B156" s="22"/>
      <c r="C156" s="22">
        <v>125814.3395</v>
      </c>
    </row>
    <row r="157" spans="1:3" x14ac:dyDescent="0.25">
      <c r="A157" s="72" t="s">
        <v>131</v>
      </c>
      <c r="B157" s="22"/>
      <c r="C157" s="22">
        <v>74008.434999999998</v>
      </c>
    </row>
    <row r="158" spans="1:3" x14ac:dyDescent="0.25">
      <c r="A158" s="72" t="s">
        <v>113</v>
      </c>
      <c r="B158" s="22"/>
      <c r="C158" s="22">
        <v>148016.87</v>
      </c>
    </row>
    <row r="159" spans="1:3" x14ac:dyDescent="0.25">
      <c r="A159" s="72" t="s">
        <v>122</v>
      </c>
      <c r="B159" s="22"/>
      <c r="C159" s="22">
        <v>44405.061000000002</v>
      </c>
    </row>
    <row r="160" spans="1:3" x14ac:dyDescent="0.25">
      <c r="A160" s="72" t="s">
        <v>90</v>
      </c>
      <c r="B160" s="22"/>
      <c r="C160" s="22">
        <v>22202.530500000001</v>
      </c>
    </row>
    <row r="161" spans="1:3" x14ac:dyDescent="0.25">
      <c r="A161" s="72" t="s">
        <v>133</v>
      </c>
      <c r="B161" s="22"/>
      <c r="C161" s="22">
        <v>59206.748</v>
      </c>
    </row>
    <row r="162" spans="1:3" x14ac:dyDescent="0.25">
      <c r="A162" s="72" t="s">
        <v>115</v>
      </c>
      <c r="B162" s="22"/>
      <c r="C162" s="22">
        <v>66607.591499999995</v>
      </c>
    </row>
    <row r="163" spans="1:3" x14ac:dyDescent="0.25">
      <c r="A163" s="72" t="s">
        <v>136</v>
      </c>
      <c r="B163" s="22"/>
      <c r="C163" s="22">
        <v>103611.80899999999</v>
      </c>
    </row>
    <row r="164" spans="1:3" x14ac:dyDescent="0.25">
      <c r="A164" s="72" t="s">
        <v>128</v>
      </c>
      <c r="B164" s="22"/>
      <c r="C164" s="22">
        <v>133215.18299999999</v>
      </c>
    </row>
    <row r="165" spans="1:3" x14ac:dyDescent="0.25">
      <c r="A165" s="72" t="s">
        <v>127</v>
      </c>
      <c r="B165" s="22"/>
      <c r="C165" s="22">
        <v>162818.557</v>
      </c>
    </row>
    <row r="166" spans="1:3" x14ac:dyDescent="0.25">
      <c r="A166" s="72" t="s">
        <v>67</v>
      </c>
      <c r="B166" s="22"/>
      <c r="C166" s="22">
        <v>7400.8434999999999</v>
      </c>
    </row>
    <row r="167" spans="1:3" x14ac:dyDescent="0.25">
      <c r="A167" s="72" t="s">
        <v>74</v>
      </c>
      <c r="B167" s="22"/>
      <c r="C167" s="22">
        <v>7400.8434999999999</v>
      </c>
    </row>
    <row r="168" spans="1:3" x14ac:dyDescent="0.25">
      <c r="A168" s="72" t="s">
        <v>146</v>
      </c>
      <c r="B168" s="22"/>
      <c r="C168" s="22">
        <v>29603.374</v>
      </c>
    </row>
    <row r="169" spans="1:3" x14ac:dyDescent="0.25">
      <c r="A169" s="72" t="s">
        <v>125</v>
      </c>
      <c r="B169" s="22"/>
      <c r="C169" s="22">
        <v>0</v>
      </c>
    </row>
    <row r="170" spans="1:3" x14ac:dyDescent="0.25">
      <c r="A170" s="72" t="s">
        <v>92</v>
      </c>
      <c r="B170" s="22"/>
      <c r="C170" s="22">
        <v>7400.8434999999999</v>
      </c>
    </row>
    <row r="171" spans="1:3" x14ac:dyDescent="0.25">
      <c r="A171" s="72" t="s">
        <v>107</v>
      </c>
      <c r="B171" s="22"/>
      <c r="C171" s="22">
        <v>14801.687</v>
      </c>
    </row>
    <row r="172" spans="1:3" x14ac:dyDescent="0.25">
      <c r="A172" s="72" t="s">
        <v>95</v>
      </c>
      <c r="B172" s="22"/>
      <c r="C172" s="22">
        <v>296033.74</v>
      </c>
    </row>
    <row r="173" spans="1:3" x14ac:dyDescent="0.25">
      <c r="A173" s="72" t="s">
        <v>126</v>
      </c>
      <c r="B173" s="22"/>
      <c r="C173" s="22">
        <v>7400.8434999999999</v>
      </c>
    </row>
    <row r="174" spans="1:3" x14ac:dyDescent="0.25">
      <c r="A174" s="72" t="s">
        <v>100</v>
      </c>
      <c r="B174" s="22"/>
      <c r="C174" s="22">
        <v>7400.8434999999999</v>
      </c>
    </row>
    <row r="175" spans="1:3" x14ac:dyDescent="0.25">
      <c r="A175" s="72" t="s">
        <v>137</v>
      </c>
      <c r="B175" s="22"/>
      <c r="C175" s="22">
        <v>0</v>
      </c>
    </row>
    <row r="176" spans="1:3" x14ac:dyDescent="0.25">
      <c r="A176" s="72" t="s">
        <v>102</v>
      </c>
      <c r="B176" s="22"/>
      <c r="C176" s="22">
        <v>7400.8434999999999</v>
      </c>
    </row>
    <row r="177" spans="1:3" x14ac:dyDescent="0.25">
      <c r="A177" s="72" t="s">
        <v>116</v>
      </c>
      <c r="B177" s="22"/>
      <c r="C177" s="22">
        <v>22202.530500000001</v>
      </c>
    </row>
    <row r="178" spans="1:3" x14ac:dyDescent="0.25">
      <c r="A178" s="21" t="s">
        <v>68</v>
      </c>
      <c r="B178" s="22"/>
      <c r="C178" s="22">
        <v>11364755.805</v>
      </c>
    </row>
    <row r="179" spans="1:3" x14ac:dyDescent="0.25">
      <c r="A179" s="72" t="s">
        <v>36</v>
      </c>
      <c r="B179" s="22"/>
      <c r="C179" s="22">
        <v>417245.79</v>
      </c>
    </row>
    <row r="180" spans="1:3" x14ac:dyDescent="0.25">
      <c r="A180" s="72" t="s">
        <v>120</v>
      </c>
      <c r="B180" s="22"/>
      <c r="C180" s="22">
        <v>625868.68499999994</v>
      </c>
    </row>
    <row r="181" spans="1:3" x14ac:dyDescent="0.25">
      <c r="A181" s="72" t="s">
        <v>129</v>
      </c>
      <c r="B181" s="22"/>
      <c r="C181" s="22">
        <v>443677.65</v>
      </c>
    </row>
    <row r="182" spans="1:3" x14ac:dyDescent="0.25">
      <c r="A182" s="72" t="s">
        <v>77</v>
      </c>
      <c r="B182" s="22"/>
      <c r="C182" s="22">
        <v>390813.93</v>
      </c>
    </row>
    <row r="183" spans="1:3" x14ac:dyDescent="0.25">
      <c r="A183" s="72" t="s">
        <v>78</v>
      </c>
      <c r="B183" s="22"/>
      <c r="C183" s="22">
        <v>0</v>
      </c>
    </row>
    <row r="184" spans="1:3" x14ac:dyDescent="0.25">
      <c r="A184" s="72" t="s">
        <v>81</v>
      </c>
      <c r="B184" s="22"/>
      <c r="C184" s="22">
        <v>781627.86</v>
      </c>
    </row>
    <row r="185" spans="1:3" x14ac:dyDescent="0.25">
      <c r="A185" s="72" t="s">
        <v>112</v>
      </c>
      <c r="B185" s="22"/>
      <c r="C185" s="22">
        <v>606044.79</v>
      </c>
    </row>
    <row r="186" spans="1:3" x14ac:dyDescent="0.25">
      <c r="A186" s="72" t="s">
        <v>83</v>
      </c>
      <c r="B186" s="22"/>
      <c r="C186" s="22">
        <v>390813.93</v>
      </c>
    </row>
    <row r="187" spans="1:3" x14ac:dyDescent="0.25">
      <c r="A187" s="72" t="s">
        <v>131</v>
      </c>
      <c r="B187" s="22"/>
      <c r="C187" s="22">
        <v>443677.65</v>
      </c>
    </row>
    <row r="188" spans="1:3" x14ac:dyDescent="0.25">
      <c r="A188" s="72" t="s">
        <v>113</v>
      </c>
      <c r="B188" s="22"/>
      <c r="C188" s="22">
        <v>404029.86000000004</v>
      </c>
    </row>
    <row r="189" spans="1:3" x14ac:dyDescent="0.25">
      <c r="A189" s="72" t="s">
        <v>122</v>
      </c>
      <c r="B189" s="22"/>
      <c r="C189" s="22">
        <v>625868.68499999994</v>
      </c>
    </row>
    <row r="190" spans="1:3" x14ac:dyDescent="0.25">
      <c r="A190" s="72" t="s">
        <v>90</v>
      </c>
      <c r="B190" s="22"/>
      <c r="C190" s="22">
        <v>0</v>
      </c>
    </row>
    <row r="191" spans="1:3" x14ac:dyDescent="0.25">
      <c r="A191" s="72" t="s">
        <v>133</v>
      </c>
      <c r="B191" s="22"/>
      <c r="C191" s="22">
        <v>665516.47499999998</v>
      </c>
    </row>
    <row r="192" spans="1:3" x14ac:dyDescent="0.25">
      <c r="A192" s="72" t="s">
        <v>115</v>
      </c>
      <c r="B192" s="22"/>
      <c r="C192" s="22">
        <v>606044.79</v>
      </c>
    </row>
    <row r="193" spans="1:3" x14ac:dyDescent="0.25">
      <c r="A193" s="72" t="s">
        <v>136</v>
      </c>
      <c r="B193" s="22"/>
      <c r="C193" s="22">
        <v>665516.47499999998</v>
      </c>
    </row>
    <row r="194" spans="1:3" x14ac:dyDescent="0.25">
      <c r="A194" s="72" t="s">
        <v>128</v>
      </c>
      <c r="B194" s="22"/>
      <c r="C194" s="22">
        <v>887355.3</v>
      </c>
    </row>
    <row r="195" spans="1:3" x14ac:dyDescent="0.25">
      <c r="A195" s="72" t="s">
        <v>127</v>
      </c>
      <c r="B195" s="22"/>
      <c r="C195" s="22">
        <v>1076154.3</v>
      </c>
    </row>
    <row r="196" spans="1:3" x14ac:dyDescent="0.25">
      <c r="A196" s="72" t="s">
        <v>67</v>
      </c>
      <c r="B196" s="22"/>
      <c r="C196" s="22">
        <v>0</v>
      </c>
    </row>
    <row r="197" spans="1:3" x14ac:dyDescent="0.25">
      <c r="A197" s="72" t="s">
        <v>74</v>
      </c>
      <c r="B197" s="22"/>
      <c r="C197" s="22">
        <v>0</v>
      </c>
    </row>
    <row r="198" spans="1:3" x14ac:dyDescent="0.25">
      <c r="A198" s="72" t="s">
        <v>125</v>
      </c>
      <c r="B198" s="22"/>
      <c r="C198" s="22">
        <v>0</v>
      </c>
    </row>
    <row r="199" spans="1:3" x14ac:dyDescent="0.25">
      <c r="A199" s="72" t="s">
        <v>92</v>
      </c>
      <c r="B199" s="22"/>
      <c r="C199" s="22">
        <v>0</v>
      </c>
    </row>
    <row r="200" spans="1:3" x14ac:dyDescent="0.25">
      <c r="A200" s="72" t="s">
        <v>107</v>
      </c>
      <c r="B200" s="22"/>
      <c r="C200" s="22">
        <v>430461.72000000003</v>
      </c>
    </row>
    <row r="201" spans="1:3" x14ac:dyDescent="0.25">
      <c r="A201" s="72" t="s">
        <v>95</v>
      </c>
      <c r="B201" s="22"/>
      <c r="C201" s="22">
        <v>0</v>
      </c>
    </row>
    <row r="202" spans="1:3" x14ac:dyDescent="0.25">
      <c r="A202" s="72" t="s">
        <v>126</v>
      </c>
      <c r="B202" s="22"/>
      <c r="C202" s="22">
        <v>430461.72000000003</v>
      </c>
    </row>
    <row r="203" spans="1:3" x14ac:dyDescent="0.25">
      <c r="A203" s="72" t="s">
        <v>100</v>
      </c>
      <c r="B203" s="22"/>
      <c r="C203" s="22">
        <v>0</v>
      </c>
    </row>
    <row r="204" spans="1:3" x14ac:dyDescent="0.25">
      <c r="A204" s="72" t="s">
        <v>137</v>
      </c>
      <c r="B204" s="22"/>
      <c r="C204" s="22">
        <v>0</v>
      </c>
    </row>
    <row r="205" spans="1:3" x14ac:dyDescent="0.25">
      <c r="A205" s="72" t="s">
        <v>102</v>
      </c>
      <c r="B205" s="22"/>
      <c r="C205" s="22">
        <v>0</v>
      </c>
    </row>
    <row r="206" spans="1:3" x14ac:dyDescent="0.25">
      <c r="A206" s="72" t="s">
        <v>116</v>
      </c>
      <c r="B206" s="22"/>
      <c r="C206" s="22">
        <v>404029.86000000004</v>
      </c>
    </row>
    <row r="207" spans="1:3" x14ac:dyDescent="0.25">
      <c r="A207" s="72" t="s">
        <v>69</v>
      </c>
      <c r="B207" s="22"/>
      <c r="C207" s="22">
        <v>0</v>
      </c>
    </row>
    <row r="208" spans="1:3" x14ac:dyDescent="0.25">
      <c r="A208" s="72" t="s">
        <v>70</v>
      </c>
      <c r="B208" s="22"/>
      <c r="C208" s="22">
        <v>0</v>
      </c>
    </row>
    <row r="209" spans="1:3" x14ac:dyDescent="0.25">
      <c r="A209" s="72" t="s">
        <v>71</v>
      </c>
      <c r="B209" s="22"/>
      <c r="C209" s="22">
        <v>0</v>
      </c>
    </row>
    <row r="210" spans="1:3" x14ac:dyDescent="0.25">
      <c r="A210" s="72" t="s">
        <v>75</v>
      </c>
      <c r="B210" s="22"/>
      <c r="C210" s="22">
        <v>0</v>
      </c>
    </row>
    <row r="211" spans="1:3" x14ac:dyDescent="0.25">
      <c r="A211" s="72" t="s">
        <v>130</v>
      </c>
      <c r="B211" s="22"/>
      <c r="C211" s="22">
        <v>665516.47499999998</v>
      </c>
    </row>
    <row r="212" spans="1:3" x14ac:dyDescent="0.25">
      <c r="A212" s="72" t="s">
        <v>76</v>
      </c>
      <c r="B212" s="22"/>
      <c r="C212" s="22">
        <v>0</v>
      </c>
    </row>
    <row r="213" spans="1:3" x14ac:dyDescent="0.25">
      <c r="A213" s="72" t="s">
        <v>79</v>
      </c>
      <c r="B213" s="22"/>
      <c r="C213" s="22">
        <v>0</v>
      </c>
    </row>
    <row r="214" spans="1:3" x14ac:dyDescent="0.25">
      <c r="A214" s="72" t="s">
        <v>111</v>
      </c>
      <c r="B214" s="22"/>
      <c r="C214" s="22">
        <v>404029.86000000004</v>
      </c>
    </row>
    <row r="215" spans="1:3" x14ac:dyDescent="0.25">
      <c r="A215" s="72" t="s">
        <v>80</v>
      </c>
      <c r="B215" s="22"/>
      <c r="C215" s="22">
        <v>0</v>
      </c>
    </row>
    <row r="216" spans="1:3" x14ac:dyDescent="0.25">
      <c r="A216" s="72" t="s">
        <v>117</v>
      </c>
      <c r="B216" s="22"/>
      <c r="C216" s="22">
        <v>0</v>
      </c>
    </row>
    <row r="217" spans="1:3" x14ac:dyDescent="0.25">
      <c r="A217" s="72" t="s">
        <v>82</v>
      </c>
      <c r="B217" s="22"/>
      <c r="C217" s="22">
        <v>0</v>
      </c>
    </row>
    <row r="218" spans="1:3" x14ac:dyDescent="0.25">
      <c r="A218" s="72" t="s">
        <v>87</v>
      </c>
      <c r="B218" s="22"/>
      <c r="C218" s="22">
        <v>0</v>
      </c>
    </row>
    <row r="219" spans="1:3" x14ac:dyDescent="0.25">
      <c r="A219" s="72" t="s">
        <v>88</v>
      </c>
      <c r="B219" s="22"/>
      <c r="C219" s="22">
        <v>0</v>
      </c>
    </row>
    <row r="220" spans="1:3" x14ac:dyDescent="0.25">
      <c r="A220" s="72" t="s">
        <v>89</v>
      </c>
      <c r="B220" s="22"/>
      <c r="C220" s="22">
        <v>0</v>
      </c>
    </row>
    <row r="221" spans="1:3" x14ac:dyDescent="0.25">
      <c r="A221" s="72" t="s">
        <v>93</v>
      </c>
      <c r="B221" s="22"/>
      <c r="C221" s="22">
        <v>0</v>
      </c>
    </row>
    <row r="222" spans="1:3" x14ac:dyDescent="0.25">
      <c r="A222" s="72" t="s">
        <v>94</v>
      </c>
      <c r="B222" s="22"/>
      <c r="C222" s="22">
        <v>0</v>
      </c>
    </row>
    <row r="223" spans="1:3" x14ac:dyDescent="0.25">
      <c r="A223" s="72" t="s">
        <v>101</v>
      </c>
      <c r="B223" s="22"/>
      <c r="C223" s="22">
        <v>0</v>
      </c>
    </row>
    <row r="224" spans="1:3" x14ac:dyDescent="0.25">
      <c r="A224" s="21" t="s">
        <v>49</v>
      </c>
      <c r="B224" s="22">
        <v>1703503.75</v>
      </c>
      <c r="C224" s="22">
        <v>5169957.7297620457</v>
      </c>
    </row>
    <row r="225" spans="1:3" x14ac:dyDescent="0.25">
      <c r="A225" s="72" t="s">
        <v>48</v>
      </c>
      <c r="B225" s="22">
        <v>607266.5199999999</v>
      </c>
      <c r="C225" s="22"/>
    </row>
    <row r="226" spans="1:3" x14ac:dyDescent="0.25">
      <c r="A226" s="72" t="s">
        <v>36</v>
      </c>
      <c r="B226" s="22"/>
      <c r="C226" s="22">
        <v>1875140.9186071779</v>
      </c>
    </row>
    <row r="227" spans="1:3" x14ac:dyDescent="0.25">
      <c r="A227" s="72" t="s">
        <v>103</v>
      </c>
      <c r="B227" s="22"/>
      <c r="C227" s="22">
        <v>256091.65616175026</v>
      </c>
    </row>
    <row r="228" spans="1:3" x14ac:dyDescent="0.25">
      <c r="A228" s="72" t="s">
        <v>50</v>
      </c>
      <c r="B228" s="22">
        <v>534717.81000000006</v>
      </c>
      <c r="C228" s="22"/>
    </row>
    <row r="229" spans="1:3" x14ac:dyDescent="0.25">
      <c r="A229" s="72" t="s">
        <v>55</v>
      </c>
      <c r="B229" s="22"/>
      <c r="C229" s="22">
        <v>2047014.5133466078</v>
      </c>
    </row>
    <row r="230" spans="1:3" x14ac:dyDescent="0.25">
      <c r="A230" s="72" t="s">
        <v>104</v>
      </c>
      <c r="B230" s="22"/>
      <c r="C230" s="22">
        <v>991710.64164650941</v>
      </c>
    </row>
    <row r="231" spans="1:3" x14ac:dyDescent="0.25">
      <c r="A231" s="72" t="s">
        <v>51</v>
      </c>
      <c r="B231" s="22">
        <v>561519.42000000004</v>
      </c>
      <c r="C231" s="22"/>
    </row>
    <row r="232" spans="1:3" x14ac:dyDescent="0.25">
      <c r="A232" s="21" t="s">
        <v>106</v>
      </c>
      <c r="B232" s="22"/>
      <c r="C232" s="22">
        <v>340</v>
      </c>
    </row>
    <row r="233" spans="1:3" x14ac:dyDescent="0.25">
      <c r="A233" s="72" t="s">
        <v>62</v>
      </c>
      <c r="B233" s="22"/>
      <c r="C233" s="22">
        <v>1</v>
      </c>
    </row>
    <row r="234" spans="1:3" x14ac:dyDescent="0.25">
      <c r="A234" s="72" t="s">
        <v>65</v>
      </c>
      <c r="B234" s="22"/>
      <c r="C234" s="22">
        <v>2</v>
      </c>
    </row>
    <row r="235" spans="1:3" x14ac:dyDescent="0.25">
      <c r="A235" s="72" t="s">
        <v>56</v>
      </c>
      <c r="B235" s="22"/>
      <c r="C235" s="22">
        <v>46</v>
      </c>
    </row>
    <row r="236" spans="1:3" x14ac:dyDescent="0.25">
      <c r="A236" s="72" t="s">
        <v>108</v>
      </c>
      <c r="B236" s="22"/>
      <c r="C236" s="22">
        <v>8</v>
      </c>
    </row>
    <row r="237" spans="1:3" x14ac:dyDescent="0.25">
      <c r="A237" s="72" t="s">
        <v>120</v>
      </c>
      <c r="B237" s="22"/>
      <c r="C237" s="22">
        <v>13</v>
      </c>
    </row>
    <row r="238" spans="1:3" x14ac:dyDescent="0.25">
      <c r="A238" s="72" t="s">
        <v>129</v>
      </c>
      <c r="B238" s="22"/>
      <c r="C238" s="22">
        <v>6</v>
      </c>
    </row>
    <row r="239" spans="1:3" x14ac:dyDescent="0.25">
      <c r="A239" s="72" t="s">
        <v>77</v>
      </c>
      <c r="B239" s="22"/>
      <c r="C239" s="22">
        <v>5</v>
      </c>
    </row>
    <row r="240" spans="1:3" x14ac:dyDescent="0.25">
      <c r="A240" s="72" t="s">
        <v>78</v>
      </c>
      <c r="B240" s="22"/>
      <c r="C240" s="22">
        <v>0</v>
      </c>
    </row>
    <row r="241" spans="1:3" x14ac:dyDescent="0.25">
      <c r="A241" s="72" t="s">
        <v>81</v>
      </c>
      <c r="B241" s="22"/>
      <c r="C241" s="22">
        <v>9</v>
      </c>
    </row>
    <row r="242" spans="1:3" x14ac:dyDescent="0.25">
      <c r="A242" s="72" t="s">
        <v>112</v>
      </c>
      <c r="B242" s="22"/>
      <c r="C242" s="22">
        <v>34</v>
      </c>
    </row>
    <row r="243" spans="1:3" x14ac:dyDescent="0.25">
      <c r="A243" s="72" t="s">
        <v>83</v>
      </c>
      <c r="B243" s="22"/>
      <c r="C243" s="22">
        <v>17</v>
      </c>
    </row>
    <row r="244" spans="1:3" x14ac:dyDescent="0.25">
      <c r="A244" s="72" t="s">
        <v>131</v>
      </c>
      <c r="B244" s="22"/>
      <c r="C244" s="22">
        <v>10</v>
      </c>
    </row>
    <row r="245" spans="1:3" x14ac:dyDescent="0.25">
      <c r="A245" s="72" t="s">
        <v>113</v>
      </c>
      <c r="B245" s="22"/>
      <c r="C245" s="22">
        <v>20</v>
      </c>
    </row>
    <row r="246" spans="1:3" x14ac:dyDescent="0.25">
      <c r="A246" s="72" t="s">
        <v>122</v>
      </c>
      <c r="B246" s="22"/>
      <c r="C246" s="22">
        <v>6</v>
      </c>
    </row>
    <row r="247" spans="1:3" x14ac:dyDescent="0.25">
      <c r="A247" s="72" t="s">
        <v>90</v>
      </c>
      <c r="B247" s="22"/>
      <c r="C247" s="22">
        <v>3</v>
      </c>
    </row>
    <row r="248" spans="1:3" x14ac:dyDescent="0.25">
      <c r="A248" s="72" t="s">
        <v>133</v>
      </c>
      <c r="B248" s="22"/>
      <c r="C248" s="22">
        <v>8</v>
      </c>
    </row>
    <row r="249" spans="1:3" x14ac:dyDescent="0.25">
      <c r="A249" s="72" t="s">
        <v>115</v>
      </c>
      <c r="B249" s="22"/>
      <c r="C249" s="22">
        <v>9</v>
      </c>
    </row>
    <row r="250" spans="1:3" x14ac:dyDescent="0.25">
      <c r="A250" s="72" t="s">
        <v>136</v>
      </c>
      <c r="B250" s="22"/>
      <c r="C250" s="22">
        <v>14</v>
      </c>
    </row>
    <row r="251" spans="1:3" x14ac:dyDescent="0.25">
      <c r="A251" s="72" t="s">
        <v>128</v>
      </c>
      <c r="B251" s="22"/>
      <c r="C251" s="22">
        <v>18</v>
      </c>
    </row>
    <row r="252" spans="1:3" x14ac:dyDescent="0.25">
      <c r="A252" s="72" t="s">
        <v>127</v>
      </c>
      <c r="B252" s="22"/>
      <c r="C252" s="22">
        <v>22</v>
      </c>
    </row>
    <row r="253" spans="1:3" x14ac:dyDescent="0.25">
      <c r="A253" s="72" t="s">
        <v>67</v>
      </c>
      <c r="B253" s="22"/>
      <c r="C253" s="22">
        <v>1</v>
      </c>
    </row>
    <row r="254" spans="1:3" x14ac:dyDescent="0.25">
      <c r="A254" s="72" t="s">
        <v>74</v>
      </c>
      <c r="B254" s="22"/>
      <c r="C254" s="22">
        <v>1</v>
      </c>
    </row>
    <row r="255" spans="1:3" x14ac:dyDescent="0.25">
      <c r="A255" s="72" t="s">
        <v>125</v>
      </c>
      <c r="B255" s="22"/>
      <c r="C255" s="22">
        <v>0</v>
      </c>
    </row>
    <row r="256" spans="1:3" x14ac:dyDescent="0.25">
      <c r="A256" s="72" t="s">
        <v>92</v>
      </c>
      <c r="B256" s="22"/>
      <c r="C256" s="22">
        <v>1</v>
      </c>
    </row>
    <row r="257" spans="1:3" x14ac:dyDescent="0.25">
      <c r="A257" s="72" t="s">
        <v>107</v>
      </c>
      <c r="B257" s="22"/>
      <c r="C257" s="22">
        <v>2</v>
      </c>
    </row>
    <row r="258" spans="1:3" x14ac:dyDescent="0.25">
      <c r="A258" s="72" t="s">
        <v>95</v>
      </c>
      <c r="B258" s="22"/>
      <c r="C258" s="22">
        <v>40</v>
      </c>
    </row>
    <row r="259" spans="1:3" x14ac:dyDescent="0.25">
      <c r="A259" s="72" t="s">
        <v>126</v>
      </c>
      <c r="B259" s="22"/>
      <c r="C259" s="22">
        <v>1</v>
      </c>
    </row>
    <row r="260" spans="1:3" x14ac:dyDescent="0.25">
      <c r="A260" s="72" t="s">
        <v>100</v>
      </c>
      <c r="B260" s="22"/>
      <c r="C260" s="22">
        <v>1</v>
      </c>
    </row>
    <row r="261" spans="1:3" x14ac:dyDescent="0.25">
      <c r="A261" s="72" t="s">
        <v>137</v>
      </c>
      <c r="B261" s="22"/>
      <c r="C261" s="22">
        <v>0</v>
      </c>
    </row>
    <row r="262" spans="1:3" x14ac:dyDescent="0.25">
      <c r="A262" s="72" t="s">
        <v>102</v>
      </c>
      <c r="B262" s="22"/>
      <c r="C262" s="22">
        <v>1</v>
      </c>
    </row>
    <row r="263" spans="1:3" x14ac:dyDescent="0.25">
      <c r="A263" s="72" t="s">
        <v>116</v>
      </c>
      <c r="B263" s="22"/>
      <c r="C263" s="22">
        <v>3</v>
      </c>
    </row>
    <row r="264" spans="1:3" x14ac:dyDescent="0.25">
      <c r="A264" s="72" t="s">
        <v>69</v>
      </c>
      <c r="B264" s="22"/>
      <c r="C264" s="22">
        <v>1</v>
      </c>
    </row>
    <row r="265" spans="1:3" x14ac:dyDescent="0.25">
      <c r="A265" s="72" t="s">
        <v>70</v>
      </c>
      <c r="B265" s="22"/>
      <c r="C265" s="22">
        <v>0</v>
      </c>
    </row>
    <row r="266" spans="1:3" x14ac:dyDescent="0.25">
      <c r="A266" s="72" t="s">
        <v>71</v>
      </c>
      <c r="B266" s="22"/>
      <c r="C266" s="22">
        <v>0</v>
      </c>
    </row>
    <row r="267" spans="1:3" x14ac:dyDescent="0.25">
      <c r="A267" s="72" t="s">
        <v>75</v>
      </c>
      <c r="B267" s="22"/>
      <c r="C267" s="22">
        <v>1</v>
      </c>
    </row>
    <row r="268" spans="1:3" x14ac:dyDescent="0.25">
      <c r="A268" s="72" t="s">
        <v>130</v>
      </c>
      <c r="B268" s="22"/>
      <c r="C268" s="22">
        <v>11</v>
      </c>
    </row>
    <row r="269" spans="1:3" x14ac:dyDescent="0.25">
      <c r="A269" s="72" t="s">
        <v>76</v>
      </c>
      <c r="B269" s="22"/>
      <c r="C269" s="22">
        <v>6</v>
      </c>
    </row>
    <row r="270" spans="1:3" x14ac:dyDescent="0.25">
      <c r="A270" s="72" t="s">
        <v>79</v>
      </c>
      <c r="B270" s="22"/>
      <c r="C270" s="22">
        <v>0</v>
      </c>
    </row>
    <row r="271" spans="1:3" x14ac:dyDescent="0.25">
      <c r="A271" s="72" t="s">
        <v>111</v>
      </c>
      <c r="B271" s="22"/>
      <c r="C271" s="22">
        <v>19</v>
      </c>
    </row>
    <row r="272" spans="1:3" x14ac:dyDescent="0.25">
      <c r="A272" s="72" t="s">
        <v>80</v>
      </c>
      <c r="B272" s="22"/>
      <c r="C272" s="22">
        <v>0</v>
      </c>
    </row>
    <row r="273" spans="1:3" x14ac:dyDescent="0.25">
      <c r="A273" s="72" t="s">
        <v>117</v>
      </c>
      <c r="B273" s="22"/>
      <c r="C273" s="22">
        <v>0</v>
      </c>
    </row>
    <row r="274" spans="1:3" x14ac:dyDescent="0.25">
      <c r="A274" s="72" t="s">
        <v>82</v>
      </c>
      <c r="B274" s="22"/>
      <c r="C274" s="22">
        <v>0</v>
      </c>
    </row>
    <row r="275" spans="1:3" x14ac:dyDescent="0.25">
      <c r="A275" s="72" t="s">
        <v>87</v>
      </c>
      <c r="B275" s="22"/>
      <c r="C275" s="22">
        <v>0</v>
      </c>
    </row>
    <row r="276" spans="1:3" x14ac:dyDescent="0.25">
      <c r="A276" s="72" t="s">
        <v>88</v>
      </c>
      <c r="B276" s="22"/>
      <c r="C276" s="22">
        <v>0</v>
      </c>
    </row>
    <row r="277" spans="1:3" x14ac:dyDescent="0.25">
      <c r="A277" s="72" t="s">
        <v>89</v>
      </c>
      <c r="B277" s="22"/>
      <c r="C277" s="22">
        <v>0</v>
      </c>
    </row>
    <row r="278" spans="1:3" x14ac:dyDescent="0.25">
      <c r="A278" s="72" t="s">
        <v>93</v>
      </c>
      <c r="B278" s="22"/>
      <c r="C278" s="22">
        <v>0</v>
      </c>
    </row>
    <row r="279" spans="1:3" x14ac:dyDescent="0.25">
      <c r="A279" s="72" t="s">
        <v>94</v>
      </c>
      <c r="B279" s="22"/>
      <c r="C279" s="22">
        <v>0</v>
      </c>
    </row>
    <row r="280" spans="1:3" x14ac:dyDescent="0.25">
      <c r="A280" s="72" t="s">
        <v>101</v>
      </c>
      <c r="B280" s="22"/>
      <c r="C280" s="22">
        <v>0</v>
      </c>
    </row>
    <row r="281" spans="1:3" x14ac:dyDescent="0.25">
      <c r="A281" s="21" t="s">
        <v>151</v>
      </c>
      <c r="B281" s="22"/>
      <c r="C281" s="22">
        <v>1336116.0000000002</v>
      </c>
    </row>
    <row r="282" spans="1:3" x14ac:dyDescent="0.25">
      <c r="A282" s="72" t="s">
        <v>120</v>
      </c>
      <c r="B282" s="22"/>
      <c r="C282" s="22">
        <v>133611.6</v>
      </c>
    </row>
    <row r="283" spans="1:3" x14ac:dyDescent="0.25">
      <c r="A283" s="72" t="s">
        <v>78</v>
      </c>
      <c r="B283" s="22"/>
      <c r="C283" s="22">
        <v>0</v>
      </c>
    </row>
    <row r="284" spans="1:3" x14ac:dyDescent="0.25">
      <c r="A284" s="72" t="s">
        <v>81</v>
      </c>
      <c r="B284" s="22"/>
      <c r="C284" s="22">
        <v>133611.6</v>
      </c>
    </row>
    <row r="285" spans="1:3" x14ac:dyDescent="0.25">
      <c r="A285" s="72" t="s">
        <v>112</v>
      </c>
      <c r="B285" s="22"/>
      <c r="C285" s="22">
        <v>133611.6</v>
      </c>
    </row>
    <row r="286" spans="1:3" x14ac:dyDescent="0.25">
      <c r="A286" s="72" t="s">
        <v>83</v>
      </c>
      <c r="B286" s="22"/>
      <c r="C286" s="22">
        <v>133611.6</v>
      </c>
    </row>
    <row r="287" spans="1:3" x14ac:dyDescent="0.25">
      <c r="A287" s="72" t="s">
        <v>131</v>
      </c>
      <c r="B287" s="22"/>
      <c r="C287" s="22">
        <v>133611.6</v>
      </c>
    </row>
    <row r="288" spans="1:3" x14ac:dyDescent="0.25">
      <c r="A288" s="72" t="s">
        <v>113</v>
      </c>
      <c r="B288" s="22"/>
      <c r="C288" s="22">
        <v>133611.6</v>
      </c>
    </row>
    <row r="289" spans="1:3" x14ac:dyDescent="0.25">
      <c r="A289" s="72" t="s">
        <v>115</v>
      </c>
      <c r="B289" s="22"/>
      <c r="C289" s="22">
        <v>133611.6</v>
      </c>
    </row>
    <row r="290" spans="1:3" x14ac:dyDescent="0.25">
      <c r="A290" s="72" t="s">
        <v>136</v>
      </c>
      <c r="B290" s="22"/>
      <c r="C290" s="22">
        <v>133611.6</v>
      </c>
    </row>
    <row r="291" spans="1:3" x14ac:dyDescent="0.25">
      <c r="A291" s="72" t="s">
        <v>128</v>
      </c>
      <c r="B291" s="22"/>
      <c r="C291" s="22">
        <v>133611.6</v>
      </c>
    </row>
    <row r="292" spans="1:3" x14ac:dyDescent="0.25">
      <c r="A292" s="72" t="s">
        <v>127</v>
      </c>
      <c r="B292" s="22"/>
      <c r="C292" s="22">
        <v>133611.6</v>
      </c>
    </row>
    <row r="293" spans="1:3" x14ac:dyDescent="0.25">
      <c r="A293" s="72" t="s">
        <v>137</v>
      </c>
      <c r="B293" s="22"/>
      <c r="C293" s="22">
        <v>0</v>
      </c>
    </row>
    <row r="294" spans="1:3" x14ac:dyDescent="0.25">
      <c r="A294" s="21" t="s">
        <v>141</v>
      </c>
      <c r="B294" s="22"/>
      <c r="C294" s="22">
        <v>370000</v>
      </c>
    </row>
    <row r="295" spans="1:3" x14ac:dyDescent="0.25">
      <c r="A295" s="72" t="s">
        <v>120</v>
      </c>
      <c r="B295" s="22"/>
      <c r="C295" s="22">
        <v>37000</v>
      </c>
    </row>
    <row r="296" spans="1:3" x14ac:dyDescent="0.25">
      <c r="A296" s="72" t="s">
        <v>78</v>
      </c>
      <c r="B296" s="22"/>
      <c r="C296" s="22">
        <v>0</v>
      </c>
    </row>
    <row r="297" spans="1:3" x14ac:dyDescent="0.25">
      <c r="A297" s="72" t="s">
        <v>81</v>
      </c>
      <c r="B297" s="22"/>
      <c r="C297" s="22">
        <v>37000</v>
      </c>
    </row>
    <row r="298" spans="1:3" x14ac:dyDescent="0.25">
      <c r="A298" s="72" t="s">
        <v>112</v>
      </c>
      <c r="B298" s="22"/>
      <c r="C298" s="22">
        <v>37000</v>
      </c>
    </row>
    <row r="299" spans="1:3" x14ac:dyDescent="0.25">
      <c r="A299" s="72" t="s">
        <v>83</v>
      </c>
      <c r="B299" s="22"/>
      <c r="C299" s="22">
        <v>37000</v>
      </c>
    </row>
    <row r="300" spans="1:3" x14ac:dyDescent="0.25">
      <c r="A300" s="72" t="s">
        <v>131</v>
      </c>
      <c r="B300" s="22"/>
      <c r="C300" s="22">
        <v>37000</v>
      </c>
    </row>
    <row r="301" spans="1:3" x14ac:dyDescent="0.25">
      <c r="A301" s="72" t="s">
        <v>113</v>
      </c>
      <c r="B301" s="22"/>
      <c r="C301" s="22">
        <v>37000</v>
      </c>
    </row>
    <row r="302" spans="1:3" x14ac:dyDescent="0.25">
      <c r="A302" s="72" t="s">
        <v>115</v>
      </c>
      <c r="B302" s="22"/>
      <c r="C302" s="22">
        <v>37000</v>
      </c>
    </row>
    <row r="303" spans="1:3" x14ac:dyDescent="0.25">
      <c r="A303" s="72" t="s">
        <v>136</v>
      </c>
      <c r="B303" s="22"/>
      <c r="C303" s="22">
        <v>37000</v>
      </c>
    </row>
    <row r="304" spans="1:3" x14ac:dyDescent="0.25">
      <c r="A304" s="72" t="s">
        <v>128</v>
      </c>
      <c r="B304" s="22"/>
      <c r="C304" s="22">
        <v>37000</v>
      </c>
    </row>
    <row r="305" spans="1:3" x14ac:dyDescent="0.25">
      <c r="A305" s="72" t="s">
        <v>127</v>
      </c>
      <c r="B305" s="22"/>
      <c r="C305" s="22">
        <v>37000</v>
      </c>
    </row>
    <row r="306" spans="1:3" x14ac:dyDescent="0.25">
      <c r="A306" s="21" t="s">
        <v>150</v>
      </c>
      <c r="B306" s="22"/>
      <c r="C306" s="22">
        <v>204840</v>
      </c>
    </row>
    <row r="307" spans="1:3" x14ac:dyDescent="0.25">
      <c r="A307" s="72" t="s">
        <v>120</v>
      </c>
      <c r="B307" s="22"/>
      <c r="C307" s="22">
        <v>13656</v>
      </c>
    </row>
    <row r="308" spans="1:3" x14ac:dyDescent="0.25">
      <c r="A308" s="72" t="s">
        <v>129</v>
      </c>
      <c r="B308" s="22"/>
      <c r="C308" s="22">
        <v>13656</v>
      </c>
    </row>
    <row r="309" spans="1:3" x14ac:dyDescent="0.25">
      <c r="A309" s="72" t="s">
        <v>77</v>
      </c>
      <c r="B309" s="22"/>
      <c r="C309" s="22">
        <v>13656</v>
      </c>
    </row>
    <row r="310" spans="1:3" x14ac:dyDescent="0.25">
      <c r="A310" s="72" t="s">
        <v>78</v>
      </c>
      <c r="B310" s="22"/>
      <c r="C310" s="22">
        <v>0</v>
      </c>
    </row>
    <row r="311" spans="1:3" x14ac:dyDescent="0.25">
      <c r="A311" s="72" t="s">
        <v>81</v>
      </c>
      <c r="B311" s="22"/>
      <c r="C311" s="22">
        <v>13656</v>
      </c>
    </row>
    <row r="312" spans="1:3" x14ac:dyDescent="0.25">
      <c r="A312" s="72" t="s">
        <v>112</v>
      </c>
      <c r="B312" s="22"/>
      <c r="C312" s="22">
        <v>13656</v>
      </c>
    </row>
    <row r="313" spans="1:3" x14ac:dyDescent="0.25">
      <c r="A313" s="72" t="s">
        <v>83</v>
      </c>
      <c r="B313" s="22"/>
      <c r="C313" s="22">
        <v>13656</v>
      </c>
    </row>
    <row r="314" spans="1:3" x14ac:dyDescent="0.25">
      <c r="A314" s="72" t="s">
        <v>131</v>
      </c>
      <c r="B314" s="22"/>
      <c r="C314" s="22">
        <v>13656</v>
      </c>
    </row>
    <row r="315" spans="1:3" x14ac:dyDescent="0.25">
      <c r="A315" s="72" t="s">
        <v>113</v>
      </c>
      <c r="B315" s="22"/>
      <c r="C315" s="22">
        <v>13656</v>
      </c>
    </row>
    <row r="316" spans="1:3" x14ac:dyDescent="0.25">
      <c r="A316" s="72" t="s">
        <v>122</v>
      </c>
      <c r="B316" s="22"/>
      <c r="C316" s="22">
        <v>13656</v>
      </c>
    </row>
    <row r="317" spans="1:3" x14ac:dyDescent="0.25">
      <c r="A317" s="72" t="s">
        <v>90</v>
      </c>
      <c r="B317" s="22"/>
      <c r="C317" s="22">
        <v>13656</v>
      </c>
    </row>
    <row r="318" spans="1:3" x14ac:dyDescent="0.25">
      <c r="A318" s="72" t="s">
        <v>133</v>
      </c>
      <c r="B318" s="22"/>
      <c r="C318" s="22">
        <v>13656</v>
      </c>
    </row>
    <row r="319" spans="1:3" x14ac:dyDescent="0.25">
      <c r="A319" s="72" t="s">
        <v>115</v>
      </c>
      <c r="B319" s="22"/>
      <c r="C319" s="22">
        <v>13656</v>
      </c>
    </row>
    <row r="320" spans="1:3" x14ac:dyDescent="0.25">
      <c r="A320" s="72" t="s">
        <v>136</v>
      </c>
      <c r="B320" s="22"/>
      <c r="C320" s="22">
        <v>13656</v>
      </c>
    </row>
    <row r="321" spans="1:3" x14ac:dyDescent="0.25">
      <c r="A321" s="72" t="s">
        <v>128</v>
      </c>
      <c r="B321" s="22"/>
      <c r="C321" s="22">
        <v>13656</v>
      </c>
    </row>
    <row r="322" spans="1:3" x14ac:dyDescent="0.25">
      <c r="A322" s="72" t="s">
        <v>127</v>
      </c>
      <c r="B322" s="22"/>
      <c r="C322" s="22">
        <v>13656</v>
      </c>
    </row>
    <row r="323" spans="1:3" x14ac:dyDescent="0.25">
      <c r="A323" s="19" t="s">
        <v>413</v>
      </c>
      <c r="B323" s="22"/>
      <c r="C323" s="22">
        <v>1311305.0550000002</v>
      </c>
    </row>
    <row r="324" spans="1:3" x14ac:dyDescent="0.25">
      <c r="A324" s="21" t="s">
        <v>68</v>
      </c>
      <c r="B324" s="22"/>
      <c r="C324" s="22">
        <v>1311209.0550000002</v>
      </c>
    </row>
    <row r="325" spans="1:3" x14ac:dyDescent="0.25">
      <c r="A325" s="72" t="s">
        <v>134</v>
      </c>
      <c r="B325" s="22"/>
      <c r="C325" s="22">
        <v>645692.58000000007</v>
      </c>
    </row>
    <row r="326" spans="1:3" x14ac:dyDescent="0.25">
      <c r="A326" s="72" t="s">
        <v>135</v>
      </c>
      <c r="B326" s="22"/>
      <c r="C326" s="22">
        <v>665516.47499999998</v>
      </c>
    </row>
    <row r="327" spans="1:3" x14ac:dyDescent="0.25">
      <c r="A327" s="21" t="s">
        <v>106</v>
      </c>
      <c r="B327" s="22"/>
      <c r="C327" s="22">
        <v>96</v>
      </c>
    </row>
    <row r="328" spans="1:3" x14ac:dyDescent="0.25">
      <c r="A328" s="72" t="s">
        <v>134</v>
      </c>
      <c r="B328" s="22"/>
      <c r="C328" s="22">
        <v>47</v>
      </c>
    </row>
    <row r="329" spans="1:3" x14ac:dyDescent="0.25">
      <c r="A329" s="72" t="s">
        <v>135</v>
      </c>
      <c r="B329" s="22"/>
      <c r="C329" s="22">
        <v>49</v>
      </c>
    </row>
    <row r="330" spans="1:3" x14ac:dyDescent="0.25">
      <c r="A330" s="19" t="s">
        <v>403</v>
      </c>
      <c r="B330" s="22">
        <v>3170880.55</v>
      </c>
      <c r="C330" s="22">
        <v>57634911.5440979</v>
      </c>
    </row>
  </sheetData>
  <pageMargins left="0.7" right="0.7" top="0.75" bottom="0.75" header="0.3" footer="0.3"/>
  <pageSetup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9AE4-2EF9-40FB-89DC-4CDD152C3700}">
  <dimension ref="A1:F116"/>
  <sheetViews>
    <sheetView workbookViewId="0">
      <selection activeCell="C13" sqref="C13"/>
    </sheetView>
  </sheetViews>
  <sheetFormatPr defaultRowHeight="15" x14ac:dyDescent="0.25"/>
  <cols>
    <col min="1" max="1" width="43.28515625" bestFit="1" customWidth="1"/>
    <col min="2" max="2" width="14.28515625" bestFit="1" customWidth="1"/>
    <col min="3" max="3" width="17.5703125" bestFit="1" customWidth="1"/>
    <col min="5" max="5" width="11.140625" bestFit="1" customWidth="1"/>
    <col min="6" max="6" width="16.28515625" bestFit="1" customWidth="1"/>
  </cols>
  <sheetData>
    <row r="1" spans="1:6" x14ac:dyDescent="0.25">
      <c r="E1" s="49" t="s">
        <v>414</v>
      </c>
      <c r="F1" s="23">
        <f>GETPIVOTDATA("Sum of COST",$A$3)+GETPIVOTDATA("Sum of ESTIMATES",$A$3)</f>
        <v>60805792.094097838</v>
      </c>
    </row>
    <row r="2" spans="1:6" x14ac:dyDescent="0.25">
      <c r="E2" s="1" t="s">
        <v>415</v>
      </c>
      <c r="F2" s="3">
        <f>GETPIVOTDATA("Sum of COST",$A$3,"NRR","Pt I")+GETPIVOTDATA("Sum of ESTIMATES",$A$3,"NRR","Pt I")</f>
        <v>22182799.337597828</v>
      </c>
    </row>
    <row r="3" spans="1:6" x14ac:dyDescent="0.25">
      <c r="A3" s="18" t="s">
        <v>400</v>
      </c>
      <c r="B3" t="s">
        <v>401</v>
      </c>
      <c r="C3" t="s">
        <v>402</v>
      </c>
      <c r="E3" s="1" t="s">
        <v>416</v>
      </c>
      <c r="F3" s="3">
        <f>GETPIVOTDATA("Sum of COST",$A$3,"NRR","Pt II")+GETPIVOTDATA("Sum of ESTIMATES",$A$3,"NRR","Pt II")</f>
        <v>33768404.9375</v>
      </c>
    </row>
    <row r="4" spans="1:6" x14ac:dyDescent="0.25">
      <c r="A4" s="19" t="s">
        <v>417</v>
      </c>
      <c r="B4" s="22">
        <v>3170880.55</v>
      </c>
      <c r="C4" s="22">
        <v>19011918.787597828</v>
      </c>
      <c r="E4" s="1" t="s">
        <v>418</v>
      </c>
      <c r="F4" s="3">
        <f>GETPIVOTDATA("Sum of COST",$A$3,"NRR","Pt III")+GETPIVOTDATA("Sum of ESTIMATES",$A$3,"NRR","Pt III")</f>
        <v>4824984.4449999994</v>
      </c>
    </row>
    <row r="5" spans="1:6" x14ac:dyDescent="0.25">
      <c r="A5" s="21" t="s">
        <v>118</v>
      </c>
      <c r="B5" s="22"/>
      <c r="C5" s="22">
        <v>216023.73849999998</v>
      </c>
    </row>
    <row r="6" spans="1:6" x14ac:dyDescent="0.25">
      <c r="A6" s="21" t="s">
        <v>57</v>
      </c>
      <c r="B6" s="22"/>
      <c r="C6" s="22">
        <v>7400.8434999999999</v>
      </c>
    </row>
    <row r="7" spans="1:6" x14ac:dyDescent="0.25">
      <c r="A7" s="21" t="s">
        <v>58</v>
      </c>
      <c r="B7" s="22"/>
      <c r="C7" s="22">
        <v>125814.3395</v>
      </c>
    </row>
    <row r="8" spans="1:6" x14ac:dyDescent="0.25">
      <c r="A8" s="21" t="s">
        <v>48</v>
      </c>
      <c r="B8" s="22">
        <v>607266.5199999999</v>
      </c>
      <c r="C8" s="22"/>
    </row>
    <row r="9" spans="1:6" x14ac:dyDescent="0.25">
      <c r="A9" s="21" t="s">
        <v>142</v>
      </c>
      <c r="B9" s="22"/>
      <c r="C9" s="22">
        <v>37004.217499999999</v>
      </c>
    </row>
    <row r="10" spans="1:6" x14ac:dyDescent="0.25">
      <c r="A10" s="21" t="s">
        <v>59</v>
      </c>
      <c r="B10" s="22"/>
      <c r="C10" s="22">
        <v>14801.687</v>
      </c>
    </row>
    <row r="11" spans="1:6" x14ac:dyDescent="0.25">
      <c r="A11" s="21" t="s">
        <v>26</v>
      </c>
      <c r="B11" s="22">
        <v>44243.94</v>
      </c>
      <c r="C11" s="22">
        <v>8</v>
      </c>
    </row>
    <row r="12" spans="1:6" x14ac:dyDescent="0.25">
      <c r="A12" s="21" t="s">
        <v>31</v>
      </c>
      <c r="B12" s="22">
        <v>44405.061000000002</v>
      </c>
      <c r="C12" s="22">
        <v>6</v>
      </c>
    </row>
    <row r="13" spans="1:6" x14ac:dyDescent="0.25">
      <c r="A13" s="21" t="s">
        <v>60</v>
      </c>
      <c r="B13" s="22"/>
      <c r="C13" s="22">
        <v>22202.530500000001</v>
      </c>
    </row>
    <row r="14" spans="1:6" x14ac:dyDescent="0.25">
      <c r="A14" s="21" t="s">
        <v>143</v>
      </c>
      <c r="B14" s="22"/>
      <c r="C14" s="22">
        <v>29603.374</v>
      </c>
    </row>
    <row r="15" spans="1:6" x14ac:dyDescent="0.25">
      <c r="A15" s="21" t="s">
        <v>32</v>
      </c>
      <c r="B15" s="22">
        <v>59206.748</v>
      </c>
      <c r="C15" s="22"/>
    </row>
    <row r="16" spans="1:6" x14ac:dyDescent="0.25">
      <c r="A16" s="21" t="s">
        <v>34</v>
      </c>
      <c r="B16" s="22">
        <v>66607.591499999995</v>
      </c>
      <c r="C16" s="22"/>
    </row>
    <row r="17" spans="1:3" x14ac:dyDescent="0.25">
      <c r="A17" s="21" t="s">
        <v>144</v>
      </c>
      <c r="B17" s="22"/>
      <c r="C17" s="22">
        <v>22202.530500000001</v>
      </c>
    </row>
    <row r="18" spans="1:3" x14ac:dyDescent="0.25">
      <c r="A18" s="21" t="s">
        <v>145</v>
      </c>
      <c r="B18" s="22"/>
      <c r="C18" s="22">
        <v>7400.8434999999999</v>
      </c>
    </row>
    <row r="19" spans="1:3" x14ac:dyDescent="0.25">
      <c r="A19" s="21" t="s">
        <v>121</v>
      </c>
      <c r="B19" s="22"/>
      <c r="C19" s="22">
        <v>223426.58199999999</v>
      </c>
    </row>
    <row r="20" spans="1:3" x14ac:dyDescent="0.25">
      <c r="A20" s="21" t="s">
        <v>61</v>
      </c>
      <c r="B20" s="22"/>
      <c r="C20" s="22">
        <v>29603.374</v>
      </c>
    </row>
    <row r="21" spans="1:3" x14ac:dyDescent="0.25">
      <c r="A21" s="21" t="s">
        <v>139</v>
      </c>
      <c r="B21" s="22"/>
      <c r="C21" s="22">
        <v>366616.65650540811</v>
      </c>
    </row>
    <row r="22" spans="1:3" x14ac:dyDescent="0.25">
      <c r="A22" s="21" t="s">
        <v>35</v>
      </c>
      <c r="B22" s="22">
        <v>51805.904499999997</v>
      </c>
      <c r="C22" s="22"/>
    </row>
    <row r="23" spans="1:3" x14ac:dyDescent="0.25">
      <c r="A23" s="21" t="s">
        <v>36</v>
      </c>
      <c r="B23" s="22">
        <v>56519.89</v>
      </c>
      <c r="C23" s="22">
        <v>3636788.9486071779</v>
      </c>
    </row>
    <row r="24" spans="1:3" x14ac:dyDescent="0.25">
      <c r="A24" s="21" t="s">
        <v>103</v>
      </c>
      <c r="B24" s="22"/>
      <c r="C24" s="22">
        <v>256091.65616175026</v>
      </c>
    </row>
    <row r="25" spans="1:3" x14ac:dyDescent="0.25">
      <c r="A25" s="21" t="s">
        <v>37</v>
      </c>
      <c r="B25" s="22">
        <v>51805.904499999997</v>
      </c>
      <c r="C25" s="22">
        <v>1515925.1056017699</v>
      </c>
    </row>
    <row r="26" spans="1:3" x14ac:dyDescent="0.25">
      <c r="A26" s="21" t="s">
        <v>62</v>
      </c>
      <c r="B26" s="22"/>
      <c r="C26" s="22">
        <v>7401.8434999999999</v>
      </c>
    </row>
    <row r="27" spans="1:3" x14ac:dyDescent="0.25">
      <c r="A27" s="21" t="s">
        <v>63</v>
      </c>
      <c r="B27" s="22"/>
      <c r="C27" s="22">
        <v>7400.8434999999999</v>
      </c>
    </row>
    <row r="28" spans="1:3" x14ac:dyDescent="0.25">
      <c r="A28" s="21" t="s">
        <v>64</v>
      </c>
      <c r="B28" s="22"/>
      <c r="C28" s="22">
        <v>22202.530500000001</v>
      </c>
    </row>
    <row r="29" spans="1:3" x14ac:dyDescent="0.25">
      <c r="A29" s="21" t="s">
        <v>38</v>
      </c>
      <c r="B29" s="22">
        <v>518059.04499999998</v>
      </c>
      <c r="C29" s="22">
        <v>4427364.7257286133</v>
      </c>
    </row>
    <row r="30" spans="1:3" x14ac:dyDescent="0.25">
      <c r="A30" s="21" t="s">
        <v>39</v>
      </c>
      <c r="B30" s="22">
        <v>59206.748</v>
      </c>
      <c r="C30" s="22">
        <v>0</v>
      </c>
    </row>
    <row r="31" spans="1:3" x14ac:dyDescent="0.25">
      <c r="A31" s="21" t="s">
        <v>50</v>
      </c>
      <c r="B31" s="22">
        <v>534717.81000000006</v>
      </c>
      <c r="C31" s="22"/>
    </row>
    <row r="32" spans="1:3" x14ac:dyDescent="0.25">
      <c r="A32" s="21" t="s">
        <v>40</v>
      </c>
      <c r="B32" s="22">
        <v>66607.591499999995</v>
      </c>
      <c r="C32" s="22">
        <v>37332.239999999998</v>
      </c>
    </row>
    <row r="33" spans="1:3" x14ac:dyDescent="0.25">
      <c r="A33" s="21" t="s">
        <v>140</v>
      </c>
      <c r="B33" s="22"/>
      <c r="C33" s="22">
        <v>1366276.7479999999</v>
      </c>
    </row>
    <row r="34" spans="1:3" x14ac:dyDescent="0.25">
      <c r="A34" s="21" t="s">
        <v>147</v>
      </c>
      <c r="B34" s="22"/>
      <c r="C34" s="22">
        <v>14801.687</v>
      </c>
    </row>
    <row r="35" spans="1:3" x14ac:dyDescent="0.25">
      <c r="A35" s="21" t="s">
        <v>41</v>
      </c>
      <c r="B35" s="22">
        <v>37004.217499999999</v>
      </c>
      <c r="C35" s="22">
        <v>37332.239999999998</v>
      </c>
    </row>
    <row r="36" spans="1:3" x14ac:dyDescent="0.25">
      <c r="A36" s="21" t="s">
        <v>55</v>
      </c>
      <c r="B36" s="22"/>
      <c r="C36" s="22">
        <v>3524631.9363466077</v>
      </c>
    </row>
    <row r="37" spans="1:3" x14ac:dyDescent="0.25">
      <c r="A37" s="21" t="s">
        <v>104</v>
      </c>
      <c r="B37" s="22"/>
      <c r="C37" s="22">
        <v>991710.64164650941</v>
      </c>
    </row>
    <row r="38" spans="1:3" x14ac:dyDescent="0.25">
      <c r="A38" s="21" t="s">
        <v>42</v>
      </c>
      <c r="B38" s="22">
        <v>44405.061000000002</v>
      </c>
      <c r="C38" s="22">
        <v>37332.239999999998</v>
      </c>
    </row>
    <row r="39" spans="1:3" x14ac:dyDescent="0.25">
      <c r="A39" s="21" t="s">
        <v>148</v>
      </c>
      <c r="B39" s="22"/>
      <c r="C39" s="22">
        <v>22202.530500000001</v>
      </c>
    </row>
    <row r="40" spans="1:3" x14ac:dyDescent="0.25">
      <c r="A40" s="21" t="s">
        <v>43</v>
      </c>
      <c r="B40" s="22">
        <v>32007.26</v>
      </c>
      <c r="C40" s="22"/>
    </row>
    <row r="41" spans="1:3" x14ac:dyDescent="0.25">
      <c r="A41" s="21" t="s">
        <v>65</v>
      </c>
      <c r="B41" s="22"/>
      <c r="C41" s="22">
        <v>14803.687</v>
      </c>
    </row>
    <row r="42" spans="1:3" x14ac:dyDescent="0.25">
      <c r="A42" s="21" t="s">
        <v>44</v>
      </c>
      <c r="B42" s="22">
        <v>74933.740000000005</v>
      </c>
      <c r="C42" s="22"/>
    </row>
    <row r="43" spans="1:3" x14ac:dyDescent="0.25">
      <c r="A43" s="21" t="s">
        <v>45</v>
      </c>
      <c r="B43" s="22">
        <v>148620.14000000001</v>
      </c>
      <c r="C43" s="22">
        <v>37332.239999999998</v>
      </c>
    </row>
    <row r="44" spans="1:3" x14ac:dyDescent="0.25">
      <c r="A44" s="21" t="s">
        <v>149</v>
      </c>
      <c r="B44" s="22"/>
      <c r="C44" s="22">
        <v>14801.687</v>
      </c>
    </row>
    <row r="45" spans="1:3" x14ac:dyDescent="0.25">
      <c r="A45" s="21" t="s">
        <v>46</v>
      </c>
      <c r="B45" s="22">
        <v>74933.740000000005</v>
      </c>
      <c r="C45" s="22"/>
    </row>
    <row r="46" spans="1:3" x14ac:dyDescent="0.25">
      <c r="A46" s="21" t="s">
        <v>138</v>
      </c>
      <c r="B46" s="22"/>
      <c r="C46" s="22">
        <v>1</v>
      </c>
    </row>
    <row r="47" spans="1:3" x14ac:dyDescent="0.25">
      <c r="A47" s="21" t="s">
        <v>51</v>
      </c>
      <c r="B47" s="22">
        <v>561519.42000000004</v>
      </c>
      <c r="C47" s="22">
        <v>7400.8434999999999</v>
      </c>
    </row>
    <row r="48" spans="1:3" x14ac:dyDescent="0.25">
      <c r="A48" s="21" t="s">
        <v>56</v>
      </c>
      <c r="B48" s="22"/>
      <c r="C48" s="22">
        <v>37378.239999999998</v>
      </c>
    </row>
    <row r="49" spans="1:3" x14ac:dyDescent="0.25">
      <c r="A49" s="21" t="s">
        <v>108</v>
      </c>
      <c r="B49" s="22"/>
      <c r="C49" s="22">
        <v>8</v>
      </c>
    </row>
    <row r="50" spans="1:3" x14ac:dyDescent="0.25">
      <c r="A50" s="21" t="s">
        <v>66</v>
      </c>
      <c r="B50" s="22"/>
      <c r="C50" s="22">
        <v>118413.496</v>
      </c>
    </row>
    <row r="51" spans="1:3" x14ac:dyDescent="0.25">
      <c r="A51" s="21" t="s">
        <v>47</v>
      </c>
      <c r="B51" s="22">
        <v>37004.217499999999</v>
      </c>
      <c r="C51" s="22">
        <v>1774868.96</v>
      </c>
    </row>
    <row r="52" spans="1:3" x14ac:dyDescent="0.25">
      <c r="A52" s="19" t="s">
        <v>398</v>
      </c>
      <c r="B52" s="22"/>
      <c r="C52" s="22">
        <v>33768404.9375</v>
      </c>
    </row>
    <row r="53" spans="1:3" x14ac:dyDescent="0.25">
      <c r="A53" s="21" t="s">
        <v>120</v>
      </c>
      <c r="B53" s="22"/>
      <c r="C53" s="22">
        <v>2250762.4905000003</v>
      </c>
    </row>
    <row r="54" spans="1:3" x14ac:dyDescent="0.25">
      <c r="A54" s="21" t="s">
        <v>129</v>
      </c>
      <c r="B54" s="22"/>
      <c r="C54" s="22">
        <v>1846146.9509999999</v>
      </c>
    </row>
    <row r="55" spans="1:3" x14ac:dyDescent="0.25">
      <c r="A55" s="21" t="s">
        <v>77</v>
      </c>
      <c r="B55" s="22"/>
      <c r="C55" s="22">
        <v>1785881.3875</v>
      </c>
    </row>
    <row r="56" spans="1:3" x14ac:dyDescent="0.25">
      <c r="A56" s="21" t="s">
        <v>78</v>
      </c>
      <c r="B56" s="22"/>
      <c r="C56" s="22">
        <v>0</v>
      </c>
    </row>
    <row r="57" spans="1:3" x14ac:dyDescent="0.25">
      <c r="A57" s="21" t="s">
        <v>81</v>
      </c>
      <c r="B57" s="22"/>
      <c r="C57" s="22">
        <v>2376914.2915000003</v>
      </c>
    </row>
    <row r="58" spans="1:3" x14ac:dyDescent="0.25">
      <c r="A58" s="21" t="s">
        <v>112</v>
      </c>
      <c r="B58" s="22"/>
      <c r="C58" s="22">
        <v>2386377.3089999999</v>
      </c>
    </row>
    <row r="59" spans="1:3" x14ac:dyDescent="0.25">
      <c r="A59" s="21" t="s">
        <v>83</v>
      </c>
      <c r="B59" s="22"/>
      <c r="C59" s="22">
        <v>2045315.1095</v>
      </c>
    </row>
    <row r="60" spans="1:3" x14ac:dyDescent="0.25">
      <c r="A60" s="21" t="s">
        <v>131</v>
      </c>
      <c r="B60" s="22"/>
      <c r="C60" s="22">
        <v>2046365.925</v>
      </c>
    </row>
    <row r="61" spans="1:3" x14ac:dyDescent="0.25">
      <c r="A61" s="21" t="s">
        <v>113</v>
      </c>
      <c r="B61" s="22"/>
      <c r="C61" s="22">
        <v>2080736.5700000003</v>
      </c>
    </row>
    <row r="62" spans="1:3" x14ac:dyDescent="0.25">
      <c r="A62" s="21" t="s">
        <v>122</v>
      </c>
      <c r="B62" s="22"/>
      <c r="C62" s="22">
        <v>2028337.986</v>
      </c>
    </row>
    <row r="63" spans="1:3" x14ac:dyDescent="0.25">
      <c r="A63" s="21" t="s">
        <v>90</v>
      </c>
      <c r="B63" s="22"/>
      <c r="C63" s="22">
        <v>1380263.7705000001</v>
      </c>
    </row>
    <row r="64" spans="1:3" x14ac:dyDescent="0.25">
      <c r="A64" s="21" t="s">
        <v>133</v>
      </c>
      <c r="B64" s="22"/>
      <c r="C64" s="22">
        <v>2082789.463</v>
      </c>
    </row>
    <row r="65" spans="1:3" x14ac:dyDescent="0.25">
      <c r="A65" s="21" t="s">
        <v>115</v>
      </c>
      <c r="B65" s="22"/>
      <c r="C65" s="22">
        <v>2201331.2215</v>
      </c>
    </row>
    <row r="66" spans="1:3" x14ac:dyDescent="0.25">
      <c r="A66" s="21" t="s">
        <v>136</v>
      </c>
      <c r="B66" s="22"/>
      <c r="C66" s="22">
        <v>2297812.1240000003</v>
      </c>
    </row>
    <row r="67" spans="1:3" x14ac:dyDescent="0.25">
      <c r="A67" s="21" t="s">
        <v>128</v>
      </c>
      <c r="B67" s="22"/>
      <c r="C67" s="22">
        <v>2549258.3230000003</v>
      </c>
    </row>
    <row r="68" spans="1:3" x14ac:dyDescent="0.25">
      <c r="A68" s="21" t="s">
        <v>127</v>
      </c>
      <c r="B68" s="22"/>
      <c r="C68" s="22">
        <v>2767664.6970000002</v>
      </c>
    </row>
    <row r="69" spans="1:3" x14ac:dyDescent="0.25">
      <c r="A69" s="21" t="s">
        <v>67</v>
      </c>
      <c r="B69" s="22"/>
      <c r="C69" s="22">
        <v>7401.8434999999999</v>
      </c>
    </row>
    <row r="70" spans="1:3" x14ac:dyDescent="0.25">
      <c r="A70" s="21" t="s">
        <v>74</v>
      </c>
      <c r="B70" s="22"/>
      <c r="C70" s="22">
        <v>7401.8434999999999</v>
      </c>
    </row>
    <row r="71" spans="1:3" x14ac:dyDescent="0.25">
      <c r="A71" s="21" t="s">
        <v>125</v>
      </c>
      <c r="B71" s="22"/>
      <c r="C71" s="22">
        <v>0</v>
      </c>
    </row>
    <row r="72" spans="1:3" x14ac:dyDescent="0.25">
      <c r="A72" s="21" t="s">
        <v>92</v>
      </c>
      <c r="B72" s="22"/>
      <c r="C72" s="22">
        <v>7401.8434999999999</v>
      </c>
    </row>
    <row r="73" spans="1:3" x14ac:dyDescent="0.25">
      <c r="A73" s="21" t="s">
        <v>107</v>
      </c>
      <c r="B73" s="22"/>
      <c r="C73" s="22">
        <v>445265.40700000001</v>
      </c>
    </row>
    <row r="74" spans="1:3" x14ac:dyDescent="0.25">
      <c r="A74" s="21" t="s">
        <v>95</v>
      </c>
      <c r="B74" s="22"/>
      <c r="C74" s="22">
        <v>296073.74</v>
      </c>
    </row>
    <row r="75" spans="1:3" x14ac:dyDescent="0.25">
      <c r="A75" s="21" t="s">
        <v>126</v>
      </c>
      <c r="B75" s="22"/>
      <c r="C75" s="22">
        <v>437863.56350000005</v>
      </c>
    </row>
    <row r="76" spans="1:3" x14ac:dyDescent="0.25">
      <c r="A76" s="21" t="s">
        <v>100</v>
      </c>
      <c r="B76" s="22"/>
      <c r="C76" s="22">
        <v>7401.8434999999999</v>
      </c>
    </row>
    <row r="77" spans="1:3" x14ac:dyDescent="0.25">
      <c r="A77" s="21" t="s">
        <v>137</v>
      </c>
      <c r="B77" s="22"/>
      <c r="C77" s="22">
        <v>0</v>
      </c>
    </row>
    <row r="78" spans="1:3" x14ac:dyDescent="0.25">
      <c r="A78" s="21" t="s">
        <v>102</v>
      </c>
      <c r="B78" s="22"/>
      <c r="C78" s="22">
        <v>7401.8434999999999</v>
      </c>
    </row>
    <row r="79" spans="1:3" x14ac:dyDescent="0.25">
      <c r="A79" s="21" t="s">
        <v>116</v>
      </c>
      <c r="B79" s="22"/>
      <c r="C79" s="22">
        <v>426235.39050000004</v>
      </c>
    </row>
    <row r="80" spans="1:3" x14ac:dyDescent="0.25">
      <c r="A80" s="19" t="s">
        <v>397</v>
      </c>
      <c r="B80" s="22"/>
      <c r="C80" s="22">
        <v>4824984.4449999994</v>
      </c>
    </row>
    <row r="81" spans="1:3" x14ac:dyDescent="0.25">
      <c r="A81" s="21" t="s">
        <v>69</v>
      </c>
      <c r="B81" s="22"/>
      <c r="C81" s="22">
        <v>1</v>
      </c>
    </row>
    <row r="82" spans="1:3" x14ac:dyDescent="0.25">
      <c r="A82" s="21" t="s">
        <v>70</v>
      </c>
      <c r="B82" s="22"/>
      <c r="C82" s="22">
        <v>0</v>
      </c>
    </row>
    <row r="83" spans="1:3" x14ac:dyDescent="0.25">
      <c r="A83" s="21" t="s">
        <v>71</v>
      </c>
      <c r="B83" s="22"/>
      <c r="C83" s="22">
        <v>0</v>
      </c>
    </row>
    <row r="84" spans="1:3" x14ac:dyDescent="0.25">
      <c r="A84" s="21" t="s">
        <v>119</v>
      </c>
      <c r="B84" s="22"/>
      <c r="C84" s="22">
        <v>417253.79</v>
      </c>
    </row>
    <row r="85" spans="1:3" x14ac:dyDescent="0.25">
      <c r="A85" s="21" t="s">
        <v>72</v>
      </c>
      <c r="B85" s="22"/>
      <c r="C85" s="22">
        <v>7</v>
      </c>
    </row>
    <row r="86" spans="1:3" x14ac:dyDescent="0.25">
      <c r="A86" s="21" t="s">
        <v>73</v>
      </c>
      <c r="B86" s="22"/>
      <c r="C86" s="22">
        <v>586229.8949999999</v>
      </c>
    </row>
    <row r="87" spans="1:3" x14ac:dyDescent="0.25">
      <c r="A87" s="21" t="s">
        <v>124</v>
      </c>
      <c r="B87" s="22"/>
      <c r="C87" s="22">
        <v>215233.86000000002</v>
      </c>
    </row>
    <row r="88" spans="1:3" x14ac:dyDescent="0.25">
      <c r="A88" s="21" t="s">
        <v>105</v>
      </c>
      <c r="B88" s="22"/>
      <c r="C88" s="22">
        <v>208623.89499999999</v>
      </c>
    </row>
    <row r="89" spans="1:3" x14ac:dyDescent="0.25">
      <c r="A89" s="21" t="s">
        <v>75</v>
      </c>
      <c r="B89" s="22"/>
      <c r="C89" s="22">
        <v>1</v>
      </c>
    </row>
    <row r="90" spans="1:3" x14ac:dyDescent="0.25">
      <c r="A90" s="21" t="s">
        <v>130</v>
      </c>
      <c r="B90" s="22"/>
      <c r="C90" s="22">
        <v>665527.47499999998</v>
      </c>
    </row>
    <row r="91" spans="1:3" x14ac:dyDescent="0.25">
      <c r="A91" s="21" t="s">
        <v>76</v>
      </c>
      <c r="B91" s="22"/>
      <c r="C91" s="22">
        <v>6</v>
      </c>
    </row>
    <row r="92" spans="1:3" x14ac:dyDescent="0.25">
      <c r="A92" s="21" t="s">
        <v>79</v>
      </c>
      <c r="B92" s="22"/>
      <c r="C92" s="22">
        <v>0</v>
      </c>
    </row>
    <row r="93" spans="1:3" x14ac:dyDescent="0.25">
      <c r="A93" s="21" t="s">
        <v>111</v>
      </c>
      <c r="B93" s="22"/>
      <c r="C93" s="22">
        <v>404048.86000000004</v>
      </c>
    </row>
    <row r="94" spans="1:3" x14ac:dyDescent="0.25">
      <c r="A94" s="21" t="s">
        <v>80</v>
      </c>
      <c r="B94" s="22"/>
      <c r="C94" s="22">
        <v>0</v>
      </c>
    </row>
    <row r="95" spans="1:3" x14ac:dyDescent="0.25">
      <c r="A95" s="21" t="s">
        <v>117</v>
      </c>
      <c r="B95" s="22"/>
      <c r="C95" s="22">
        <v>0</v>
      </c>
    </row>
    <row r="96" spans="1:3" x14ac:dyDescent="0.25">
      <c r="A96" s="21" t="s">
        <v>82</v>
      </c>
      <c r="B96" s="22"/>
      <c r="C96" s="22">
        <v>0</v>
      </c>
    </row>
    <row r="97" spans="1:3" x14ac:dyDescent="0.25">
      <c r="A97" s="21" t="s">
        <v>84</v>
      </c>
      <c r="B97" s="22"/>
      <c r="C97" s="22">
        <v>35</v>
      </c>
    </row>
    <row r="98" spans="1:3" x14ac:dyDescent="0.25">
      <c r="A98" s="21" t="s">
        <v>87</v>
      </c>
      <c r="B98" s="22"/>
      <c r="C98" s="22">
        <v>0</v>
      </c>
    </row>
    <row r="99" spans="1:3" x14ac:dyDescent="0.25">
      <c r="A99" s="21" t="s">
        <v>88</v>
      </c>
      <c r="B99" s="22"/>
      <c r="C99" s="22">
        <v>0</v>
      </c>
    </row>
    <row r="100" spans="1:3" x14ac:dyDescent="0.25">
      <c r="A100" s="21" t="s">
        <v>89</v>
      </c>
      <c r="B100" s="22"/>
      <c r="C100" s="22">
        <v>0</v>
      </c>
    </row>
    <row r="101" spans="1:3" x14ac:dyDescent="0.25">
      <c r="A101" s="21" t="s">
        <v>114</v>
      </c>
      <c r="B101" s="22"/>
      <c r="C101" s="22">
        <v>404047.86000000004</v>
      </c>
    </row>
    <row r="102" spans="1:3" x14ac:dyDescent="0.25">
      <c r="A102" s="21" t="s">
        <v>91</v>
      </c>
      <c r="B102" s="22"/>
      <c r="C102" s="22">
        <v>195410.965</v>
      </c>
    </row>
    <row r="103" spans="1:3" x14ac:dyDescent="0.25">
      <c r="A103" s="21" t="s">
        <v>93</v>
      </c>
      <c r="B103" s="22"/>
      <c r="C103" s="22">
        <v>0</v>
      </c>
    </row>
    <row r="104" spans="1:3" x14ac:dyDescent="0.25">
      <c r="A104" s="21" t="s">
        <v>132</v>
      </c>
      <c r="B104" s="22"/>
      <c r="C104" s="22">
        <v>0</v>
      </c>
    </row>
    <row r="105" spans="1:3" x14ac:dyDescent="0.25">
      <c r="A105" s="21" t="s">
        <v>94</v>
      </c>
      <c r="B105" s="22"/>
      <c r="C105" s="22">
        <v>0</v>
      </c>
    </row>
    <row r="106" spans="1:3" x14ac:dyDescent="0.25">
      <c r="A106" s="21" t="s">
        <v>134</v>
      </c>
      <c r="B106" s="22"/>
      <c r="C106" s="22">
        <v>645739.58000000007</v>
      </c>
    </row>
    <row r="107" spans="1:3" x14ac:dyDescent="0.25">
      <c r="A107" s="21" t="s">
        <v>135</v>
      </c>
      <c r="B107" s="22"/>
      <c r="C107" s="22">
        <v>665565.47499999998</v>
      </c>
    </row>
    <row r="108" spans="1:3" x14ac:dyDescent="0.25">
      <c r="A108" s="21" t="s">
        <v>123</v>
      </c>
      <c r="B108" s="22"/>
      <c r="C108" s="22">
        <v>417251.79</v>
      </c>
    </row>
    <row r="109" spans="1:3" x14ac:dyDescent="0.25">
      <c r="A109" s="21" t="s">
        <v>96</v>
      </c>
      <c r="B109" s="22"/>
      <c r="C109" s="22">
        <v>0</v>
      </c>
    </row>
    <row r="110" spans="1:3" x14ac:dyDescent="0.25">
      <c r="A110" s="21" t="s">
        <v>97</v>
      </c>
      <c r="B110" s="22"/>
      <c r="C110" s="22">
        <v>0</v>
      </c>
    </row>
    <row r="111" spans="1:3" x14ac:dyDescent="0.25">
      <c r="A111" s="21" t="s">
        <v>98</v>
      </c>
      <c r="B111" s="22"/>
      <c r="C111" s="22">
        <v>1</v>
      </c>
    </row>
    <row r="112" spans="1:3" x14ac:dyDescent="0.25">
      <c r="A112" s="21" t="s">
        <v>99</v>
      </c>
      <c r="B112" s="22"/>
      <c r="C112" s="22">
        <v>0</v>
      </c>
    </row>
    <row r="113" spans="1:3" x14ac:dyDescent="0.25">
      <c r="A113" s="21" t="s">
        <v>101</v>
      </c>
      <c r="B113" s="22"/>
      <c r="C113" s="22">
        <v>0</v>
      </c>
    </row>
    <row r="114" spans="1:3" x14ac:dyDescent="0.25">
      <c r="A114" s="19">
        <v>0</v>
      </c>
      <c r="B114" s="22"/>
      <c r="C114" s="22">
        <v>29603.374</v>
      </c>
    </row>
    <row r="115" spans="1:3" x14ac:dyDescent="0.25">
      <c r="A115" s="21" t="s">
        <v>146</v>
      </c>
      <c r="B115" s="22"/>
      <c r="C115" s="22">
        <v>29603.374</v>
      </c>
    </row>
    <row r="116" spans="1:3" x14ac:dyDescent="0.25">
      <c r="A116" s="19" t="s">
        <v>403</v>
      </c>
      <c r="B116" s="22">
        <v>3170880.55</v>
      </c>
      <c r="C116" s="22">
        <v>57634911.544097841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0548-4B7D-44BE-8564-5FBD53B4B27B}">
  <dimension ref="A1:P324"/>
  <sheetViews>
    <sheetView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5" x14ac:dyDescent="0.25"/>
  <cols>
    <col min="1" max="1" width="57" bestFit="1" customWidth="1"/>
    <col min="2" max="2" width="14.7109375" bestFit="1" customWidth="1"/>
    <col min="3" max="3" width="18.85546875" bestFit="1" customWidth="1"/>
    <col min="4" max="4" width="28.85546875" bestFit="1" customWidth="1"/>
    <col min="5" max="5" width="7" bestFit="1" customWidth="1"/>
    <col min="6" max="6" width="15" bestFit="1" customWidth="1"/>
    <col min="7" max="7" width="15" customWidth="1"/>
    <col min="8" max="8" width="12.42578125" bestFit="1" customWidth="1"/>
    <col min="9" max="9" width="19.7109375" bestFit="1" customWidth="1"/>
    <col min="10" max="10" width="16" bestFit="1" customWidth="1"/>
    <col min="11" max="11" width="14" bestFit="1" customWidth="1"/>
    <col min="12" max="12" width="23.42578125" bestFit="1" customWidth="1"/>
    <col min="13" max="13" width="8.5703125" bestFit="1" customWidth="1"/>
    <col min="14" max="14" width="11" bestFit="1" customWidth="1"/>
    <col min="15" max="15" width="19.140625" bestFit="1" customWidth="1"/>
    <col min="16" max="16" width="16.28515625" style="5" bestFit="1" customWidth="1"/>
  </cols>
  <sheetData>
    <row r="1" spans="1:16" x14ac:dyDescent="0.25">
      <c r="L1" t="s">
        <v>419</v>
      </c>
      <c r="N1">
        <v>2020</v>
      </c>
      <c r="O1" s="5"/>
      <c r="P1" s="22">
        <f ca="1">SUM(IntComp[Estimate])</f>
        <v>146201988.08250007</v>
      </c>
    </row>
    <row r="2" spans="1:16" x14ac:dyDescent="0.25">
      <c r="L2" s="78">
        <v>3.5000000000000003E-2</v>
      </c>
      <c r="O2" s="5"/>
      <c r="P2"/>
    </row>
    <row r="3" spans="1:16" s="60" customFormat="1" x14ac:dyDescent="0.25">
      <c r="A3" s="61" t="s">
        <v>7</v>
      </c>
      <c r="B3" s="62" t="s">
        <v>5</v>
      </c>
      <c r="C3" s="62" t="s">
        <v>11</v>
      </c>
      <c r="D3" s="62" t="s">
        <v>420</v>
      </c>
      <c r="E3" s="62" t="s">
        <v>8</v>
      </c>
      <c r="F3" s="62" t="s">
        <v>9</v>
      </c>
      <c r="G3" s="62" t="s">
        <v>389</v>
      </c>
      <c r="H3" s="62" t="s">
        <v>10</v>
      </c>
      <c r="I3" s="62" t="s">
        <v>390</v>
      </c>
      <c r="J3" s="62" t="s">
        <v>421</v>
      </c>
      <c r="K3" s="62" t="s">
        <v>422</v>
      </c>
      <c r="L3" s="62" t="s">
        <v>392</v>
      </c>
      <c r="M3" s="62" t="s">
        <v>3</v>
      </c>
      <c r="N3" s="62" t="s">
        <v>393</v>
      </c>
      <c r="O3" s="80" t="s">
        <v>376</v>
      </c>
    </row>
    <row r="4" spans="1:16" x14ac:dyDescent="0.25">
      <c r="A4" s="13" t="s">
        <v>75</v>
      </c>
      <c r="B4" s="1" t="str">
        <f>VLOOKUP(A4,Data[],2,FALSE)</f>
        <v>MANHATTAN</v>
      </c>
      <c r="C4" s="9" t="s">
        <v>106</v>
      </c>
      <c r="D4" s="9">
        <f>VLOOKUP(IntComp[[#This Row],[DEVELOPMENT]],Data[],31,FALSE)</f>
        <v>1</v>
      </c>
      <c r="E4" s="9" t="str">
        <f>VLOOKUP(IntComp[[#This Row],[DEVELOPMENT]],Data[],8,FALSE)</f>
        <v>Zone 3</v>
      </c>
      <c r="F4" s="9" t="str">
        <f>VLOOKUP(IntComp[[#This Row],[DEVELOPMENT]],Data[],9,FALSE)</f>
        <v>$</v>
      </c>
      <c r="G4" s="9">
        <v>1</v>
      </c>
      <c r="H4" s="9" t="str">
        <f>IFERROR(VLOOKUP(IntComp[[#This Row],[DEVELOPMENT]],Data[],4,FALSE),"")</f>
        <v/>
      </c>
      <c r="I4" s="9" t="str">
        <f>IF(IntComp[[#This Row],[RAD/PACT]]="","",IF(IntComp[[#This Row],[RAD/PACT]]&lt;=2025,"Yes",""))</f>
        <v/>
      </c>
      <c r="J4" s="1" t="str">
        <f ca="1">IF(VLOOKUP(IntComp[[#This Row],[DEVELOPMENT]],Data[],10,FALSE)=0,"",DATEDIF(VLOOKUP(IntComp[[#This Row],[DEVELOPMENT]],Data[],12,FALSE),TODAY(),"Y"))</f>
        <v/>
      </c>
      <c r="K4" s="1">
        <f>IF(IntComp[[#This Row],[RAD/PACT]]="",VLOOKUP(IntComp[[#This Row],[DEVELOPMENT]],Data[],10,FALSE),IF(IntComp[[#This Row],[RAD/PACT by 2025]]="yes",0,VLOOKUP(IntComp[[#This Row],[DEVELOPMENT]],Data[],10,FALSE)))</f>
        <v>0</v>
      </c>
      <c r="L4" s="63">
        <f ca="1">IF(IntComp[[#This Row],[RAD/PACT by 2025]]="Yes",0,(IntComp[[#This Row],['# Int. Compactors to Replace]]*'Unit Costs'!$B$8)*(1+((IntComp[[#This Row],[est. Year]]-YEAR(TODAY()))*$L$2)))</f>
        <v>73653.394499999995</v>
      </c>
      <c r="M4" s="1">
        <f>SUM(INDEX(IntComp['# to Replace],1):IntComp[[#This Row],['# to Replace]])</f>
        <v>0</v>
      </c>
      <c r="N4" s="1">
        <f>ROUNDDOWN(IntComp[[#This Row],[Count]]/100,0)+$N$1</f>
        <v>2020</v>
      </c>
      <c r="O4" s="81">
        <f t="shared" ref="O4:O67" ca="1" si="0">IF(N4=N3,L4+O3,L4)</f>
        <v>73653.394499999995</v>
      </c>
      <c r="P4"/>
    </row>
    <row r="5" spans="1:16" x14ac:dyDescent="0.25">
      <c r="A5" s="13" t="s">
        <v>290</v>
      </c>
      <c r="B5" s="9" t="str">
        <f>VLOOKUP(A5,Data[],2,FALSE)</f>
        <v>QUEENS</v>
      </c>
      <c r="C5" s="9" t="s">
        <v>106</v>
      </c>
      <c r="D5" s="9">
        <f>VLOOKUP(IntComp[[#This Row],[DEVELOPMENT]],Data[],31,FALSE)</f>
        <v>121</v>
      </c>
      <c r="E5" s="66">
        <f>VLOOKUP(IntComp[[#This Row],[DEVELOPMENT]],Data[],8,FALSE)</f>
        <v>0</v>
      </c>
      <c r="F5" s="66">
        <f>VLOOKUP(IntComp[[#This Row],[DEVELOPMENT]],Data[],9,FALSE)</f>
        <v>0</v>
      </c>
      <c r="G5" s="66">
        <v>1</v>
      </c>
      <c r="H5" s="66">
        <f>IFERROR(VLOOKUP(IntComp[[#This Row],[DEVELOPMENT]],Data[],4,FALSE),"")</f>
        <v>2027</v>
      </c>
      <c r="I5" s="66" t="str">
        <f>IF(IntComp[[#This Row],[RAD/PACT]]="","",IF(IntComp[[#This Row],[RAD/PACT]]&lt;=2025,"Yes",""))</f>
        <v/>
      </c>
      <c r="J5" s="67" t="str">
        <f ca="1">IF(VLOOKUP(IntComp[[#This Row],[DEVELOPMENT]],Data[],10,FALSE)=0,"",DATEDIF(VLOOKUP(IntComp[[#This Row],[DEVELOPMENT]],Data[],12,FALSE),TODAY(),"Y"))</f>
        <v/>
      </c>
      <c r="K5" s="67">
        <f>IF(IntComp[[#This Row],[RAD/PACT]]="",VLOOKUP(IntComp[[#This Row],[DEVELOPMENT]],Data[],10,FALSE),IF(IntComp[[#This Row],[RAD/PACT by 2025]]="yes",0,VLOOKUP(IntComp[[#This Row],[DEVELOPMENT]],Data[],10,FALSE)))</f>
        <v>0</v>
      </c>
      <c r="L5" s="63">
        <f ca="1">IF(IntComp[[#This Row],[RAD/PACT by 2025]]="Yes",0,(IntComp[[#This Row],['# Int. Compactors to Replace]]*'Unit Costs'!$B$8)*(1+((IntComp[[#This Row],[est. Year]]-YEAR(TODAY()))*$L$2)))</f>
        <v>8912060.7344999984</v>
      </c>
      <c r="M5" s="67">
        <f>SUM(INDEX(IntComp['# to Replace],1):IntComp[[#This Row],['# to Replace]])</f>
        <v>0</v>
      </c>
      <c r="N5" s="67">
        <f>ROUNDDOWN(IntComp[[#This Row],[Count]]/100,0)+$N$1</f>
        <v>2020</v>
      </c>
      <c r="O5" s="86">
        <f t="shared" ca="1" si="0"/>
        <v>8985714.1289999988</v>
      </c>
      <c r="P5"/>
    </row>
    <row r="6" spans="1:16" x14ac:dyDescent="0.25">
      <c r="A6" s="13" t="s">
        <v>158</v>
      </c>
      <c r="B6" s="9" t="str">
        <f>VLOOKUP(A6,Data[],2,FALSE)</f>
        <v>BRONX</v>
      </c>
      <c r="C6" s="9" t="s">
        <v>106</v>
      </c>
      <c r="D6" s="9">
        <f>VLOOKUP(IntComp[[#This Row],[DEVELOPMENT]],Data[],31,FALSE)</f>
        <v>1</v>
      </c>
      <c r="E6" s="66">
        <f>VLOOKUP(IntComp[[#This Row],[DEVELOPMENT]],Data[],8,FALSE)</f>
        <v>0</v>
      </c>
      <c r="F6" s="66">
        <f>VLOOKUP(IntComp[[#This Row],[DEVELOPMENT]],Data[],9,FALSE)</f>
        <v>0</v>
      </c>
      <c r="G6" s="66"/>
      <c r="H6" s="66" t="str">
        <f>IFERROR(VLOOKUP(IntComp[[#This Row],[DEVELOPMENT]],Data[],4,FALSE),"")</f>
        <v/>
      </c>
      <c r="I6" s="66" t="str">
        <f>IF(IntComp[[#This Row],[RAD/PACT]]="","",IF(IntComp[[#This Row],[RAD/PACT]]&lt;=2025,"Yes",""))</f>
        <v/>
      </c>
      <c r="J6" s="67" t="str">
        <f ca="1">IF(VLOOKUP(IntComp[[#This Row],[DEVELOPMENT]],Data[],10,FALSE)=0,"",DATEDIF(VLOOKUP(IntComp[[#This Row],[DEVELOPMENT]],Data[],12,FALSE),TODAY(),"Y"))</f>
        <v/>
      </c>
      <c r="K6" s="67">
        <f>IF(IntComp[[#This Row],[RAD/PACT]]="",VLOOKUP(IntComp[[#This Row],[DEVELOPMENT]],Data[],10,FALSE),IF(IntComp[[#This Row],[RAD/PACT by 2025]]="yes",0,VLOOKUP(IntComp[[#This Row],[DEVELOPMENT]],Data[],10,FALSE)))</f>
        <v>0</v>
      </c>
      <c r="L6" s="63">
        <f ca="1">IF(IntComp[[#This Row],[RAD/PACT by 2025]]="Yes",0,(IntComp[[#This Row],['# Int. Compactors to Replace]]*'Unit Costs'!$B$8)*(1+((IntComp[[#This Row],[est. Year]]-YEAR(TODAY()))*$L$2)))</f>
        <v>73653.394499999995</v>
      </c>
      <c r="M6" s="67">
        <f>SUM(INDEX(IntComp['# to Replace],1):IntComp[[#This Row],['# to Replace]])</f>
        <v>0</v>
      </c>
      <c r="N6" s="67">
        <f>ROUNDDOWN(IntComp[[#This Row],[Count]]/100,0)+$N$1</f>
        <v>2020</v>
      </c>
      <c r="O6" s="86">
        <f t="shared" ca="1" si="0"/>
        <v>9059367.5234999992</v>
      </c>
      <c r="P6"/>
    </row>
    <row r="7" spans="1:16" x14ac:dyDescent="0.25">
      <c r="A7" s="13" t="s">
        <v>159</v>
      </c>
      <c r="B7" s="9" t="str">
        <f>VLOOKUP(A7,Data[],2,FALSE)</f>
        <v>BROOKLYN</v>
      </c>
      <c r="C7" s="9" t="s">
        <v>106</v>
      </c>
      <c r="D7" s="9">
        <f>VLOOKUP(IntComp[[#This Row],[DEVELOPMENT]],Data[],31,FALSE)</f>
        <v>2</v>
      </c>
      <c r="E7" s="66">
        <f>VLOOKUP(IntComp[[#This Row],[DEVELOPMENT]],Data[],8,FALSE)</f>
        <v>0</v>
      </c>
      <c r="F7" s="66">
        <f>VLOOKUP(IntComp[[#This Row],[DEVELOPMENT]],Data[],9,FALSE)</f>
        <v>0</v>
      </c>
      <c r="G7" s="66"/>
      <c r="H7" s="66">
        <f>IFERROR(VLOOKUP(IntComp[[#This Row],[DEVELOPMENT]],Data[],4,FALSE),"")</f>
        <v>2021</v>
      </c>
      <c r="I7" s="66" t="str">
        <f>IF(IntComp[[#This Row],[RAD/PACT]]="","",IF(IntComp[[#This Row],[RAD/PACT]]&lt;=2025,"Yes",""))</f>
        <v>Yes</v>
      </c>
      <c r="J7" s="67" t="str">
        <f ca="1">IF(VLOOKUP(IntComp[[#This Row],[DEVELOPMENT]],Data[],10,FALSE)=0,"",DATEDIF(VLOOKUP(IntComp[[#This Row],[DEVELOPMENT]],Data[],12,FALSE),TODAY(),"Y"))</f>
        <v/>
      </c>
      <c r="K7" s="67">
        <f>IF(IntComp[[#This Row],[RAD/PACT]]="",VLOOKUP(IntComp[[#This Row],[DEVELOPMENT]],Data[],10,FALSE),IF(IntComp[[#This Row],[RAD/PACT by 2025]]="yes",0,VLOOKUP(IntComp[[#This Row],[DEVELOPMENT]],Data[],10,FALSE)))</f>
        <v>0</v>
      </c>
      <c r="L7" s="63">
        <f ca="1">IF(IntComp[[#This Row],[RAD/PACT by 2025]]="Yes",0,(IntComp[[#This Row],['# Int. Compactors to Replace]]*'Unit Costs'!$B$8)*(1+((IntComp[[#This Row],[est. Year]]-YEAR(TODAY()))*$L$2)))</f>
        <v>0</v>
      </c>
      <c r="M7" s="67">
        <f>SUM(INDEX(IntComp['# to Replace],1):IntComp[[#This Row],['# to Replace]])</f>
        <v>0</v>
      </c>
      <c r="N7" s="67">
        <f>ROUNDDOWN(IntComp[[#This Row],[Count]]/100,0)+$N$1</f>
        <v>2020</v>
      </c>
      <c r="O7" s="86">
        <f t="shared" ca="1" si="0"/>
        <v>9059367.5234999992</v>
      </c>
      <c r="P7"/>
    </row>
    <row r="8" spans="1:16" x14ac:dyDescent="0.25">
      <c r="A8" s="13" t="s">
        <v>160</v>
      </c>
      <c r="B8" s="9" t="str">
        <f>VLOOKUP(A8,Data[],2,FALSE)</f>
        <v>BRONX</v>
      </c>
      <c r="C8" s="9" t="s">
        <v>106</v>
      </c>
      <c r="D8" s="9">
        <f>VLOOKUP(IntComp[[#This Row],[DEVELOPMENT]],Data[],31,FALSE)</f>
        <v>1</v>
      </c>
      <c r="E8" s="66">
        <f>VLOOKUP(IntComp[[#This Row],[DEVELOPMENT]],Data[],8,FALSE)</f>
        <v>0</v>
      </c>
      <c r="F8" s="66">
        <f>VLOOKUP(IntComp[[#This Row],[DEVELOPMENT]],Data[],9,FALSE)</f>
        <v>0</v>
      </c>
      <c r="G8" s="66"/>
      <c r="H8" s="66">
        <f>IFERROR(VLOOKUP(IntComp[[#This Row],[DEVELOPMENT]],Data[],4,FALSE),"")</f>
        <v>2025</v>
      </c>
      <c r="I8" s="66" t="str">
        <f>IF(IntComp[[#This Row],[RAD/PACT]]="","",IF(IntComp[[#This Row],[RAD/PACT]]&lt;=2025,"Yes",""))</f>
        <v>Yes</v>
      </c>
      <c r="J8" s="67" t="str">
        <f ca="1">IF(VLOOKUP(IntComp[[#This Row],[DEVELOPMENT]],Data[],10,FALSE)=0,"",DATEDIF(VLOOKUP(IntComp[[#This Row],[DEVELOPMENT]],Data[],12,FALSE),TODAY(),"Y"))</f>
        <v/>
      </c>
      <c r="K8" s="67">
        <f>IF(IntComp[[#This Row],[RAD/PACT]]="",VLOOKUP(IntComp[[#This Row],[DEVELOPMENT]],Data[],10,FALSE),IF(IntComp[[#This Row],[RAD/PACT by 2025]]="yes",0,VLOOKUP(IntComp[[#This Row],[DEVELOPMENT]],Data[],10,FALSE)))</f>
        <v>0</v>
      </c>
      <c r="L8" s="63">
        <f ca="1">IF(IntComp[[#This Row],[RAD/PACT by 2025]]="Yes",0,(IntComp[[#This Row],['# Int. Compactors to Replace]]*'Unit Costs'!$B$8)*(1+((IntComp[[#This Row],[est. Year]]-YEAR(TODAY()))*$L$2)))</f>
        <v>0</v>
      </c>
      <c r="M8" s="67">
        <f>SUM(INDEX(IntComp['# to Replace],1):IntComp[[#This Row],['# to Replace]])</f>
        <v>0</v>
      </c>
      <c r="N8" s="67">
        <f>ROUNDDOWN(IntComp[[#This Row],[Count]]/100,0)+$N$1</f>
        <v>2020</v>
      </c>
      <c r="O8" s="86">
        <f t="shared" ca="1" si="0"/>
        <v>9059367.5234999992</v>
      </c>
      <c r="P8"/>
    </row>
    <row r="9" spans="1:16" x14ac:dyDescent="0.25">
      <c r="A9" s="13" t="s">
        <v>67</v>
      </c>
      <c r="B9" s="1" t="str">
        <f>VLOOKUP(A9,Data[],2,FALSE)</f>
        <v>MANHATTAN</v>
      </c>
      <c r="C9" s="9" t="s">
        <v>106</v>
      </c>
      <c r="D9" s="9">
        <f>VLOOKUP(IntComp[[#This Row],[DEVELOPMENT]],Data[],31,FALSE)</f>
        <v>1</v>
      </c>
      <c r="E9" s="9" t="str">
        <f>VLOOKUP(IntComp[[#This Row],[DEVELOPMENT]],Data[],8,FALSE)</f>
        <v>Zone 2</v>
      </c>
      <c r="F9" s="9" t="str">
        <f>VLOOKUP(IntComp[[#This Row],[DEVELOPMENT]],Data[],9,FALSE)</f>
        <v>$</v>
      </c>
      <c r="G9" s="9"/>
      <c r="H9" s="9" t="str">
        <f>IFERROR(VLOOKUP(IntComp[[#This Row],[DEVELOPMENT]],Data[],4,FALSE),"")</f>
        <v/>
      </c>
      <c r="I9" s="9" t="str">
        <f>IF(IntComp[[#This Row],[RAD/PACT]]="","",IF(IntComp[[#This Row],[RAD/PACT]]&lt;=2025,"Yes",""))</f>
        <v/>
      </c>
      <c r="J9" s="1" t="str">
        <f ca="1">IF(VLOOKUP(IntComp[[#This Row],[DEVELOPMENT]],Data[],10,FALSE)=0,"",DATEDIF(VLOOKUP(IntComp[[#This Row],[DEVELOPMENT]],Data[],12,FALSE),TODAY(),"Y"))</f>
        <v/>
      </c>
      <c r="K9" s="1">
        <f>IF(IntComp[[#This Row],[RAD/PACT]]="",VLOOKUP(IntComp[[#This Row],[DEVELOPMENT]],Data[],10,FALSE),IF(IntComp[[#This Row],[RAD/PACT by 2025]]="yes",0,VLOOKUP(IntComp[[#This Row],[DEVELOPMENT]],Data[],10,FALSE)))</f>
        <v>0</v>
      </c>
      <c r="L9" s="63">
        <f ca="1">IF(IntComp[[#This Row],[RAD/PACT by 2025]]="Yes",0,(IntComp[[#This Row],['# Int. Compactors to Replace]]*'Unit Costs'!$B$8)*(1+((IntComp[[#This Row],[est. Year]]-YEAR(TODAY()))*$L$2)))</f>
        <v>73653.394499999995</v>
      </c>
      <c r="M9" s="1">
        <f>SUM(INDEX(IntComp['# to Replace],1):IntComp[[#This Row],['# to Replace]])</f>
        <v>0</v>
      </c>
      <c r="N9" s="1">
        <f>ROUNDDOWN(IntComp[[#This Row],[Count]]/100,0)+$N$1</f>
        <v>2020</v>
      </c>
      <c r="O9" s="81">
        <f t="shared" ca="1" si="0"/>
        <v>9133020.9179999996</v>
      </c>
      <c r="P9"/>
    </row>
    <row r="10" spans="1:16" x14ac:dyDescent="0.25">
      <c r="A10" s="13" t="s">
        <v>161</v>
      </c>
      <c r="B10" s="9" t="str">
        <f>VLOOKUP(A10,Data[],2,FALSE)</f>
        <v>BRONX</v>
      </c>
      <c r="C10" s="9" t="s">
        <v>106</v>
      </c>
      <c r="D10" s="9">
        <f>VLOOKUP(IntComp[[#This Row],[DEVELOPMENT]],Data[],31,FALSE)</f>
        <v>2</v>
      </c>
      <c r="E10" s="66">
        <f>VLOOKUP(IntComp[[#This Row],[DEVELOPMENT]],Data[],8,FALSE)</f>
        <v>0</v>
      </c>
      <c r="F10" s="66">
        <f>VLOOKUP(IntComp[[#This Row],[DEVELOPMENT]],Data[],9,FALSE)</f>
        <v>0</v>
      </c>
      <c r="G10" s="66"/>
      <c r="H10" s="66">
        <f>IFERROR(VLOOKUP(IntComp[[#This Row],[DEVELOPMENT]],Data[],4,FALSE),"")</f>
        <v>2021</v>
      </c>
      <c r="I10" s="66" t="str">
        <f>IF(IntComp[[#This Row],[RAD/PACT]]="","",IF(IntComp[[#This Row],[RAD/PACT]]&lt;=2025,"Yes",""))</f>
        <v>Yes</v>
      </c>
      <c r="J10" s="67" t="str">
        <f ca="1">IF(VLOOKUP(IntComp[[#This Row],[DEVELOPMENT]],Data[],10,FALSE)=0,"",DATEDIF(VLOOKUP(IntComp[[#This Row],[DEVELOPMENT]],Data[],12,FALSE),TODAY(),"Y"))</f>
        <v/>
      </c>
      <c r="K10" s="67">
        <f>IF(IntComp[[#This Row],[RAD/PACT]]="",VLOOKUP(IntComp[[#This Row],[DEVELOPMENT]],Data[],10,FALSE),IF(IntComp[[#This Row],[RAD/PACT by 2025]]="yes",0,VLOOKUP(IntComp[[#This Row],[DEVELOPMENT]],Data[],10,FALSE)))</f>
        <v>0</v>
      </c>
      <c r="L10" s="63">
        <f ca="1">IF(IntComp[[#This Row],[RAD/PACT by 2025]]="Yes",0,(IntComp[[#This Row],['# Int. Compactors to Replace]]*'Unit Costs'!$B$8)*(1+((IntComp[[#This Row],[est. Year]]-YEAR(TODAY()))*$L$2)))</f>
        <v>0</v>
      </c>
      <c r="M10" s="67">
        <f>SUM(INDEX(IntComp['# to Replace],1):IntComp[[#This Row],['# to Replace]])</f>
        <v>0</v>
      </c>
      <c r="N10" s="67">
        <f>ROUNDDOWN(IntComp[[#This Row],[Count]]/100,0)+$N$1</f>
        <v>2020</v>
      </c>
      <c r="O10" s="86">
        <f t="shared" ca="1" si="0"/>
        <v>9133020.9179999996</v>
      </c>
      <c r="P10"/>
    </row>
    <row r="11" spans="1:16" x14ac:dyDescent="0.25">
      <c r="A11" s="13" t="s">
        <v>162</v>
      </c>
      <c r="B11" s="9" t="str">
        <f>VLOOKUP(A11,Data[],2,FALSE)</f>
        <v>MANHATTAN</v>
      </c>
      <c r="C11" s="9" t="s">
        <v>106</v>
      </c>
      <c r="D11" s="9">
        <f>VLOOKUP(IntComp[[#This Row],[DEVELOPMENT]],Data[],31,FALSE)</f>
        <v>1</v>
      </c>
      <c r="E11" s="66">
        <f>VLOOKUP(IntComp[[#This Row],[DEVELOPMENT]],Data[],8,FALSE)</f>
        <v>0</v>
      </c>
      <c r="F11" s="66">
        <f>VLOOKUP(IntComp[[#This Row],[DEVELOPMENT]],Data[],9,FALSE)</f>
        <v>0</v>
      </c>
      <c r="G11" s="66"/>
      <c r="H11" s="66" t="str">
        <f>IFERROR(VLOOKUP(IntComp[[#This Row],[DEVELOPMENT]],Data[],4,FALSE),"")</f>
        <v/>
      </c>
      <c r="I11" s="66" t="str">
        <f>IF(IntComp[[#This Row],[RAD/PACT]]="","",IF(IntComp[[#This Row],[RAD/PACT]]&lt;=2025,"Yes",""))</f>
        <v/>
      </c>
      <c r="J11" s="67" t="str">
        <f ca="1">IF(VLOOKUP(IntComp[[#This Row],[DEVELOPMENT]],Data[],10,FALSE)=0,"",DATEDIF(VLOOKUP(IntComp[[#This Row],[DEVELOPMENT]],Data[],12,FALSE),TODAY(),"Y"))</f>
        <v/>
      </c>
      <c r="K11" s="67">
        <f>IF(IntComp[[#This Row],[RAD/PACT]]="",VLOOKUP(IntComp[[#This Row],[DEVELOPMENT]],Data[],10,FALSE),IF(IntComp[[#This Row],[RAD/PACT by 2025]]="yes",0,VLOOKUP(IntComp[[#This Row],[DEVELOPMENT]],Data[],10,FALSE)))</f>
        <v>0</v>
      </c>
      <c r="L11" s="63">
        <f ca="1">IF(IntComp[[#This Row],[RAD/PACT by 2025]]="Yes",0,(IntComp[[#This Row],['# Int. Compactors to Replace]]*'Unit Costs'!$B$8)*(1+((IntComp[[#This Row],[est. Year]]-YEAR(TODAY()))*$L$2)))</f>
        <v>73653.394499999995</v>
      </c>
      <c r="M11" s="67">
        <f>SUM(INDEX(IntComp['# to Replace],1):IntComp[[#This Row],['# to Replace]])</f>
        <v>0</v>
      </c>
      <c r="N11" s="67">
        <f>ROUNDDOWN(IntComp[[#This Row],[Count]]/100,0)+$N$1</f>
        <v>2020</v>
      </c>
      <c r="O11" s="86">
        <f t="shared" ca="1" si="0"/>
        <v>9206674.3125</v>
      </c>
      <c r="P11"/>
    </row>
    <row r="12" spans="1:16" x14ac:dyDescent="0.25">
      <c r="A12" s="82" t="s">
        <v>118</v>
      </c>
      <c r="B12" s="1" t="str">
        <f>VLOOKUP(A12,Data[],2,FALSE)</f>
        <v>BROOKLYN</v>
      </c>
      <c r="C12" s="9" t="s">
        <v>106</v>
      </c>
      <c r="D12" s="9">
        <f>VLOOKUP(IntComp[[#This Row],[DEVELOPMENT]],Data[],31,FALSE)</f>
        <v>2</v>
      </c>
      <c r="E12" s="9" t="str">
        <f>VLOOKUP(IntComp[[#This Row],[DEVELOPMENT]],Data[],8,FALSE)</f>
        <v>Zone 1</v>
      </c>
      <c r="F12" s="9" t="str">
        <f>VLOOKUP(IntComp[[#This Row],[DEVELOPMENT]],Data[],9,FALSE)</f>
        <v>$</v>
      </c>
      <c r="G12" s="9"/>
      <c r="H12" s="9" t="str">
        <f>IFERROR(VLOOKUP(IntComp[[#This Row],[DEVELOPMENT]],Data[],4,FALSE),"")</f>
        <v/>
      </c>
      <c r="I12" s="9" t="str">
        <f>IF(IntComp[[#This Row],[RAD/PACT]]="","",IF(IntComp[[#This Row],[RAD/PACT]]&lt;=2025,"Yes",""))</f>
        <v/>
      </c>
      <c r="J12" s="1" t="str">
        <f ca="1">IF(VLOOKUP(IntComp[[#This Row],[DEVELOPMENT]],Data[],10,FALSE)=0,"",DATEDIF(VLOOKUP(IntComp[[#This Row],[DEVELOPMENT]],Data[],12,FALSE),TODAY(),"Y"))</f>
        <v/>
      </c>
      <c r="K12" s="1">
        <f>IF(IntComp[[#This Row],[RAD/PACT]]="",VLOOKUP(IntComp[[#This Row],[DEVELOPMENT]],Data[],10,FALSE),IF(IntComp[[#This Row],[RAD/PACT by 2025]]="yes",0,VLOOKUP(IntComp[[#This Row],[DEVELOPMENT]],Data[],10,FALSE)))</f>
        <v>0</v>
      </c>
      <c r="L12" s="63">
        <f ca="1">IF(IntComp[[#This Row],[RAD/PACT by 2025]]="Yes",0,(IntComp[[#This Row],['# Int. Compactors to Replace]]*'Unit Costs'!$B$8)*(1+((IntComp[[#This Row],[est. Year]]-YEAR(TODAY()))*$L$2)))</f>
        <v>147306.78899999999</v>
      </c>
      <c r="M12" s="1">
        <f>SUM(INDEX(IntComp['# to Replace],1):IntComp[[#This Row],['# to Replace]])</f>
        <v>0</v>
      </c>
      <c r="N12" s="1">
        <f>ROUNDDOWN(IntComp[[#This Row],[Count]]/100,0)+$N$1</f>
        <v>2020</v>
      </c>
      <c r="O12" s="81">
        <f t="shared" ca="1" si="0"/>
        <v>9353981.1015000008</v>
      </c>
      <c r="P12"/>
    </row>
    <row r="13" spans="1:16" x14ac:dyDescent="0.25">
      <c r="A13" s="13" t="s">
        <v>69</v>
      </c>
      <c r="B13" s="1" t="str">
        <f>VLOOKUP(A13,Data[],2,FALSE)</f>
        <v>MANHATTAN</v>
      </c>
      <c r="C13" s="9" t="s">
        <v>106</v>
      </c>
      <c r="D13" s="9">
        <f>VLOOKUP(IntComp[[#This Row],[DEVELOPMENT]],Data[],31,FALSE)</f>
        <v>1</v>
      </c>
      <c r="E13" s="9" t="str">
        <f>VLOOKUP(IntComp[[#This Row],[DEVELOPMENT]],Data[],8,FALSE)</f>
        <v>Zone 3</v>
      </c>
      <c r="F13" s="9" t="str">
        <f>VLOOKUP(IntComp[[#This Row],[DEVELOPMENT]],Data[],9,FALSE)</f>
        <v>$</v>
      </c>
      <c r="G13" s="9"/>
      <c r="H13" s="9" t="str">
        <f>IFERROR(VLOOKUP(IntComp[[#This Row],[DEVELOPMENT]],Data[],4,FALSE),"")</f>
        <v/>
      </c>
      <c r="I13" s="9" t="str">
        <f>IF(IntComp[[#This Row],[RAD/PACT]]="","",IF(IntComp[[#This Row],[RAD/PACT]]&lt;=2025,"Yes",""))</f>
        <v/>
      </c>
      <c r="J13" s="1" t="str">
        <f ca="1">IF(VLOOKUP(IntComp[[#This Row],[DEVELOPMENT]],Data[],10,FALSE)=0,"",DATEDIF(VLOOKUP(IntComp[[#This Row],[DEVELOPMENT]],Data[],12,FALSE),TODAY(),"Y"))</f>
        <v/>
      </c>
      <c r="K13" s="1">
        <f>IF(IntComp[[#This Row],[RAD/PACT]]="",VLOOKUP(IntComp[[#This Row],[DEVELOPMENT]],Data[],10,FALSE),IF(IntComp[[#This Row],[RAD/PACT by 2025]]="yes",0,VLOOKUP(IntComp[[#This Row],[DEVELOPMENT]],Data[],10,FALSE)))</f>
        <v>0</v>
      </c>
      <c r="L13" s="63">
        <f ca="1">IF(IntComp[[#This Row],[RAD/PACT by 2025]]="Yes",0,(IntComp[[#This Row],['# Int. Compactors to Replace]]*'Unit Costs'!$B$8)*(1+((IntComp[[#This Row],[est. Year]]-YEAR(TODAY()))*$L$2)))</f>
        <v>73653.394499999995</v>
      </c>
      <c r="M13" s="1">
        <f>SUM(INDEX(IntComp['# to Replace],1):IntComp[[#This Row],['# to Replace]])</f>
        <v>0</v>
      </c>
      <c r="N13" s="1">
        <f>ROUNDDOWN(IntComp[[#This Row],[Count]]/100,0)+$N$1</f>
        <v>2020</v>
      </c>
      <c r="O13" s="81">
        <f t="shared" ca="1" si="0"/>
        <v>9427634.4960000012</v>
      </c>
      <c r="P13"/>
    </row>
    <row r="14" spans="1:16" x14ac:dyDescent="0.25">
      <c r="A14" s="13" t="s">
        <v>163</v>
      </c>
      <c r="B14" s="9" t="str">
        <f>VLOOKUP(A14,Data[],2,FALSE)</f>
        <v>MANHATTAN</v>
      </c>
      <c r="C14" s="9" t="s">
        <v>106</v>
      </c>
      <c r="D14" s="9">
        <f>VLOOKUP(IntComp[[#This Row],[DEVELOPMENT]],Data[],31,FALSE)</f>
        <v>1</v>
      </c>
      <c r="E14" s="66">
        <f>VLOOKUP(IntComp[[#This Row],[DEVELOPMENT]],Data[],8,FALSE)</f>
        <v>0</v>
      </c>
      <c r="F14" s="66">
        <f>VLOOKUP(IntComp[[#This Row],[DEVELOPMENT]],Data[],9,FALSE)</f>
        <v>0</v>
      </c>
      <c r="G14" s="66"/>
      <c r="H14" s="66" t="str">
        <f>IFERROR(VLOOKUP(IntComp[[#This Row],[DEVELOPMENT]],Data[],4,FALSE),"")</f>
        <v/>
      </c>
      <c r="I14" s="66" t="str">
        <f>IF(IntComp[[#This Row],[RAD/PACT]]="","",IF(IntComp[[#This Row],[RAD/PACT]]&lt;=2025,"Yes",""))</f>
        <v/>
      </c>
      <c r="J14" s="67" t="str">
        <f ca="1">IF(VLOOKUP(IntComp[[#This Row],[DEVELOPMENT]],Data[],10,FALSE)=0,"",DATEDIF(VLOOKUP(IntComp[[#This Row],[DEVELOPMENT]],Data[],12,FALSE),TODAY(),"Y"))</f>
        <v/>
      </c>
      <c r="K14" s="67">
        <f>IF(IntComp[[#This Row],[RAD/PACT]]="",VLOOKUP(IntComp[[#This Row],[DEVELOPMENT]],Data[],10,FALSE),IF(IntComp[[#This Row],[RAD/PACT by 2025]]="yes",0,VLOOKUP(IntComp[[#This Row],[DEVELOPMENT]],Data[],10,FALSE)))</f>
        <v>0</v>
      </c>
      <c r="L14" s="63">
        <f ca="1">IF(IntComp[[#This Row],[RAD/PACT by 2025]]="Yes",0,(IntComp[[#This Row],['# Int. Compactors to Replace]]*'Unit Costs'!$B$8)*(1+((IntComp[[#This Row],[est. Year]]-YEAR(TODAY()))*$L$2)))</f>
        <v>73653.394499999995</v>
      </c>
      <c r="M14" s="67">
        <f>SUM(INDEX(IntComp['# to Replace],1):IntComp[[#This Row],['# to Replace]])</f>
        <v>0</v>
      </c>
      <c r="N14" s="67">
        <f>ROUNDDOWN(IntComp[[#This Row],[Count]]/100,0)+$N$1</f>
        <v>2020</v>
      </c>
      <c r="O14" s="86">
        <f t="shared" ca="1" si="0"/>
        <v>9501287.8905000016</v>
      </c>
      <c r="P14"/>
    </row>
    <row r="15" spans="1:16" x14ac:dyDescent="0.25">
      <c r="A15" s="83" t="s">
        <v>57</v>
      </c>
      <c r="B15" s="1" t="str">
        <f>VLOOKUP(A15,Data[],2,FALSE)</f>
        <v>MANHATTAN</v>
      </c>
      <c r="C15" s="9" t="s">
        <v>106</v>
      </c>
      <c r="D15" s="9">
        <f>VLOOKUP(IntComp[[#This Row],[DEVELOPMENT]],Data[],31,FALSE)</f>
        <v>1</v>
      </c>
      <c r="E15" s="9" t="str">
        <f>VLOOKUP(IntComp[[#This Row],[DEVELOPMENT]],Data[],8,FALSE)</f>
        <v>Zone 1</v>
      </c>
      <c r="F15" s="9" t="str">
        <f>VLOOKUP(IntComp[[#This Row],[DEVELOPMENT]],Data[],9,FALSE)</f>
        <v>$$</v>
      </c>
      <c r="G15" s="9"/>
      <c r="H15" s="9" t="str">
        <f>IFERROR(VLOOKUP(IntComp[[#This Row],[DEVELOPMENT]],Data[],4,FALSE),"")</f>
        <v/>
      </c>
      <c r="I15" s="9" t="str">
        <f>IF(IntComp[[#This Row],[RAD/PACT]]="","",IF(IntComp[[#This Row],[RAD/PACT]]&lt;=2025,"Yes",""))</f>
        <v/>
      </c>
      <c r="J15" s="1" t="str">
        <f ca="1">IF(VLOOKUP(IntComp[[#This Row],[DEVELOPMENT]],Data[],10,FALSE)=0,"",DATEDIF(VLOOKUP(IntComp[[#This Row],[DEVELOPMENT]],Data[],12,FALSE),TODAY(),"Y"))</f>
        <v/>
      </c>
      <c r="K15" s="1">
        <f>IF(IntComp[[#This Row],[RAD/PACT]]="",VLOOKUP(IntComp[[#This Row],[DEVELOPMENT]],Data[],10,FALSE),IF(IntComp[[#This Row],[RAD/PACT by 2025]]="yes",0,VLOOKUP(IntComp[[#This Row],[DEVELOPMENT]],Data[],10,FALSE)))</f>
        <v>0</v>
      </c>
      <c r="L15" s="63">
        <f ca="1">IF(IntComp[[#This Row],[RAD/PACT by 2025]]="Yes",0,(IntComp[[#This Row],['# Int. Compactors to Replace]]*'Unit Costs'!$B$8)*(1+((IntComp[[#This Row],[est. Year]]-YEAR(TODAY()))*$L$2)))</f>
        <v>73653.394499999995</v>
      </c>
      <c r="M15" s="1">
        <f>SUM(INDEX(IntComp['# to Replace],1):IntComp[[#This Row],['# to Replace]])</f>
        <v>0</v>
      </c>
      <c r="N15" s="1">
        <f>ROUNDDOWN(IntComp[[#This Row],[Count]]/100,0)+$N$1</f>
        <v>2020</v>
      </c>
      <c r="O15" s="81">
        <f t="shared" ca="1" si="0"/>
        <v>9574941.285000002</v>
      </c>
      <c r="P15"/>
    </row>
    <row r="16" spans="1:16" x14ac:dyDescent="0.25">
      <c r="A16" s="13" t="s">
        <v>164</v>
      </c>
      <c r="B16" s="9" t="str">
        <f>VLOOKUP(A16,Data[],2,FALSE)</f>
        <v>BROOKLYN</v>
      </c>
      <c r="C16" s="9" t="s">
        <v>106</v>
      </c>
      <c r="D16" s="9">
        <f>VLOOKUP(IntComp[[#This Row],[DEVELOPMENT]],Data[],31,FALSE)</f>
        <v>2</v>
      </c>
      <c r="E16" s="66">
        <f>VLOOKUP(IntComp[[#This Row],[DEVELOPMENT]],Data[],8,FALSE)</f>
        <v>0</v>
      </c>
      <c r="F16" s="66">
        <f>VLOOKUP(IntComp[[#This Row],[DEVELOPMENT]],Data[],9,FALSE)</f>
        <v>0</v>
      </c>
      <c r="G16" s="66"/>
      <c r="H16" s="66" t="str">
        <f>IFERROR(VLOOKUP(IntComp[[#This Row],[DEVELOPMENT]],Data[],4,FALSE),"")</f>
        <v/>
      </c>
      <c r="I16" s="66" t="str">
        <f>IF(IntComp[[#This Row],[RAD/PACT]]="","",IF(IntComp[[#This Row],[RAD/PACT]]&lt;=2025,"Yes",""))</f>
        <v/>
      </c>
      <c r="J16" s="67" t="str">
        <f ca="1">IF(VLOOKUP(IntComp[[#This Row],[DEVELOPMENT]],Data[],10,FALSE)=0,"",DATEDIF(VLOOKUP(IntComp[[#This Row],[DEVELOPMENT]],Data[],12,FALSE),TODAY(),"Y"))</f>
        <v/>
      </c>
      <c r="K16" s="67">
        <f>IF(IntComp[[#This Row],[RAD/PACT]]="",VLOOKUP(IntComp[[#This Row],[DEVELOPMENT]],Data[],10,FALSE),IF(IntComp[[#This Row],[RAD/PACT by 2025]]="yes",0,VLOOKUP(IntComp[[#This Row],[DEVELOPMENT]],Data[],10,FALSE)))</f>
        <v>0</v>
      </c>
      <c r="L16" s="63">
        <f ca="1">IF(IntComp[[#This Row],[RAD/PACT by 2025]]="Yes",0,(IntComp[[#This Row],['# Int. Compactors to Replace]]*'Unit Costs'!$B$8)*(1+((IntComp[[#This Row],[est. Year]]-YEAR(TODAY()))*$L$2)))</f>
        <v>147306.78899999999</v>
      </c>
      <c r="M16" s="67">
        <f>SUM(INDEX(IntComp['# to Replace],1):IntComp[[#This Row],['# to Replace]])</f>
        <v>0</v>
      </c>
      <c r="N16" s="67">
        <f>ROUNDDOWN(IntComp[[#This Row],[Count]]/100,0)+$N$1</f>
        <v>2020</v>
      </c>
      <c r="O16" s="86">
        <f t="shared" ca="1" si="0"/>
        <v>9722248.0740000028</v>
      </c>
      <c r="P16"/>
    </row>
    <row r="17" spans="1:16" x14ac:dyDescent="0.25">
      <c r="A17" s="13" t="s">
        <v>165</v>
      </c>
      <c r="B17" s="9" t="str">
        <f>VLOOKUP(A17,Data[],2,FALSE)</f>
        <v>MANHATTAN</v>
      </c>
      <c r="C17" s="9" t="s">
        <v>106</v>
      </c>
      <c r="D17" s="9">
        <f>VLOOKUP(IntComp[[#This Row],[DEVELOPMENT]],Data[],31,FALSE)</f>
        <v>2</v>
      </c>
      <c r="E17" s="66">
        <f>VLOOKUP(IntComp[[#This Row],[DEVELOPMENT]],Data[],8,FALSE)</f>
        <v>0</v>
      </c>
      <c r="F17" s="66">
        <f>VLOOKUP(IntComp[[#This Row],[DEVELOPMENT]],Data[],9,FALSE)</f>
        <v>0</v>
      </c>
      <c r="G17" s="66"/>
      <c r="H17" s="66" t="str">
        <f>IFERROR(VLOOKUP(IntComp[[#This Row],[DEVELOPMENT]],Data[],4,FALSE),"")</f>
        <v/>
      </c>
      <c r="I17" s="66" t="str">
        <f>IF(IntComp[[#This Row],[RAD/PACT]]="","",IF(IntComp[[#This Row],[RAD/PACT]]&lt;=2025,"Yes",""))</f>
        <v/>
      </c>
      <c r="J17" s="67" t="str">
        <f ca="1">IF(VLOOKUP(IntComp[[#This Row],[DEVELOPMENT]],Data[],10,FALSE)=0,"",DATEDIF(VLOOKUP(IntComp[[#This Row],[DEVELOPMENT]],Data[],12,FALSE),TODAY(),"Y"))</f>
        <v/>
      </c>
      <c r="K17" s="67">
        <f>IF(IntComp[[#This Row],[RAD/PACT]]="",VLOOKUP(IntComp[[#This Row],[DEVELOPMENT]],Data[],10,FALSE),IF(IntComp[[#This Row],[RAD/PACT by 2025]]="yes",0,VLOOKUP(IntComp[[#This Row],[DEVELOPMENT]],Data[],10,FALSE)))</f>
        <v>0</v>
      </c>
      <c r="L17" s="63">
        <f ca="1">IF(IntComp[[#This Row],[RAD/PACT by 2025]]="Yes",0,(IntComp[[#This Row],['# Int. Compactors to Replace]]*'Unit Costs'!$B$8)*(1+((IntComp[[#This Row],[est. Year]]-YEAR(TODAY()))*$L$2)))</f>
        <v>147306.78899999999</v>
      </c>
      <c r="M17" s="67">
        <f>SUM(INDEX(IntComp['# to Replace],1):IntComp[[#This Row],['# to Replace]])</f>
        <v>0</v>
      </c>
      <c r="N17" s="67">
        <f>ROUNDDOWN(IntComp[[#This Row],[Count]]/100,0)+$N$1</f>
        <v>2020</v>
      </c>
      <c r="O17" s="86">
        <f t="shared" ca="1" si="0"/>
        <v>9869554.8630000036</v>
      </c>
      <c r="P17"/>
    </row>
    <row r="18" spans="1:16" x14ac:dyDescent="0.25">
      <c r="A18" s="13" t="s">
        <v>166</v>
      </c>
      <c r="B18" s="9" t="str">
        <f>VLOOKUP(A18,Data[],2,FALSE)</f>
        <v>BRONX</v>
      </c>
      <c r="C18" s="9" t="s">
        <v>106</v>
      </c>
      <c r="D18" s="9">
        <f>VLOOKUP(IntComp[[#This Row],[DEVELOPMENT]],Data[],31,FALSE)</f>
        <v>7</v>
      </c>
      <c r="E18" s="66">
        <f>VLOOKUP(IntComp[[#This Row],[DEVELOPMENT]],Data[],8,FALSE)</f>
        <v>0</v>
      </c>
      <c r="F18" s="66">
        <f>VLOOKUP(IntComp[[#This Row],[DEVELOPMENT]],Data[],9,FALSE)</f>
        <v>0</v>
      </c>
      <c r="G18" s="66"/>
      <c r="H18" s="66" t="str">
        <f>IFERROR(VLOOKUP(IntComp[[#This Row],[DEVELOPMENT]],Data[],4,FALSE),"")</f>
        <v/>
      </c>
      <c r="I18" s="66" t="str">
        <f>IF(IntComp[[#This Row],[RAD/PACT]]="","",IF(IntComp[[#This Row],[RAD/PACT]]&lt;=2025,"Yes",""))</f>
        <v/>
      </c>
      <c r="J18" s="67" t="str">
        <f ca="1">IF(VLOOKUP(IntComp[[#This Row],[DEVELOPMENT]],Data[],10,FALSE)=0,"",DATEDIF(VLOOKUP(IntComp[[#This Row],[DEVELOPMENT]],Data[],12,FALSE),TODAY(),"Y"))</f>
        <v/>
      </c>
      <c r="K18" s="67">
        <f>IF(IntComp[[#This Row],[RAD/PACT]]="",VLOOKUP(IntComp[[#This Row],[DEVELOPMENT]],Data[],10,FALSE),IF(IntComp[[#This Row],[RAD/PACT by 2025]]="yes",0,VLOOKUP(IntComp[[#This Row],[DEVELOPMENT]],Data[],10,FALSE)))</f>
        <v>0</v>
      </c>
      <c r="L18" s="63">
        <f ca="1">IF(IntComp[[#This Row],[RAD/PACT by 2025]]="Yes",0,(IntComp[[#This Row],['# Int. Compactors to Replace]]*'Unit Costs'!$B$8)*(1+((IntComp[[#This Row],[est. Year]]-YEAR(TODAY()))*$L$2)))</f>
        <v>515573.76149999991</v>
      </c>
      <c r="M18" s="67">
        <f>SUM(INDEX(IntComp['# to Replace],1):IntComp[[#This Row],['# to Replace]])</f>
        <v>0</v>
      </c>
      <c r="N18" s="67">
        <f>ROUNDDOWN(IntComp[[#This Row],[Count]]/100,0)+$N$1</f>
        <v>2020</v>
      </c>
      <c r="O18" s="86">
        <f t="shared" ca="1" si="0"/>
        <v>10385128.624500003</v>
      </c>
      <c r="P18"/>
    </row>
    <row r="19" spans="1:16" x14ac:dyDescent="0.25">
      <c r="A19" s="13" t="s">
        <v>167</v>
      </c>
      <c r="B19" s="9" t="str">
        <f>VLOOKUP(A19,Data[],2,FALSE)</f>
        <v>BROOKLYN</v>
      </c>
      <c r="C19" s="9" t="s">
        <v>106</v>
      </c>
      <c r="D19" s="9">
        <f>VLOOKUP(IntComp[[#This Row],[DEVELOPMENT]],Data[],31,FALSE)</f>
        <v>6</v>
      </c>
      <c r="E19" s="66">
        <f>VLOOKUP(IntComp[[#This Row],[DEVELOPMENT]],Data[],8,FALSE)</f>
        <v>0</v>
      </c>
      <c r="F19" s="66">
        <f>VLOOKUP(IntComp[[#This Row],[DEVELOPMENT]],Data[],9,FALSE)</f>
        <v>0</v>
      </c>
      <c r="G19" s="66"/>
      <c r="H19" s="66">
        <f>IFERROR(VLOOKUP(IntComp[[#This Row],[DEVELOPMENT]],Data[],4,FALSE),"")</f>
        <v>2025</v>
      </c>
      <c r="I19" s="66" t="str">
        <f>IF(IntComp[[#This Row],[RAD/PACT]]="","",IF(IntComp[[#This Row],[RAD/PACT]]&lt;=2025,"Yes",""))</f>
        <v>Yes</v>
      </c>
      <c r="J19" s="67" t="str">
        <f ca="1">IF(VLOOKUP(IntComp[[#This Row],[DEVELOPMENT]],Data[],10,FALSE)=0,"",DATEDIF(VLOOKUP(IntComp[[#This Row],[DEVELOPMENT]],Data[],12,FALSE),TODAY(),"Y"))</f>
        <v/>
      </c>
      <c r="K19" s="67">
        <f>IF(IntComp[[#This Row],[RAD/PACT]]="",VLOOKUP(IntComp[[#This Row],[DEVELOPMENT]],Data[],10,FALSE),IF(IntComp[[#This Row],[RAD/PACT by 2025]]="yes",0,VLOOKUP(IntComp[[#This Row],[DEVELOPMENT]],Data[],10,FALSE)))</f>
        <v>0</v>
      </c>
      <c r="L19" s="63">
        <f ca="1">IF(IntComp[[#This Row],[RAD/PACT by 2025]]="Yes",0,(IntComp[[#This Row],['# Int. Compactors to Replace]]*'Unit Costs'!$B$8)*(1+((IntComp[[#This Row],[est. Year]]-YEAR(TODAY()))*$L$2)))</f>
        <v>0</v>
      </c>
      <c r="M19" s="67">
        <f>SUM(INDEX(IntComp['# to Replace],1):IntComp[[#This Row],['# to Replace]])</f>
        <v>0</v>
      </c>
      <c r="N19" s="67">
        <f>ROUNDDOWN(IntComp[[#This Row],[Count]]/100,0)+$N$1</f>
        <v>2020</v>
      </c>
      <c r="O19" s="86">
        <f t="shared" ca="1" si="0"/>
        <v>10385128.624500003</v>
      </c>
      <c r="P19"/>
    </row>
    <row r="20" spans="1:16" x14ac:dyDescent="0.25">
      <c r="A20" s="13" t="s">
        <v>168</v>
      </c>
      <c r="B20" s="9" t="str">
        <f>VLOOKUP(A20,Data[],2,FALSE)</f>
        <v>BROOKLYN</v>
      </c>
      <c r="C20" s="9" t="s">
        <v>106</v>
      </c>
      <c r="D20" s="9">
        <f>VLOOKUP(IntComp[[#This Row],[DEVELOPMENT]],Data[],31,FALSE)</f>
        <v>3</v>
      </c>
      <c r="E20" s="66">
        <f>VLOOKUP(IntComp[[#This Row],[DEVELOPMENT]],Data[],8,FALSE)</f>
        <v>0</v>
      </c>
      <c r="F20" s="66">
        <f>VLOOKUP(IntComp[[#This Row],[DEVELOPMENT]],Data[],9,FALSE)</f>
        <v>0</v>
      </c>
      <c r="G20" s="66"/>
      <c r="H20" s="66">
        <f>IFERROR(VLOOKUP(IntComp[[#This Row],[DEVELOPMENT]],Data[],4,FALSE),"")</f>
        <v>2025</v>
      </c>
      <c r="I20" s="66" t="str">
        <f>IF(IntComp[[#This Row],[RAD/PACT]]="","",IF(IntComp[[#This Row],[RAD/PACT]]&lt;=2025,"Yes",""))</f>
        <v>Yes</v>
      </c>
      <c r="J20" s="67" t="str">
        <f ca="1">IF(VLOOKUP(IntComp[[#This Row],[DEVELOPMENT]],Data[],10,FALSE)=0,"",DATEDIF(VLOOKUP(IntComp[[#This Row],[DEVELOPMENT]],Data[],12,FALSE),TODAY(),"Y"))</f>
        <v/>
      </c>
      <c r="K20" s="67">
        <f>IF(IntComp[[#This Row],[RAD/PACT]]="",VLOOKUP(IntComp[[#This Row],[DEVELOPMENT]],Data[],10,FALSE),IF(IntComp[[#This Row],[RAD/PACT by 2025]]="yes",0,VLOOKUP(IntComp[[#This Row],[DEVELOPMENT]],Data[],10,FALSE)))</f>
        <v>0</v>
      </c>
      <c r="L20" s="63">
        <f ca="1">IF(IntComp[[#This Row],[RAD/PACT by 2025]]="Yes",0,(IntComp[[#This Row],['# Int. Compactors to Replace]]*'Unit Costs'!$B$8)*(1+((IntComp[[#This Row],[est. Year]]-YEAR(TODAY()))*$L$2)))</f>
        <v>0</v>
      </c>
      <c r="M20" s="67">
        <f>SUM(INDEX(IntComp['# to Replace],1):IntComp[[#This Row],['# to Replace]])</f>
        <v>0</v>
      </c>
      <c r="N20" s="67">
        <f>ROUNDDOWN(IntComp[[#This Row],[Count]]/100,0)+$N$1</f>
        <v>2020</v>
      </c>
      <c r="O20" s="86">
        <f t="shared" ca="1" si="0"/>
        <v>10385128.624500003</v>
      </c>
      <c r="P20"/>
    </row>
    <row r="21" spans="1:16" x14ac:dyDescent="0.25">
      <c r="A21" s="13" t="s">
        <v>169</v>
      </c>
      <c r="B21" s="9" t="str">
        <f>VLOOKUP(A21,Data[],2,FALSE)</f>
        <v>MANHATTAN</v>
      </c>
      <c r="C21" s="9" t="s">
        <v>106</v>
      </c>
      <c r="D21" s="9">
        <f>VLOOKUP(IntComp[[#This Row],[DEVELOPMENT]],Data[],31,FALSE)</f>
        <v>24</v>
      </c>
      <c r="E21" s="66" t="str">
        <f>VLOOKUP(IntComp[[#This Row],[DEVELOPMENT]],Data[],8,FALSE)</f>
        <v>Zone 4</v>
      </c>
      <c r="F21" s="66">
        <f>VLOOKUP(IntComp[[#This Row],[DEVELOPMENT]],Data[],9,FALSE)</f>
        <v>0</v>
      </c>
      <c r="G21" s="66"/>
      <c r="H21" s="66" t="str">
        <f>IFERROR(VLOOKUP(IntComp[[#This Row],[DEVELOPMENT]],Data[],4,FALSE),"")</f>
        <v/>
      </c>
      <c r="I21" s="66" t="str">
        <f>IF(IntComp[[#This Row],[RAD/PACT]]="","",IF(IntComp[[#This Row],[RAD/PACT]]&lt;=2025,"Yes",""))</f>
        <v/>
      </c>
      <c r="J21" s="67" t="str">
        <f ca="1">IF(VLOOKUP(IntComp[[#This Row],[DEVELOPMENT]],Data[],10,FALSE)=0,"",DATEDIF(VLOOKUP(IntComp[[#This Row],[DEVELOPMENT]],Data[],12,FALSE),TODAY(),"Y"))</f>
        <v/>
      </c>
      <c r="K21" s="67">
        <f>IF(IntComp[[#This Row],[RAD/PACT]]="",VLOOKUP(IntComp[[#This Row],[DEVELOPMENT]],Data[],10,FALSE),IF(IntComp[[#This Row],[RAD/PACT by 2025]]="yes",0,VLOOKUP(IntComp[[#This Row],[DEVELOPMENT]],Data[],10,FALSE)))</f>
        <v>0</v>
      </c>
      <c r="L21" s="63">
        <f ca="1">IF(IntComp[[#This Row],[RAD/PACT by 2025]]="Yes",0,(IntComp[[#This Row],['# Int. Compactors to Replace]]*'Unit Costs'!$B$8)*(1+((IntComp[[#This Row],[est. Year]]-YEAR(TODAY()))*$L$2)))</f>
        <v>1767681.4679999996</v>
      </c>
      <c r="M21" s="67">
        <f>SUM(INDEX(IntComp['# to Replace],1):IntComp[[#This Row],['# to Replace]])</f>
        <v>0</v>
      </c>
      <c r="N21" s="67">
        <f>ROUNDDOWN(IntComp[[#This Row],[Count]]/100,0)+$N$1</f>
        <v>2020</v>
      </c>
      <c r="O21" s="86">
        <f t="shared" ca="1" si="0"/>
        <v>12152810.092500003</v>
      </c>
      <c r="P21"/>
    </row>
    <row r="22" spans="1:16" x14ac:dyDescent="0.25">
      <c r="A22" s="13" t="s">
        <v>170</v>
      </c>
      <c r="B22" s="9" t="str">
        <f>VLOOKUP(A22,Data[],2,FALSE)</f>
        <v>MANHATTAN</v>
      </c>
      <c r="C22" s="9" t="s">
        <v>106</v>
      </c>
      <c r="D22" s="9">
        <f>VLOOKUP(IntComp[[#This Row],[DEVELOPMENT]],Data[],31,FALSE)</f>
        <v>2</v>
      </c>
      <c r="E22" s="66">
        <f>VLOOKUP(IntComp[[#This Row],[DEVELOPMENT]],Data[],8,FALSE)</f>
        <v>0</v>
      </c>
      <c r="F22" s="66">
        <f>VLOOKUP(IntComp[[#This Row],[DEVELOPMENT]],Data[],9,FALSE)</f>
        <v>0</v>
      </c>
      <c r="G22" s="66"/>
      <c r="H22" s="66" t="str">
        <f>IFERROR(VLOOKUP(IntComp[[#This Row],[DEVELOPMENT]],Data[],4,FALSE),"")</f>
        <v/>
      </c>
      <c r="I22" s="66" t="str">
        <f>IF(IntComp[[#This Row],[RAD/PACT]]="","",IF(IntComp[[#This Row],[RAD/PACT]]&lt;=2025,"Yes",""))</f>
        <v/>
      </c>
      <c r="J22" s="67" t="str">
        <f ca="1">IF(VLOOKUP(IntComp[[#This Row],[DEVELOPMENT]],Data[],10,FALSE)=0,"",DATEDIF(VLOOKUP(IntComp[[#This Row],[DEVELOPMENT]],Data[],12,FALSE),TODAY(),"Y"))</f>
        <v/>
      </c>
      <c r="K22" s="67">
        <f>IF(IntComp[[#This Row],[RAD/PACT]]="",VLOOKUP(IntComp[[#This Row],[DEVELOPMENT]],Data[],10,FALSE),IF(IntComp[[#This Row],[RAD/PACT by 2025]]="yes",0,VLOOKUP(IntComp[[#This Row],[DEVELOPMENT]],Data[],10,FALSE)))</f>
        <v>0</v>
      </c>
      <c r="L22" s="63">
        <f ca="1">IF(IntComp[[#This Row],[RAD/PACT by 2025]]="Yes",0,(IntComp[[#This Row],['# Int. Compactors to Replace]]*'Unit Costs'!$B$8)*(1+((IntComp[[#This Row],[est. Year]]-YEAR(TODAY()))*$L$2)))</f>
        <v>147306.78899999999</v>
      </c>
      <c r="M22" s="67">
        <f>SUM(INDEX(IntComp['# to Replace],1):IntComp[[#This Row],['# to Replace]])</f>
        <v>0</v>
      </c>
      <c r="N22" s="67">
        <f>ROUNDDOWN(IntComp[[#This Row],[Count]]/100,0)+$N$1</f>
        <v>2020</v>
      </c>
      <c r="O22" s="86">
        <f t="shared" ca="1" si="0"/>
        <v>12300116.881500004</v>
      </c>
      <c r="P22"/>
    </row>
    <row r="23" spans="1:16" x14ac:dyDescent="0.25">
      <c r="A23" s="13" t="s">
        <v>171</v>
      </c>
      <c r="B23" s="1" t="str">
        <f>VLOOKUP(A23,Data[],2,FALSE)</f>
        <v>BROOKLYN</v>
      </c>
      <c r="C23" s="9" t="s">
        <v>106</v>
      </c>
      <c r="D23" s="9">
        <f>VLOOKUP(IntComp[[#This Row],[DEVELOPMENT]],Data[],31,FALSE)</f>
        <v>6</v>
      </c>
      <c r="E23" s="66" t="str">
        <f>VLOOKUP(IntComp[[#This Row],[DEVELOPMENT]],Data[],8,FALSE)</f>
        <v>Zone 1</v>
      </c>
      <c r="F23" s="9" t="str">
        <f>VLOOKUP(IntComp[[#This Row],[DEVELOPMENT]],Data[],9,FALSE)</f>
        <v>$</v>
      </c>
      <c r="G23" s="9"/>
      <c r="H23" s="66" t="str">
        <f>IFERROR(VLOOKUP(IntComp[[#This Row],[DEVELOPMENT]],Data[],4,FALSE),"")</f>
        <v/>
      </c>
      <c r="I23" s="66" t="str">
        <f>IF(IntComp[[#This Row],[RAD/PACT]]="","",IF(IntComp[[#This Row],[RAD/PACT]]&lt;=2025,"Yes",""))</f>
        <v/>
      </c>
      <c r="J23" s="67" t="str">
        <f ca="1">IF(VLOOKUP(IntComp[[#This Row],[DEVELOPMENT]],Data[],10,FALSE)=0,"",DATEDIF(VLOOKUP(IntComp[[#This Row],[DEVELOPMENT]],Data[],12,FALSE),TODAY(),"Y"))</f>
        <v/>
      </c>
      <c r="K23" s="67">
        <f>IF(IntComp[[#This Row],[RAD/PACT]]="",VLOOKUP(IntComp[[#This Row],[DEVELOPMENT]],Data[],10,FALSE),IF(IntComp[[#This Row],[RAD/PACT by 2025]]="yes",0,VLOOKUP(IntComp[[#This Row],[DEVELOPMENT]],Data[],10,FALSE)))</f>
        <v>0</v>
      </c>
      <c r="L23" s="63">
        <f ca="1">IF(IntComp[[#This Row],[RAD/PACT by 2025]]="Yes",0,(IntComp[[#This Row],['# Int. Compactors to Replace]]*'Unit Costs'!$B$8)*(1+((IntComp[[#This Row],[est. Year]]-YEAR(TODAY()))*$L$2)))</f>
        <v>441920.36699999991</v>
      </c>
      <c r="M23" s="67">
        <f>SUM(INDEX(IntComp['# to Replace],1):IntComp[[#This Row],['# to Replace]])</f>
        <v>0</v>
      </c>
      <c r="N23" s="67">
        <f>ROUNDDOWN(IntComp[[#This Row],[Count]]/100,0)+$N$1</f>
        <v>2020</v>
      </c>
      <c r="O23" s="81">
        <f t="shared" ca="1" si="0"/>
        <v>12742037.248500004</v>
      </c>
      <c r="P23"/>
    </row>
    <row r="24" spans="1:16" x14ac:dyDescent="0.25">
      <c r="A24" s="13" t="s">
        <v>172</v>
      </c>
      <c r="B24" s="1" t="str">
        <f>VLOOKUP(A24,Data[],2,FALSE)</f>
        <v>BROOKLYN</v>
      </c>
      <c r="C24" s="9" t="s">
        <v>106</v>
      </c>
      <c r="D24" s="9">
        <f>VLOOKUP(IntComp[[#This Row],[DEVELOPMENT]],Data[],31,FALSE)</f>
        <v>10</v>
      </c>
      <c r="E24" s="66" t="str">
        <f>VLOOKUP(IntComp[[#This Row],[DEVELOPMENT]],Data[],8,FALSE)</f>
        <v>Zone 1</v>
      </c>
      <c r="F24" s="9" t="str">
        <f>VLOOKUP(IntComp[[#This Row],[DEVELOPMENT]],Data[],9,FALSE)</f>
        <v>$</v>
      </c>
      <c r="G24" s="9"/>
      <c r="H24" s="66" t="str">
        <f>IFERROR(VLOOKUP(IntComp[[#This Row],[DEVELOPMENT]],Data[],4,FALSE),"")</f>
        <v/>
      </c>
      <c r="I24" s="66" t="str">
        <f>IF(IntComp[[#This Row],[RAD/PACT]]="","",IF(IntComp[[#This Row],[RAD/PACT]]&lt;=2025,"Yes",""))</f>
        <v/>
      </c>
      <c r="J24" s="67" t="str">
        <f ca="1">IF(VLOOKUP(IntComp[[#This Row],[DEVELOPMENT]],Data[],10,FALSE)=0,"",DATEDIF(VLOOKUP(IntComp[[#This Row],[DEVELOPMENT]],Data[],12,FALSE),TODAY(),"Y"))</f>
        <v/>
      </c>
      <c r="K24" s="67">
        <f>IF(IntComp[[#This Row],[RAD/PACT]]="",VLOOKUP(IntComp[[#This Row],[DEVELOPMENT]],Data[],10,FALSE),IF(IntComp[[#This Row],[RAD/PACT by 2025]]="yes",0,VLOOKUP(IntComp[[#This Row],[DEVELOPMENT]],Data[],10,FALSE)))</f>
        <v>0</v>
      </c>
      <c r="L24" s="63">
        <f ca="1">IF(IntComp[[#This Row],[RAD/PACT by 2025]]="Yes",0,(IntComp[[#This Row],['# Int. Compactors to Replace]]*'Unit Costs'!$B$8)*(1+((IntComp[[#This Row],[est. Year]]-YEAR(TODAY()))*$L$2)))</f>
        <v>736533.94499999995</v>
      </c>
      <c r="M24" s="67">
        <f>SUM(INDEX(IntComp['# to Replace],1):IntComp[[#This Row],['# to Replace]])</f>
        <v>0</v>
      </c>
      <c r="N24" s="67">
        <f>ROUNDDOWN(IntComp[[#This Row],[Count]]/100,0)+$N$1</f>
        <v>2020</v>
      </c>
      <c r="O24" s="81">
        <f t="shared" ca="1" si="0"/>
        <v>13478571.193500005</v>
      </c>
      <c r="P24"/>
    </row>
    <row r="25" spans="1:16" x14ac:dyDescent="0.25">
      <c r="A25" s="13" t="s">
        <v>173</v>
      </c>
      <c r="B25" s="9" t="str">
        <f>VLOOKUP(A25,Data[],2,FALSE)</f>
        <v>QUEENS</v>
      </c>
      <c r="C25" s="9" t="s">
        <v>106</v>
      </c>
      <c r="D25" s="9">
        <f>VLOOKUP(IntComp[[#This Row],[DEVELOPMENT]],Data[],31,FALSE)</f>
        <v>22</v>
      </c>
      <c r="E25" s="66">
        <f>VLOOKUP(IntComp[[#This Row],[DEVELOPMENT]],Data[],8,FALSE)</f>
        <v>0</v>
      </c>
      <c r="F25" s="66">
        <f>VLOOKUP(IntComp[[#This Row],[DEVELOPMENT]],Data[],9,FALSE)</f>
        <v>0</v>
      </c>
      <c r="G25" s="66"/>
      <c r="H25" s="66">
        <f>IFERROR(VLOOKUP(IntComp[[#This Row],[DEVELOPMENT]],Data[],4,FALSE),"")</f>
        <v>2024</v>
      </c>
      <c r="I25" s="66" t="str">
        <f>IF(IntComp[[#This Row],[RAD/PACT]]="","",IF(IntComp[[#This Row],[RAD/PACT]]&lt;=2025,"Yes",""))</f>
        <v>Yes</v>
      </c>
      <c r="J25" s="67" t="str">
        <f ca="1">IF(VLOOKUP(IntComp[[#This Row],[DEVELOPMENT]],Data[],10,FALSE)=0,"",DATEDIF(VLOOKUP(IntComp[[#This Row],[DEVELOPMENT]],Data[],12,FALSE),TODAY(),"Y"))</f>
        <v/>
      </c>
      <c r="K25" s="67">
        <f>IF(IntComp[[#This Row],[RAD/PACT]]="",VLOOKUP(IntComp[[#This Row],[DEVELOPMENT]],Data[],10,FALSE),IF(IntComp[[#This Row],[RAD/PACT by 2025]]="yes",0,VLOOKUP(IntComp[[#This Row],[DEVELOPMENT]],Data[],10,FALSE)))</f>
        <v>0</v>
      </c>
      <c r="L25" s="63">
        <f ca="1">IF(IntComp[[#This Row],[RAD/PACT by 2025]]="Yes",0,(IntComp[[#This Row],['# Int. Compactors to Replace]]*'Unit Costs'!$B$8)*(1+((IntComp[[#This Row],[est. Year]]-YEAR(TODAY()))*$L$2)))</f>
        <v>0</v>
      </c>
      <c r="M25" s="67">
        <f>SUM(INDEX(IntComp['# to Replace],1):IntComp[[#This Row],['# to Replace]])</f>
        <v>0</v>
      </c>
      <c r="N25" s="67">
        <f>ROUNDDOWN(IntComp[[#This Row],[Count]]/100,0)+$N$1</f>
        <v>2020</v>
      </c>
      <c r="O25" s="86">
        <f t="shared" ca="1" si="0"/>
        <v>13478571.193500005</v>
      </c>
      <c r="P25"/>
    </row>
    <row r="26" spans="1:16" x14ac:dyDescent="0.25">
      <c r="A26" s="13" t="s">
        <v>174</v>
      </c>
      <c r="B26" s="9" t="str">
        <f>VLOOKUP(A26,Data[],2,FALSE)</f>
        <v>BROOKLYN</v>
      </c>
      <c r="C26" s="9" t="s">
        <v>106</v>
      </c>
      <c r="D26" s="9">
        <f>VLOOKUP(IntComp[[#This Row],[DEVELOPMENT]],Data[],31,FALSE)</f>
        <v>2</v>
      </c>
      <c r="E26" s="66">
        <f>VLOOKUP(IntComp[[#This Row],[DEVELOPMENT]],Data[],8,FALSE)</f>
        <v>0</v>
      </c>
      <c r="F26" s="66">
        <f>VLOOKUP(IntComp[[#This Row],[DEVELOPMENT]],Data[],9,FALSE)</f>
        <v>0</v>
      </c>
      <c r="G26" s="66"/>
      <c r="H26" s="66" t="str">
        <f>IFERROR(VLOOKUP(IntComp[[#This Row],[DEVELOPMENT]],Data[],4,FALSE),"")</f>
        <v/>
      </c>
      <c r="I26" s="66" t="str">
        <f>IF(IntComp[[#This Row],[RAD/PACT]]="","",IF(IntComp[[#This Row],[RAD/PACT]]&lt;=2025,"Yes",""))</f>
        <v/>
      </c>
      <c r="J26" s="67" t="str">
        <f ca="1">IF(VLOOKUP(IntComp[[#This Row],[DEVELOPMENT]],Data[],10,FALSE)=0,"",DATEDIF(VLOOKUP(IntComp[[#This Row],[DEVELOPMENT]],Data[],12,FALSE),TODAY(),"Y"))</f>
        <v/>
      </c>
      <c r="K26" s="67">
        <f>IF(IntComp[[#This Row],[RAD/PACT]]="",VLOOKUP(IntComp[[#This Row],[DEVELOPMENT]],Data[],10,FALSE),IF(IntComp[[#This Row],[RAD/PACT by 2025]]="yes",0,VLOOKUP(IntComp[[#This Row],[DEVELOPMENT]],Data[],10,FALSE)))</f>
        <v>0</v>
      </c>
      <c r="L26" s="63">
        <f ca="1">IF(IntComp[[#This Row],[RAD/PACT by 2025]]="Yes",0,(IntComp[[#This Row],['# Int. Compactors to Replace]]*'Unit Costs'!$B$8)*(1+((IntComp[[#This Row],[est. Year]]-YEAR(TODAY()))*$L$2)))</f>
        <v>147306.78899999999</v>
      </c>
      <c r="M26" s="67">
        <f>SUM(INDEX(IntComp['# to Replace],1):IntComp[[#This Row],['# to Replace]])</f>
        <v>0</v>
      </c>
      <c r="N26" s="67">
        <f>ROUNDDOWN(IntComp[[#This Row],[Count]]/100,0)+$N$1</f>
        <v>2020</v>
      </c>
      <c r="O26" s="86">
        <f t="shared" ca="1" si="0"/>
        <v>13625877.982500006</v>
      </c>
      <c r="P26"/>
    </row>
    <row r="27" spans="1:16" x14ac:dyDescent="0.25">
      <c r="A27" s="13" t="s">
        <v>70</v>
      </c>
      <c r="B27" s="1" t="str">
        <f>VLOOKUP(A27,Data[],2,FALSE)</f>
        <v>MANHATTAN</v>
      </c>
      <c r="C27" s="9" t="s">
        <v>106</v>
      </c>
      <c r="D27" s="9">
        <f>VLOOKUP(IntComp[[#This Row],[DEVELOPMENT]],Data[],31,FALSE)</f>
        <v>2</v>
      </c>
      <c r="E27" s="9" t="str">
        <f>VLOOKUP(IntComp[[#This Row],[DEVELOPMENT]],Data[],8,FALSE)</f>
        <v>Zone 3</v>
      </c>
      <c r="F27" s="9" t="str">
        <f>VLOOKUP(IntComp[[#This Row],[DEVELOPMENT]],Data[],9,FALSE)</f>
        <v>$$$$</v>
      </c>
      <c r="G27" s="9"/>
      <c r="H27" s="9">
        <f>IFERROR(VLOOKUP(IntComp[[#This Row],[DEVELOPMENT]],Data[],4,FALSE),"")</f>
        <v>2020</v>
      </c>
      <c r="I27" s="9" t="str">
        <f>IF(IntComp[[#This Row],[RAD/PACT]]="","",IF(IntComp[[#This Row],[RAD/PACT]]&lt;=2025,"Yes",""))</f>
        <v>Yes</v>
      </c>
      <c r="J27" s="1" t="str">
        <f ca="1">IF(VLOOKUP(IntComp[[#This Row],[DEVELOPMENT]],Data[],10,FALSE)=0,"",DATEDIF(VLOOKUP(IntComp[[#This Row],[DEVELOPMENT]],Data[],12,FALSE),TODAY(),"Y"))</f>
        <v/>
      </c>
      <c r="K27" s="1">
        <f>IF(IntComp[[#This Row],[RAD/PACT]]="",VLOOKUP(IntComp[[#This Row],[DEVELOPMENT]],Data[],10,FALSE),IF(IntComp[[#This Row],[RAD/PACT by 2025]]="yes",0,VLOOKUP(IntComp[[#This Row],[DEVELOPMENT]],Data[],10,FALSE)))</f>
        <v>0</v>
      </c>
      <c r="L27" s="63">
        <f ca="1">IF(IntComp[[#This Row],[RAD/PACT by 2025]]="Yes",0,(IntComp[[#This Row],['# Int. Compactors to Replace]]*'Unit Costs'!$B$8)*(1+((IntComp[[#This Row],[est. Year]]-YEAR(TODAY()))*$L$2)))</f>
        <v>0</v>
      </c>
      <c r="M27" s="1">
        <f>SUM(INDEX(IntComp['# to Replace],1):IntComp[[#This Row],['# to Replace]])</f>
        <v>0</v>
      </c>
      <c r="N27" s="1">
        <f>ROUNDDOWN(IntComp[[#This Row],[Count]]/100,0)+$N$1</f>
        <v>2020</v>
      </c>
      <c r="O27" s="81">
        <f t="shared" ca="1" si="0"/>
        <v>13625877.982500006</v>
      </c>
      <c r="P27"/>
    </row>
    <row r="28" spans="1:16" x14ac:dyDescent="0.25">
      <c r="A28" s="13" t="s">
        <v>175</v>
      </c>
      <c r="B28" s="9" t="str">
        <f>VLOOKUP(A28,Data[],2,FALSE)</f>
        <v>BRONX</v>
      </c>
      <c r="C28" s="9" t="s">
        <v>106</v>
      </c>
      <c r="D28" s="9">
        <f>VLOOKUP(IntComp[[#This Row],[DEVELOPMENT]],Data[],31,FALSE)</f>
        <v>1</v>
      </c>
      <c r="E28" s="66">
        <f>VLOOKUP(IntComp[[#This Row],[DEVELOPMENT]],Data[],8,FALSE)</f>
        <v>0</v>
      </c>
      <c r="F28" s="66">
        <f>VLOOKUP(IntComp[[#This Row],[DEVELOPMENT]],Data[],9,FALSE)</f>
        <v>0</v>
      </c>
      <c r="G28" s="66"/>
      <c r="H28" s="66" t="str">
        <f>IFERROR(VLOOKUP(IntComp[[#This Row],[DEVELOPMENT]],Data[],4,FALSE),"")</f>
        <v/>
      </c>
      <c r="I28" s="66" t="str">
        <f>IF(IntComp[[#This Row],[RAD/PACT]]="","",IF(IntComp[[#This Row],[RAD/PACT]]&lt;=2025,"Yes",""))</f>
        <v/>
      </c>
      <c r="J28" s="67" t="str">
        <f ca="1">IF(VLOOKUP(IntComp[[#This Row],[DEVELOPMENT]],Data[],10,FALSE)=0,"",DATEDIF(VLOOKUP(IntComp[[#This Row],[DEVELOPMENT]],Data[],12,FALSE),TODAY(),"Y"))</f>
        <v/>
      </c>
      <c r="K28" s="67">
        <f>IF(IntComp[[#This Row],[RAD/PACT]]="",VLOOKUP(IntComp[[#This Row],[DEVELOPMENT]],Data[],10,FALSE),IF(IntComp[[#This Row],[RAD/PACT by 2025]]="yes",0,VLOOKUP(IntComp[[#This Row],[DEVELOPMENT]],Data[],10,FALSE)))</f>
        <v>0</v>
      </c>
      <c r="L28" s="63">
        <f ca="1">IF(IntComp[[#This Row],[RAD/PACT by 2025]]="Yes",0,(IntComp[[#This Row],['# Int. Compactors to Replace]]*'Unit Costs'!$B$8)*(1+((IntComp[[#This Row],[est. Year]]-YEAR(TODAY()))*$L$2)))</f>
        <v>73653.394499999995</v>
      </c>
      <c r="M28" s="67">
        <f>SUM(INDEX(IntComp['# to Replace],1):IntComp[[#This Row],['# to Replace]])</f>
        <v>0</v>
      </c>
      <c r="N28" s="67">
        <f>ROUNDDOWN(IntComp[[#This Row],[Count]]/100,0)+$N$1</f>
        <v>2020</v>
      </c>
      <c r="O28" s="86">
        <f t="shared" ca="1" si="0"/>
        <v>13699531.377000006</v>
      </c>
      <c r="P28"/>
    </row>
    <row r="29" spans="1:16" x14ac:dyDescent="0.25">
      <c r="A29" s="13" t="s">
        <v>176</v>
      </c>
      <c r="B29" s="9" t="str">
        <f>VLOOKUP(A29,Data[],2,FALSE)</f>
        <v>QUEENS</v>
      </c>
      <c r="C29" s="9" t="s">
        <v>106</v>
      </c>
      <c r="D29" s="9">
        <f>VLOOKUP(IntComp[[#This Row],[DEVELOPMENT]],Data[],31,FALSE)</f>
        <v>5</v>
      </c>
      <c r="E29" s="66">
        <f>VLOOKUP(IntComp[[#This Row],[DEVELOPMENT]],Data[],8,FALSE)</f>
        <v>0</v>
      </c>
      <c r="F29" s="66">
        <f>VLOOKUP(IntComp[[#This Row],[DEVELOPMENT]],Data[],9,FALSE)</f>
        <v>0</v>
      </c>
      <c r="G29" s="66"/>
      <c r="H29" s="66" t="str">
        <f>IFERROR(VLOOKUP(IntComp[[#This Row],[DEVELOPMENT]],Data[],4,FALSE),"")</f>
        <v/>
      </c>
      <c r="I29" s="66" t="str">
        <f>IF(IntComp[[#This Row],[RAD/PACT]]="","",IF(IntComp[[#This Row],[RAD/PACT]]&lt;=2025,"Yes",""))</f>
        <v/>
      </c>
      <c r="J29" s="67" t="str">
        <f ca="1">IF(VLOOKUP(IntComp[[#This Row],[DEVELOPMENT]],Data[],10,FALSE)=0,"",DATEDIF(VLOOKUP(IntComp[[#This Row],[DEVELOPMENT]],Data[],12,FALSE),TODAY(),"Y"))</f>
        <v/>
      </c>
      <c r="K29" s="67">
        <f>IF(IntComp[[#This Row],[RAD/PACT]]="",VLOOKUP(IntComp[[#This Row],[DEVELOPMENT]],Data[],10,FALSE),IF(IntComp[[#This Row],[RAD/PACT by 2025]]="yes",0,VLOOKUP(IntComp[[#This Row],[DEVELOPMENT]],Data[],10,FALSE)))</f>
        <v>0</v>
      </c>
      <c r="L29" s="63">
        <f ca="1">IF(IntComp[[#This Row],[RAD/PACT by 2025]]="Yes",0,(IntComp[[#This Row],['# Int. Compactors to Replace]]*'Unit Costs'!$B$8)*(1+((IntComp[[#This Row],[est. Year]]-YEAR(TODAY()))*$L$2)))</f>
        <v>368266.97249999997</v>
      </c>
      <c r="M29" s="67">
        <f>SUM(INDEX(IntComp['# to Replace],1):IntComp[[#This Row],['# to Replace]])</f>
        <v>0</v>
      </c>
      <c r="N29" s="67">
        <f>ROUNDDOWN(IntComp[[#This Row],[Count]]/100,0)+$N$1</f>
        <v>2020</v>
      </c>
      <c r="O29" s="86">
        <f t="shared" ca="1" si="0"/>
        <v>14067798.349500006</v>
      </c>
      <c r="P29"/>
    </row>
    <row r="30" spans="1:16" x14ac:dyDescent="0.25">
      <c r="A30" s="82" t="s">
        <v>58</v>
      </c>
      <c r="B30" s="1" t="str">
        <f>VLOOKUP(A30,Data[],2,FALSE)</f>
        <v>MANHATTAN</v>
      </c>
      <c r="C30" s="9" t="s">
        <v>106</v>
      </c>
      <c r="D30" s="9">
        <f>VLOOKUP(IntComp[[#This Row],[DEVELOPMENT]],Data[],31,FALSE)</f>
        <v>0</v>
      </c>
      <c r="E30" s="9" t="str">
        <f>VLOOKUP(IntComp[[#This Row],[DEVELOPMENT]],Data[],8,FALSE)</f>
        <v>Zone 1</v>
      </c>
      <c r="F30" s="9" t="str">
        <f>VLOOKUP(IntComp[[#This Row],[DEVELOPMENT]],Data[],9,FALSE)</f>
        <v>$</v>
      </c>
      <c r="G30" s="9"/>
      <c r="H30" s="9" t="str">
        <f>IFERROR(VLOOKUP(IntComp[[#This Row],[DEVELOPMENT]],Data[],4,FALSE),"")</f>
        <v/>
      </c>
      <c r="I30" s="9" t="str">
        <f>IF(IntComp[[#This Row],[RAD/PACT]]="","",IF(IntComp[[#This Row],[RAD/PACT]]&lt;=2025,"Yes",""))</f>
        <v/>
      </c>
      <c r="J30" s="1" t="str">
        <f ca="1">IF(VLOOKUP(IntComp[[#This Row],[DEVELOPMENT]],Data[],10,FALSE)=0,"",DATEDIF(VLOOKUP(IntComp[[#This Row],[DEVELOPMENT]],Data[],12,FALSE),TODAY(),"Y"))</f>
        <v/>
      </c>
      <c r="K30" s="1">
        <f>IF(IntComp[[#This Row],[RAD/PACT]]="",VLOOKUP(IntComp[[#This Row],[DEVELOPMENT]],Data[],10,FALSE),IF(IntComp[[#This Row],[RAD/PACT by 2025]]="yes",0,VLOOKUP(IntComp[[#This Row],[DEVELOPMENT]],Data[],10,FALSE)))</f>
        <v>0</v>
      </c>
      <c r="L30" s="63">
        <f ca="1">IF(IntComp[[#This Row],[RAD/PACT by 2025]]="Yes",0,(IntComp[[#This Row],['# Int. Compactors to Replace]]*'Unit Costs'!$B$8)*(1+((IntComp[[#This Row],[est. Year]]-YEAR(TODAY()))*$L$2)))</f>
        <v>0</v>
      </c>
      <c r="M30" s="1">
        <f>SUM(INDEX(IntComp['# to Replace],1):IntComp[[#This Row],['# to Replace]])</f>
        <v>0</v>
      </c>
      <c r="N30" s="1">
        <f>ROUNDDOWN(IntComp[[#This Row],[Count]]/100,0)+$N$1</f>
        <v>2020</v>
      </c>
      <c r="O30" s="81">
        <f t="shared" ca="1" si="0"/>
        <v>14067798.349500006</v>
      </c>
      <c r="P30"/>
    </row>
    <row r="31" spans="1:16" x14ac:dyDescent="0.25">
      <c r="A31" s="82" t="s">
        <v>48</v>
      </c>
      <c r="B31" s="1" t="str">
        <f>VLOOKUP(A31,Data[],2,FALSE)</f>
        <v>MANHATTAN</v>
      </c>
      <c r="C31" s="9" t="s">
        <v>106</v>
      </c>
      <c r="D31" s="9">
        <f>VLOOKUP(IntComp[[#This Row],[DEVELOPMENT]],Data[],31,FALSE)</f>
        <v>0</v>
      </c>
      <c r="E31" s="9" t="str">
        <f>VLOOKUP(IntComp[[#This Row],[DEVELOPMENT]],Data[],8,FALSE)</f>
        <v>Zone 1</v>
      </c>
      <c r="F31" s="9" t="str">
        <f>VLOOKUP(IntComp[[#This Row],[DEVELOPMENT]],Data[],9,FALSE)</f>
        <v>$</v>
      </c>
      <c r="G31" s="9"/>
      <c r="H31" s="9" t="str">
        <f>IFERROR(VLOOKUP(IntComp[[#This Row],[DEVELOPMENT]],Data[],4,FALSE),"")</f>
        <v/>
      </c>
      <c r="I31" s="9" t="str">
        <f>IF(IntComp[[#This Row],[RAD/PACT]]="","",IF(IntComp[[#This Row],[RAD/PACT]]&lt;=2025,"Yes",""))</f>
        <v/>
      </c>
      <c r="J31" s="1" t="str">
        <f ca="1">IF(VLOOKUP(IntComp[[#This Row],[DEVELOPMENT]],Data[],10,FALSE)=0,"",DATEDIF(VLOOKUP(IntComp[[#This Row],[DEVELOPMENT]],Data[],12,FALSE),TODAY(),"Y"))</f>
        <v/>
      </c>
      <c r="K31" s="1">
        <f>IF(IntComp[[#This Row],[RAD/PACT]]="",VLOOKUP(IntComp[[#This Row],[DEVELOPMENT]],Data[],10,FALSE),IF(IntComp[[#This Row],[RAD/PACT by 2025]]="yes",0,VLOOKUP(IntComp[[#This Row],[DEVELOPMENT]],Data[],10,FALSE)))</f>
        <v>0</v>
      </c>
      <c r="L31" s="63">
        <f ca="1">IF(IntComp[[#This Row],[RAD/PACT by 2025]]="Yes",0,(IntComp[[#This Row],['# Int. Compactors to Replace]]*'Unit Costs'!$B$8)*(1+((IntComp[[#This Row],[est. Year]]-YEAR(TODAY()))*$L$2)))</f>
        <v>0</v>
      </c>
      <c r="M31" s="1">
        <f>SUM(INDEX(IntComp['# to Replace],1):IntComp[[#This Row],['# to Replace]])</f>
        <v>0</v>
      </c>
      <c r="N31" s="1">
        <f>ROUNDDOWN(IntComp[[#This Row],[Count]]/100,0)+$N$1</f>
        <v>2020</v>
      </c>
      <c r="O31" s="81">
        <f t="shared" ca="1" si="0"/>
        <v>14067798.349500006</v>
      </c>
      <c r="P31"/>
    </row>
    <row r="32" spans="1:16" x14ac:dyDescent="0.25">
      <c r="A32" s="13" t="s">
        <v>177</v>
      </c>
      <c r="B32" s="9" t="str">
        <f>VLOOKUP(A32,Data[],2,FALSE)</f>
        <v>BROOKLYN</v>
      </c>
      <c r="C32" s="9" t="s">
        <v>106</v>
      </c>
      <c r="D32" s="9">
        <f>VLOOKUP(IntComp[[#This Row],[DEVELOPMENT]],Data[],31,FALSE)</f>
        <v>23</v>
      </c>
      <c r="E32" s="66">
        <f>VLOOKUP(IntComp[[#This Row],[DEVELOPMENT]],Data[],8,FALSE)</f>
        <v>0</v>
      </c>
      <c r="F32" s="66">
        <f>VLOOKUP(IntComp[[#This Row],[DEVELOPMENT]],Data[],9,FALSE)</f>
        <v>0</v>
      </c>
      <c r="G32" s="66"/>
      <c r="H32" s="66" t="str">
        <f>IFERROR(VLOOKUP(IntComp[[#This Row],[DEVELOPMENT]],Data[],4,FALSE),"")</f>
        <v/>
      </c>
      <c r="I32" s="66" t="str">
        <f>IF(IntComp[[#This Row],[RAD/PACT]]="","",IF(IntComp[[#This Row],[RAD/PACT]]&lt;=2025,"Yes",""))</f>
        <v/>
      </c>
      <c r="J32" s="67" t="str">
        <f ca="1">IF(VLOOKUP(IntComp[[#This Row],[DEVELOPMENT]],Data[],10,FALSE)=0,"",DATEDIF(VLOOKUP(IntComp[[#This Row],[DEVELOPMENT]],Data[],12,FALSE),TODAY(),"Y"))</f>
        <v/>
      </c>
      <c r="K32" s="67">
        <f>IF(IntComp[[#This Row],[RAD/PACT]]="",VLOOKUP(IntComp[[#This Row],[DEVELOPMENT]],Data[],10,FALSE),IF(IntComp[[#This Row],[RAD/PACT by 2025]]="yes",0,VLOOKUP(IntComp[[#This Row],[DEVELOPMENT]],Data[],10,FALSE)))</f>
        <v>0</v>
      </c>
      <c r="L32" s="63">
        <f ca="1">IF(IntComp[[#This Row],[RAD/PACT by 2025]]="Yes",0,(IntComp[[#This Row],['# Int. Compactors to Replace]]*'Unit Costs'!$B$8)*(1+((IntComp[[#This Row],[est. Year]]-YEAR(TODAY()))*$L$2)))</f>
        <v>1694028.0734999997</v>
      </c>
      <c r="M32" s="67">
        <f>SUM(INDEX(IntComp['# to Replace],1):IntComp[[#This Row],['# to Replace]])</f>
        <v>0</v>
      </c>
      <c r="N32" s="67">
        <f>ROUNDDOWN(IntComp[[#This Row],[Count]]/100,0)+$N$1</f>
        <v>2020</v>
      </c>
      <c r="O32" s="86">
        <f t="shared" ca="1" si="0"/>
        <v>15761826.423000006</v>
      </c>
      <c r="P32"/>
    </row>
    <row r="33" spans="1:16" x14ac:dyDescent="0.25">
      <c r="A33" s="13" t="s">
        <v>178</v>
      </c>
      <c r="B33" s="9" t="str">
        <f>VLOOKUP(A33,Data[],2,FALSE)</f>
        <v>QUEENS</v>
      </c>
      <c r="C33" s="9" t="s">
        <v>106</v>
      </c>
      <c r="D33" s="9">
        <f>VLOOKUP(IntComp[[#This Row],[DEVELOPMENT]],Data[],31,FALSE)</f>
        <v>6</v>
      </c>
      <c r="E33" s="66">
        <f>VLOOKUP(IntComp[[#This Row],[DEVELOPMENT]],Data[],8,FALSE)</f>
        <v>0</v>
      </c>
      <c r="F33" s="66">
        <f>VLOOKUP(IntComp[[#This Row],[DEVELOPMENT]],Data[],9,FALSE)</f>
        <v>0</v>
      </c>
      <c r="G33" s="66"/>
      <c r="H33" s="66" t="str">
        <f>IFERROR(VLOOKUP(IntComp[[#This Row],[DEVELOPMENT]],Data[],4,FALSE),"")</f>
        <v/>
      </c>
      <c r="I33" s="66" t="str">
        <f>IF(IntComp[[#This Row],[RAD/PACT]]="","",IF(IntComp[[#This Row],[RAD/PACT]]&lt;=2025,"Yes",""))</f>
        <v/>
      </c>
      <c r="J33" s="67" t="str">
        <f ca="1">IF(VLOOKUP(IntComp[[#This Row],[DEVELOPMENT]],Data[],10,FALSE)=0,"",DATEDIF(VLOOKUP(IntComp[[#This Row],[DEVELOPMENT]],Data[],12,FALSE),TODAY(),"Y"))</f>
        <v/>
      </c>
      <c r="K33" s="67">
        <f>IF(IntComp[[#This Row],[RAD/PACT]]="",VLOOKUP(IntComp[[#This Row],[DEVELOPMENT]],Data[],10,FALSE),IF(IntComp[[#This Row],[RAD/PACT by 2025]]="yes",0,VLOOKUP(IntComp[[#This Row],[DEVELOPMENT]],Data[],10,FALSE)))</f>
        <v>0</v>
      </c>
      <c r="L33" s="63">
        <f ca="1">IF(IntComp[[#This Row],[RAD/PACT by 2025]]="Yes",0,(IntComp[[#This Row],['# Int. Compactors to Replace]]*'Unit Costs'!$B$8)*(1+((IntComp[[#This Row],[est. Year]]-YEAR(TODAY()))*$L$2)))</f>
        <v>441920.36699999991</v>
      </c>
      <c r="M33" s="67">
        <f>SUM(INDEX(IntComp['# to Replace],1):IntComp[[#This Row],['# to Replace]])</f>
        <v>0</v>
      </c>
      <c r="N33" s="67">
        <f>ROUNDDOWN(IntComp[[#This Row],[Count]]/100,0)+$N$1</f>
        <v>2020</v>
      </c>
      <c r="O33" s="86">
        <f t="shared" ca="1" si="0"/>
        <v>16203746.790000007</v>
      </c>
      <c r="P33"/>
    </row>
    <row r="34" spans="1:16" x14ac:dyDescent="0.25">
      <c r="A34" s="82" t="s">
        <v>142</v>
      </c>
      <c r="B34" s="1" t="str">
        <f>VLOOKUP(A34,Data[],2,FALSE)</f>
        <v>BROOKLYN</v>
      </c>
      <c r="C34" s="9" t="s">
        <v>106</v>
      </c>
      <c r="D34" s="9">
        <f>VLOOKUP(IntComp[[#This Row],[DEVELOPMENT]],Data[],31,FALSE)</f>
        <v>5</v>
      </c>
      <c r="E34" s="9" t="str">
        <f>VLOOKUP(IntComp[[#This Row],[DEVELOPMENT]],Data[],8,FALSE)</f>
        <v>Zone 1</v>
      </c>
      <c r="F34" s="9" t="str">
        <f>VLOOKUP(IntComp[[#This Row],[DEVELOPMENT]],Data[],9,FALSE)</f>
        <v>$</v>
      </c>
      <c r="G34" s="9"/>
      <c r="H34" s="9" t="str">
        <f>IFERROR(VLOOKUP(IntComp[[#This Row],[DEVELOPMENT]],Data[],4,FALSE),"")</f>
        <v/>
      </c>
      <c r="I34" s="9" t="str">
        <f>IF(IntComp[[#This Row],[RAD/PACT]]="","",IF(IntComp[[#This Row],[RAD/PACT]]&lt;=2025,"Yes",""))</f>
        <v/>
      </c>
      <c r="J34" s="1" t="str">
        <f ca="1">IF(VLOOKUP(IntComp[[#This Row],[DEVELOPMENT]],Data[],10,FALSE)=0,"",DATEDIF(VLOOKUP(IntComp[[#This Row],[DEVELOPMENT]],Data[],12,FALSE),TODAY(),"Y"))</f>
        <v/>
      </c>
      <c r="K34" s="1">
        <f>IF(IntComp[[#This Row],[RAD/PACT]]="",VLOOKUP(IntComp[[#This Row],[DEVELOPMENT]],Data[],10,FALSE),IF(IntComp[[#This Row],[RAD/PACT by 2025]]="yes",0,VLOOKUP(IntComp[[#This Row],[DEVELOPMENT]],Data[],10,FALSE)))</f>
        <v>0</v>
      </c>
      <c r="L34" s="63">
        <f ca="1">IF(IntComp[[#This Row],[RAD/PACT by 2025]]="Yes",0,(IntComp[[#This Row],['# Int. Compactors to Replace]]*'Unit Costs'!$B$8)*(1+((IntComp[[#This Row],[est. Year]]-YEAR(TODAY()))*$L$2)))</f>
        <v>368266.97249999997</v>
      </c>
      <c r="M34" s="1">
        <f>SUM(INDEX(IntComp['# to Replace],1):IntComp[[#This Row],['# to Replace]])</f>
        <v>0</v>
      </c>
      <c r="N34" s="1">
        <f>ROUNDDOWN(IntComp[[#This Row],[Count]]/100,0)+$N$1</f>
        <v>2020</v>
      </c>
      <c r="O34" s="81">
        <f t="shared" ca="1" si="0"/>
        <v>16572013.762500007</v>
      </c>
      <c r="P34"/>
    </row>
    <row r="35" spans="1:16" x14ac:dyDescent="0.25">
      <c r="A35" s="13" t="s">
        <v>179</v>
      </c>
      <c r="B35" s="9" t="str">
        <f>VLOOKUP(A35,Data[],2,FALSE)</f>
        <v>BROOKLYN</v>
      </c>
      <c r="C35" s="9" t="s">
        <v>106</v>
      </c>
      <c r="D35" s="9">
        <f>VLOOKUP(IntComp[[#This Row],[DEVELOPMENT]],Data[],31,FALSE)</f>
        <v>0</v>
      </c>
      <c r="E35" s="66">
        <f>VLOOKUP(IntComp[[#This Row],[DEVELOPMENT]],Data[],8,FALSE)</f>
        <v>0</v>
      </c>
      <c r="F35" s="66">
        <f>VLOOKUP(IntComp[[#This Row],[DEVELOPMENT]],Data[],9,FALSE)</f>
        <v>0</v>
      </c>
      <c r="G35" s="66"/>
      <c r="H35" s="66" t="str">
        <f>IFERROR(VLOOKUP(IntComp[[#This Row],[DEVELOPMENT]],Data[],4,FALSE),"")</f>
        <v/>
      </c>
      <c r="I35" s="66" t="str">
        <f>IF(IntComp[[#This Row],[RAD/PACT]]="","",IF(IntComp[[#This Row],[RAD/PACT]]&lt;=2025,"Yes",""))</f>
        <v/>
      </c>
      <c r="J35" s="67" t="str">
        <f ca="1">IF(VLOOKUP(IntComp[[#This Row],[DEVELOPMENT]],Data[],10,FALSE)=0,"",DATEDIF(VLOOKUP(IntComp[[#This Row],[DEVELOPMENT]],Data[],12,FALSE),TODAY(),"Y"))</f>
        <v/>
      </c>
      <c r="K35" s="67">
        <f>IF(IntComp[[#This Row],[RAD/PACT]]="",VLOOKUP(IntComp[[#This Row],[DEVELOPMENT]],Data[],10,FALSE),IF(IntComp[[#This Row],[RAD/PACT by 2025]]="yes",0,VLOOKUP(IntComp[[#This Row],[DEVELOPMENT]],Data[],10,FALSE)))</f>
        <v>0</v>
      </c>
      <c r="L35" s="63">
        <f ca="1">IF(IntComp[[#This Row],[RAD/PACT by 2025]]="Yes",0,(IntComp[[#This Row],['# Int. Compactors to Replace]]*'Unit Costs'!$B$8)*(1+((IntComp[[#This Row],[est. Year]]-YEAR(TODAY()))*$L$2)))</f>
        <v>0</v>
      </c>
      <c r="M35" s="67">
        <f>SUM(INDEX(IntComp['# to Replace],1):IntComp[[#This Row],['# to Replace]])</f>
        <v>0</v>
      </c>
      <c r="N35" s="67">
        <f>ROUNDDOWN(IntComp[[#This Row],[Count]]/100,0)+$N$1</f>
        <v>2020</v>
      </c>
      <c r="O35" s="86">
        <f t="shared" ca="1" si="0"/>
        <v>16572013.762500007</v>
      </c>
      <c r="P35"/>
    </row>
    <row r="36" spans="1:16" x14ac:dyDescent="0.25">
      <c r="A36" s="13" t="s">
        <v>180</v>
      </c>
      <c r="B36" s="9" t="str">
        <f>VLOOKUP(A36,Data[],2,FALSE)</f>
        <v>STATEN ISLAND</v>
      </c>
      <c r="C36" s="9" t="s">
        <v>106</v>
      </c>
      <c r="D36" s="9">
        <f>VLOOKUP(IntComp[[#This Row],[DEVELOPMENT]],Data[],31,FALSE)</f>
        <v>15</v>
      </c>
      <c r="E36" s="66">
        <f>VLOOKUP(IntComp[[#This Row],[DEVELOPMENT]],Data[],8,FALSE)</f>
        <v>0</v>
      </c>
      <c r="F36" s="66">
        <f>VLOOKUP(IntComp[[#This Row],[DEVELOPMENT]],Data[],9,FALSE)</f>
        <v>0</v>
      </c>
      <c r="G36" s="66"/>
      <c r="H36" s="66" t="str">
        <f>IFERROR(VLOOKUP(IntComp[[#This Row],[DEVELOPMENT]],Data[],4,FALSE),"")</f>
        <v/>
      </c>
      <c r="I36" s="66" t="str">
        <f>IF(IntComp[[#This Row],[RAD/PACT]]="","",IF(IntComp[[#This Row],[RAD/PACT]]&lt;=2025,"Yes",""))</f>
        <v/>
      </c>
      <c r="J36" s="67" t="str">
        <f ca="1">IF(VLOOKUP(IntComp[[#This Row],[DEVELOPMENT]],Data[],10,FALSE)=0,"",DATEDIF(VLOOKUP(IntComp[[#This Row],[DEVELOPMENT]],Data[],12,FALSE),TODAY(),"Y"))</f>
        <v/>
      </c>
      <c r="K36" s="67">
        <f>IF(IntComp[[#This Row],[RAD/PACT]]="",VLOOKUP(IntComp[[#This Row],[DEVELOPMENT]],Data[],10,FALSE),IF(IntComp[[#This Row],[RAD/PACT by 2025]]="yes",0,VLOOKUP(IntComp[[#This Row],[DEVELOPMENT]],Data[],10,FALSE)))</f>
        <v>0</v>
      </c>
      <c r="L36" s="63">
        <f ca="1">IF(IntComp[[#This Row],[RAD/PACT by 2025]]="Yes",0,(IntComp[[#This Row],['# Int. Compactors to Replace]]*'Unit Costs'!$B$8)*(1+((IntComp[[#This Row],[est. Year]]-YEAR(TODAY()))*$L$2)))</f>
        <v>1104800.9175</v>
      </c>
      <c r="M36" s="67">
        <f>SUM(INDEX(IntComp['# to Replace],1):IntComp[[#This Row],['# to Replace]])</f>
        <v>0</v>
      </c>
      <c r="N36" s="67">
        <f>ROUNDDOWN(IntComp[[#This Row],[Count]]/100,0)+$N$1</f>
        <v>2020</v>
      </c>
      <c r="O36" s="86">
        <f t="shared" ca="1" si="0"/>
        <v>17676814.680000007</v>
      </c>
      <c r="P36"/>
    </row>
    <row r="37" spans="1:16" x14ac:dyDescent="0.25">
      <c r="A37" s="13" t="s">
        <v>181</v>
      </c>
      <c r="B37" s="9" t="str">
        <f>VLOOKUP(A37,Data[],2,FALSE)</f>
        <v>BROOKLYN</v>
      </c>
      <c r="C37" s="9" t="s">
        <v>106</v>
      </c>
      <c r="D37" s="9">
        <f>VLOOKUP(IntComp[[#This Row],[DEVELOPMENT]],Data[],31,FALSE)</f>
        <v>1</v>
      </c>
      <c r="E37" s="66">
        <f>VLOOKUP(IntComp[[#This Row],[DEVELOPMENT]],Data[],8,FALSE)</f>
        <v>0</v>
      </c>
      <c r="F37" s="66">
        <f>VLOOKUP(IntComp[[#This Row],[DEVELOPMENT]],Data[],9,FALSE)</f>
        <v>0</v>
      </c>
      <c r="G37" s="66"/>
      <c r="H37" s="66" t="str">
        <f>IFERROR(VLOOKUP(IntComp[[#This Row],[DEVELOPMENT]],Data[],4,FALSE),"")</f>
        <v/>
      </c>
      <c r="I37" s="66" t="str">
        <f>IF(IntComp[[#This Row],[RAD/PACT]]="","",IF(IntComp[[#This Row],[RAD/PACT]]&lt;=2025,"Yes",""))</f>
        <v/>
      </c>
      <c r="J37" s="67" t="str">
        <f ca="1">IF(VLOOKUP(IntComp[[#This Row],[DEVELOPMENT]],Data[],10,FALSE)=0,"",DATEDIF(VLOOKUP(IntComp[[#This Row],[DEVELOPMENT]],Data[],12,FALSE),TODAY(),"Y"))</f>
        <v/>
      </c>
      <c r="K37" s="67">
        <f>IF(IntComp[[#This Row],[RAD/PACT]]="",VLOOKUP(IntComp[[#This Row],[DEVELOPMENT]],Data[],10,FALSE),IF(IntComp[[#This Row],[RAD/PACT by 2025]]="yes",0,VLOOKUP(IntComp[[#This Row],[DEVELOPMENT]],Data[],10,FALSE)))</f>
        <v>0</v>
      </c>
      <c r="L37" s="63">
        <f ca="1">IF(IntComp[[#This Row],[RAD/PACT by 2025]]="Yes",0,(IntComp[[#This Row],['# Int. Compactors to Replace]]*'Unit Costs'!$B$8)*(1+((IntComp[[#This Row],[est. Year]]-YEAR(TODAY()))*$L$2)))</f>
        <v>73653.394499999995</v>
      </c>
      <c r="M37" s="67">
        <f>SUM(INDEX(IntComp['# to Replace],1):IntComp[[#This Row],['# to Replace]])</f>
        <v>0</v>
      </c>
      <c r="N37" s="67">
        <f>ROUNDDOWN(IntComp[[#This Row],[Count]]/100,0)+$N$1</f>
        <v>2020</v>
      </c>
      <c r="O37" s="86">
        <f t="shared" ca="1" si="0"/>
        <v>17750468.074500006</v>
      </c>
      <c r="P37"/>
    </row>
    <row r="38" spans="1:16" x14ac:dyDescent="0.25">
      <c r="A38" s="13" t="s">
        <v>71</v>
      </c>
      <c r="B38" s="1" t="str">
        <f>VLOOKUP(A38,Data[],2,FALSE)</f>
        <v>MANHATTAN</v>
      </c>
      <c r="C38" s="9" t="s">
        <v>106</v>
      </c>
      <c r="D38" s="9">
        <f>VLOOKUP(IntComp[[#This Row],[DEVELOPMENT]],Data[],31,FALSE)</f>
        <v>1</v>
      </c>
      <c r="E38" s="9" t="str">
        <f>VLOOKUP(IntComp[[#This Row],[DEVELOPMENT]],Data[],8,FALSE)</f>
        <v>Zone 3</v>
      </c>
      <c r="F38" s="9" t="str">
        <f>VLOOKUP(IntComp[[#This Row],[DEVELOPMENT]],Data[],9,FALSE)</f>
        <v>$$</v>
      </c>
      <c r="G38" s="9"/>
      <c r="H38" s="9">
        <f>IFERROR(VLOOKUP(IntComp[[#This Row],[DEVELOPMENT]],Data[],4,FALSE),"")</f>
        <v>2020</v>
      </c>
      <c r="I38" s="9" t="str">
        <f>IF(IntComp[[#This Row],[RAD/PACT]]="","",IF(IntComp[[#This Row],[RAD/PACT]]&lt;=2025,"Yes",""))</f>
        <v>Yes</v>
      </c>
      <c r="J38" s="1" t="str">
        <f ca="1">IF(VLOOKUP(IntComp[[#This Row],[DEVELOPMENT]],Data[],10,FALSE)=0,"",DATEDIF(VLOOKUP(IntComp[[#This Row],[DEVELOPMENT]],Data[],12,FALSE),TODAY(),"Y"))</f>
        <v/>
      </c>
      <c r="K38" s="1">
        <f>IF(IntComp[[#This Row],[RAD/PACT]]="",VLOOKUP(IntComp[[#This Row],[DEVELOPMENT]],Data[],10,FALSE),IF(IntComp[[#This Row],[RAD/PACT by 2025]]="yes",0,VLOOKUP(IntComp[[#This Row],[DEVELOPMENT]],Data[],10,FALSE)))</f>
        <v>0</v>
      </c>
      <c r="L38" s="63">
        <f ca="1">IF(IntComp[[#This Row],[RAD/PACT by 2025]]="Yes",0,(IntComp[[#This Row],['# Int. Compactors to Replace]]*'Unit Costs'!$B$8)*(1+((IntComp[[#This Row],[est. Year]]-YEAR(TODAY()))*$L$2)))</f>
        <v>0</v>
      </c>
      <c r="M38" s="1">
        <f>SUM(INDEX(IntComp['# to Replace],1):IntComp[[#This Row],['# to Replace]])</f>
        <v>0</v>
      </c>
      <c r="N38" s="1">
        <f>ROUNDDOWN(IntComp[[#This Row],[Count]]/100,0)+$N$1</f>
        <v>2020</v>
      </c>
      <c r="O38" s="81">
        <f t="shared" ca="1" si="0"/>
        <v>17750468.074500006</v>
      </c>
      <c r="P38"/>
    </row>
    <row r="39" spans="1:16" x14ac:dyDescent="0.25">
      <c r="A39" s="13" t="s">
        <v>182</v>
      </c>
      <c r="B39" s="9" t="str">
        <f>VLOOKUP(A39,Data[],2,FALSE)</f>
        <v>QUEENS</v>
      </c>
      <c r="C39" s="9" t="s">
        <v>106</v>
      </c>
      <c r="D39" s="9">
        <f>VLOOKUP(IntComp[[#This Row],[DEVELOPMENT]],Data[],31,FALSE)</f>
        <v>5</v>
      </c>
      <c r="E39" s="66">
        <f>VLOOKUP(IntComp[[#This Row],[DEVELOPMENT]],Data[],8,FALSE)</f>
        <v>0</v>
      </c>
      <c r="F39" s="66">
        <f>VLOOKUP(IntComp[[#This Row],[DEVELOPMENT]],Data[],9,FALSE)</f>
        <v>0</v>
      </c>
      <c r="G39" s="66"/>
      <c r="H39" s="66" t="str">
        <f>IFERROR(VLOOKUP(IntComp[[#This Row],[DEVELOPMENT]],Data[],4,FALSE),"")</f>
        <v/>
      </c>
      <c r="I39" s="66" t="str">
        <f>IF(IntComp[[#This Row],[RAD/PACT]]="","",IF(IntComp[[#This Row],[RAD/PACT]]&lt;=2025,"Yes",""))</f>
        <v/>
      </c>
      <c r="J39" s="67" t="str">
        <f ca="1">IF(VLOOKUP(IntComp[[#This Row],[DEVELOPMENT]],Data[],10,FALSE)=0,"",DATEDIF(VLOOKUP(IntComp[[#This Row],[DEVELOPMENT]],Data[],12,FALSE),TODAY(),"Y"))</f>
        <v/>
      </c>
      <c r="K39" s="67">
        <f>IF(IntComp[[#This Row],[RAD/PACT]]="",VLOOKUP(IntComp[[#This Row],[DEVELOPMENT]],Data[],10,FALSE),IF(IntComp[[#This Row],[RAD/PACT by 2025]]="yes",0,VLOOKUP(IntComp[[#This Row],[DEVELOPMENT]],Data[],10,FALSE)))</f>
        <v>0</v>
      </c>
      <c r="L39" s="63">
        <f ca="1">IF(IntComp[[#This Row],[RAD/PACT by 2025]]="Yes",0,(IntComp[[#This Row],['# Int. Compactors to Replace]]*'Unit Costs'!$B$8)*(1+((IntComp[[#This Row],[est. Year]]-YEAR(TODAY()))*$L$2)))</f>
        <v>368266.97249999997</v>
      </c>
      <c r="M39" s="67">
        <f>SUM(INDEX(IntComp['# to Replace],1):IntComp[[#This Row],['# to Replace]])</f>
        <v>0</v>
      </c>
      <c r="N39" s="67">
        <f>ROUNDDOWN(IntComp[[#This Row],[Count]]/100,0)+$N$1</f>
        <v>2020</v>
      </c>
      <c r="O39" s="86">
        <f t="shared" ca="1" si="0"/>
        <v>18118735.047000006</v>
      </c>
      <c r="P39"/>
    </row>
    <row r="40" spans="1:16" x14ac:dyDescent="0.25">
      <c r="A40" s="13" t="s">
        <v>119</v>
      </c>
      <c r="B40" s="1" t="str">
        <f>VLOOKUP(A40,Data[],2,FALSE)</f>
        <v>BROOKLYN</v>
      </c>
      <c r="C40" s="9" t="s">
        <v>106</v>
      </c>
      <c r="D40" s="9">
        <f>VLOOKUP(IntComp[[#This Row],[DEVELOPMENT]],Data[],31,FALSE)</f>
        <v>8</v>
      </c>
      <c r="E40" s="9" t="str">
        <f>VLOOKUP(IntComp[[#This Row],[DEVELOPMENT]],Data[],8,FALSE)</f>
        <v>Zone 3</v>
      </c>
      <c r="F40" s="9" t="str">
        <f>VLOOKUP(IntComp[[#This Row],[DEVELOPMENT]],Data[],9,FALSE)</f>
        <v>$$$$</v>
      </c>
      <c r="G40" s="9"/>
      <c r="H40" s="9" t="str">
        <f>IFERROR(VLOOKUP(IntComp[[#This Row],[DEVELOPMENT]],Data[],4,FALSE),"")</f>
        <v/>
      </c>
      <c r="I40" s="9" t="str">
        <f>IF(IntComp[[#This Row],[RAD/PACT]]="","",IF(IntComp[[#This Row],[RAD/PACT]]&lt;=2025,"Yes",""))</f>
        <v/>
      </c>
      <c r="J40" s="1" t="str">
        <f ca="1">IF(VLOOKUP(IntComp[[#This Row],[DEVELOPMENT]],Data[],10,FALSE)=0,"",DATEDIF(VLOOKUP(IntComp[[#This Row],[DEVELOPMENT]],Data[],12,FALSE),TODAY(),"Y"))</f>
        <v/>
      </c>
      <c r="K40" s="1">
        <f>IF(IntComp[[#This Row],[RAD/PACT]]="",VLOOKUP(IntComp[[#This Row],[DEVELOPMENT]],Data[],10,FALSE),IF(IntComp[[#This Row],[RAD/PACT by 2025]]="yes",0,VLOOKUP(IntComp[[#This Row],[DEVELOPMENT]],Data[],10,FALSE)))</f>
        <v>0</v>
      </c>
      <c r="L40" s="63">
        <f ca="1">IF(IntComp[[#This Row],[RAD/PACT by 2025]]="Yes",0,(IntComp[[#This Row],['# Int. Compactors to Replace]]*'Unit Costs'!$B$8)*(1+((IntComp[[#This Row],[est. Year]]-YEAR(TODAY()))*$L$2)))</f>
        <v>589227.15599999996</v>
      </c>
      <c r="M40" s="1">
        <f>SUM(INDEX(IntComp['# to Replace],1):IntComp[[#This Row],['# to Replace]])</f>
        <v>0</v>
      </c>
      <c r="N40" s="1">
        <f>ROUNDDOWN(IntComp[[#This Row],[Count]]/100,0)+$N$1</f>
        <v>2020</v>
      </c>
      <c r="O40" s="81">
        <f t="shared" ca="1" si="0"/>
        <v>18707962.203000005</v>
      </c>
      <c r="P40"/>
    </row>
    <row r="41" spans="1:16" x14ac:dyDescent="0.25">
      <c r="A41" s="13" t="s">
        <v>72</v>
      </c>
      <c r="B41" s="1" t="str">
        <f>VLOOKUP(A41,Data[],2,FALSE)</f>
        <v>BROOKLYN</v>
      </c>
      <c r="C41" s="9" t="s">
        <v>106</v>
      </c>
      <c r="D41" s="9">
        <f>VLOOKUP(IntComp[[#This Row],[DEVELOPMENT]],Data[],31,FALSE)</f>
        <v>7</v>
      </c>
      <c r="E41" s="9" t="str">
        <f>VLOOKUP(IntComp[[#This Row],[DEVELOPMENT]],Data[],8,FALSE)</f>
        <v>Zone 3</v>
      </c>
      <c r="F41" s="9" t="str">
        <f>VLOOKUP(IntComp[[#This Row],[DEVELOPMENT]],Data[],9,FALSE)</f>
        <v>$$$</v>
      </c>
      <c r="G41" s="9"/>
      <c r="H41" s="9" t="str">
        <f>IFERROR(VLOOKUP(IntComp[[#This Row],[DEVELOPMENT]],Data[],4,FALSE),"")</f>
        <v/>
      </c>
      <c r="I41" s="9" t="str">
        <f>IF(IntComp[[#This Row],[RAD/PACT]]="","",IF(IntComp[[#This Row],[RAD/PACT]]&lt;=2025,"Yes",""))</f>
        <v/>
      </c>
      <c r="J41" s="1" t="str">
        <f ca="1">IF(VLOOKUP(IntComp[[#This Row],[DEVELOPMENT]],Data[],10,FALSE)=0,"",DATEDIF(VLOOKUP(IntComp[[#This Row],[DEVELOPMENT]],Data[],12,FALSE),TODAY(),"Y"))</f>
        <v/>
      </c>
      <c r="K41" s="1">
        <f>IF(IntComp[[#This Row],[RAD/PACT]]="",VLOOKUP(IntComp[[#This Row],[DEVELOPMENT]],Data[],10,FALSE),IF(IntComp[[#This Row],[RAD/PACT by 2025]]="yes",0,VLOOKUP(IntComp[[#This Row],[DEVELOPMENT]],Data[],10,FALSE)))</f>
        <v>0</v>
      </c>
      <c r="L41" s="63">
        <f ca="1">IF(IntComp[[#This Row],[RAD/PACT by 2025]]="Yes",0,(IntComp[[#This Row],['# Int. Compactors to Replace]]*'Unit Costs'!$B$8)*(1+((IntComp[[#This Row],[est. Year]]-YEAR(TODAY()))*$L$2)))</f>
        <v>515573.76149999991</v>
      </c>
      <c r="M41" s="1">
        <f>SUM(INDEX(IntComp['# to Replace],1):IntComp[[#This Row],['# to Replace]])</f>
        <v>0</v>
      </c>
      <c r="N41" s="1">
        <f>ROUNDDOWN(IntComp[[#This Row],[Count]]/100,0)+$N$1</f>
        <v>2020</v>
      </c>
      <c r="O41" s="81">
        <f t="shared" ca="1" si="0"/>
        <v>19223535.964500006</v>
      </c>
      <c r="P41"/>
    </row>
    <row r="42" spans="1:16" x14ac:dyDescent="0.25">
      <c r="A42" s="13" t="s">
        <v>183</v>
      </c>
      <c r="B42" s="9" t="str">
        <f>VLOOKUP(A42,Data[],2,FALSE)</f>
        <v>BRONX</v>
      </c>
      <c r="C42" s="9" t="s">
        <v>106</v>
      </c>
      <c r="D42" s="9">
        <f>VLOOKUP(IntComp[[#This Row],[DEVELOPMENT]],Data[],31,FALSE)</f>
        <v>1</v>
      </c>
      <c r="E42" s="66">
        <f>VLOOKUP(IntComp[[#This Row],[DEVELOPMENT]],Data[],8,FALSE)</f>
        <v>0</v>
      </c>
      <c r="F42" s="66">
        <f>VLOOKUP(IntComp[[#This Row],[DEVELOPMENT]],Data[],9,FALSE)</f>
        <v>0</v>
      </c>
      <c r="G42" s="66"/>
      <c r="H42" s="66">
        <f>IFERROR(VLOOKUP(IntComp[[#This Row],[DEVELOPMENT]],Data[],4,FALSE),"")</f>
        <v>2022</v>
      </c>
      <c r="I42" s="66" t="str">
        <f>IF(IntComp[[#This Row],[RAD/PACT]]="","",IF(IntComp[[#This Row],[RAD/PACT]]&lt;=2025,"Yes",""))</f>
        <v>Yes</v>
      </c>
      <c r="J42" s="67" t="str">
        <f ca="1">IF(VLOOKUP(IntComp[[#This Row],[DEVELOPMENT]],Data[],10,FALSE)=0,"",DATEDIF(VLOOKUP(IntComp[[#This Row],[DEVELOPMENT]],Data[],12,FALSE),TODAY(),"Y"))</f>
        <v/>
      </c>
      <c r="K42" s="67">
        <f>IF(IntComp[[#This Row],[RAD/PACT]]="",VLOOKUP(IntComp[[#This Row],[DEVELOPMENT]],Data[],10,FALSE),IF(IntComp[[#This Row],[RAD/PACT by 2025]]="yes",0,VLOOKUP(IntComp[[#This Row],[DEVELOPMENT]],Data[],10,FALSE)))</f>
        <v>0</v>
      </c>
      <c r="L42" s="63">
        <f ca="1">IF(IntComp[[#This Row],[RAD/PACT by 2025]]="Yes",0,(IntComp[[#This Row],['# Int. Compactors to Replace]]*'Unit Costs'!$B$8)*(1+((IntComp[[#This Row],[est. Year]]-YEAR(TODAY()))*$L$2)))</f>
        <v>0</v>
      </c>
      <c r="M42" s="67">
        <f>SUM(INDEX(IntComp['# to Replace],1):IntComp[[#This Row],['# to Replace]])</f>
        <v>0</v>
      </c>
      <c r="N42" s="67">
        <f>ROUNDDOWN(IntComp[[#This Row],[Count]]/100,0)+$N$1</f>
        <v>2020</v>
      </c>
      <c r="O42" s="86">
        <f t="shared" ca="1" si="0"/>
        <v>19223535.964500006</v>
      </c>
      <c r="P42"/>
    </row>
    <row r="43" spans="1:16" x14ac:dyDescent="0.25">
      <c r="A43" s="13" t="s">
        <v>184</v>
      </c>
      <c r="B43" s="9" t="str">
        <f>VLOOKUP(A43,Data[],2,FALSE)</f>
        <v>BRONX</v>
      </c>
      <c r="C43" s="9" t="s">
        <v>106</v>
      </c>
      <c r="D43" s="9">
        <f>VLOOKUP(IntComp[[#This Row],[DEVELOPMENT]],Data[],31,FALSE)</f>
        <v>4</v>
      </c>
      <c r="E43" s="66">
        <f>VLOOKUP(IntComp[[#This Row],[DEVELOPMENT]],Data[],8,FALSE)</f>
        <v>0</v>
      </c>
      <c r="F43" s="66">
        <f>VLOOKUP(IntComp[[#This Row],[DEVELOPMENT]],Data[],9,FALSE)</f>
        <v>0</v>
      </c>
      <c r="G43" s="66"/>
      <c r="H43" s="66" t="str">
        <f>IFERROR(VLOOKUP(IntComp[[#This Row],[DEVELOPMENT]],Data[],4,FALSE),"")</f>
        <v/>
      </c>
      <c r="I43" s="66" t="str">
        <f>IF(IntComp[[#This Row],[RAD/PACT]]="","",IF(IntComp[[#This Row],[RAD/PACT]]&lt;=2025,"Yes",""))</f>
        <v/>
      </c>
      <c r="J43" s="67" t="str">
        <f ca="1">IF(VLOOKUP(IntComp[[#This Row],[DEVELOPMENT]],Data[],10,FALSE)=0,"",DATEDIF(VLOOKUP(IntComp[[#This Row],[DEVELOPMENT]],Data[],12,FALSE),TODAY(),"Y"))</f>
        <v/>
      </c>
      <c r="K43" s="67">
        <f>IF(IntComp[[#This Row],[RAD/PACT]]="",VLOOKUP(IntComp[[#This Row],[DEVELOPMENT]],Data[],10,FALSE),IF(IntComp[[#This Row],[RAD/PACT by 2025]]="yes",0,VLOOKUP(IntComp[[#This Row],[DEVELOPMENT]],Data[],10,FALSE)))</f>
        <v>0</v>
      </c>
      <c r="L43" s="63">
        <f ca="1">IF(IntComp[[#This Row],[RAD/PACT by 2025]]="Yes",0,(IntComp[[#This Row],['# Int. Compactors to Replace]]*'Unit Costs'!$B$8)*(1+((IntComp[[#This Row],[est. Year]]-YEAR(TODAY()))*$L$2)))</f>
        <v>294613.57799999998</v>
      </c>
      <c r="M43" s="67">
        <f>SUM(INDEX(IntComp['# to Replace],1):IntComp[[#This Row],['# to Replace]])</f>
        <v>0</v>
      </c>
      <c r="N43" s="67">
        <f>ROUNDDOWN(IntComp[[#This Row],[Count]]/100,0)+$N$1</f>
        <v>2020</v>
      </c>
      <c r="O43" s="86">
        <f t="shared" ca="1" si="0"/>
        <v>19518149.542500008</v>
      </c>
      <c r="P43"/>
    </row>
    <row r="44" spans="1:16" x14ac:dyDescent="0.25">
      <c r="A44" s="13" t="s">
        <v>185</v>
      </c>
      <c r="B44" s="9" t="str">
        <f>VLOOKUP(A44,Data[],2,FALSE)</f>
        <v>BROOKLYN</v>
      </c>
      <c r="C44" s="9" t="s">
        <v>106</v>
      </c>
      <c r="D44" s="9">
        <f>VLOOKUP(IntComp[[#This Row],[DEVELOPMENT]],Data[],31,FALSE)</f>
        <v>29</v>
      </c>
      <c r="E44" s="66">
        <f>VLOOKUP(IntComp[[#This Row],[DEVELOPMENT]],Data[],8,FALSE)</f>
        <v>0</v>
      </c>
      <c r="F44" s="66">
        <f>VLOOKUP(IntComp[[#This Row],[DEVELOPMENT]],Data[],9,FALSE)</f>
        <v>0</v>
      </c>
      <c r="G44" s="66"/>
      <c r="H44" s="66">
        <f>IFERROR(VLOOKUP(IntComp[[#This Row],[DEVELOPMENT]],Data[],4,FALSE),"")</f>
        <v>2020</v>
      </c>
      <c r="I44" s="66" t="str">
        <f>IF(IntComp[[#This Row],[RAD/PACT]]="","",IF(IntComp[[#This Row],[RAD/PACT]]&lt;=2025,"Yes",""))</f>
        <v>Yes</v>
      </c>
      <c r="J44" s="67" t="str">
        <f ca="1">IF(VLOOKUP(IntComp[[#This Row],[DEVELOPMENT]],Data[],10,FALSE)=0,"",DATEDIF(VLOOKUP(IntComp[[#This Row],[DEVELOPMENT]],Data[],12,FALSE),TODAY(),"Y"))</f>
        <v/>
      </c>
      <c r="K44" s="67">
        <f>IF(IntComp[[#This Row],[RAD/PACT]]="",VLOOKUP(IntComp[[#This Row],[DEVELOPMENT]],Data[],10,FALSE),IF(IntComp[[#This Row],[RAD/PACT by 2025]]="yes",0,VLOOKUP(IntComp[[#This Row],[DEVELOPMENT]],Data[],10,FALSE)))</f>
        <v>0</v>
      </c>
      <c r="L44" s="63">
        <f ca="1">IF(IntComp[[#This Row],[RAD/PACT by 2025]]="Yes",0,(IntComp[[#This Row],['# Int. Compactors to Replace]]*'Unit Costs'!$B$8)*(1+((IntComp[[#This Row],[est. Year]]-YEAR(TODAY()))*$L$2)))</f>
        <v>0</v>
      </c>
      <c r="M44" s="67">
        <f>SUM(INDEX(IntComp['# to Replace],1):IntComp[[#This Row],['# to Replace]])</f>
        <v>0</v>
      </c>
      <c r="N44" s="67">
        <f>ROUNDDOWN(IntComp[[#This Row],[Count]]/100,0)+$N$1</f>
        <v>2020</v>
      </c>
      <c r="O44" s="86">
        <f t="shared" ca="1" si="0"/>
        <v>19518149.542500008</v>
      </c>
      <c r="P44"/>
    </row>
    <row r="45" spans="1:16" x14ac:dyDescent="0.25">
      <c r="A45" s="13" t="s">
        <v>186</v>
      </c>
      <c r="B45" s="9" t="str">
        <f>VLOOKUP(A45,Data[],2,FALSE)</f>
        <v>BRONX</v>
      </c>
      <c r="C45" s="9" t="s">
        <v>106</v>
      </c>
      <c r="D45" s="9">
        <f>VLOOKUP(IntComp[[#This Row],[DEVELOPMENT]],Data[],31,FALSE)</f>
        <v>3</v>
      </c>
      <c r="E45" s="66">
        <f>VLOOKUP(IntComp[[#This Row],[DEVELOPMENT]],Data[],8,FALSE)</f>
        <v>0</v>
      </c>
      <c r="F45" s="66">
        <f>VLOOKUP(IntComp[[#This Row],[DEVELOPMENT]],Data[],9,FALSE)</f>
        <v>0</v>
      </c>
      <c r="G45" s="66"/>
      <c r="H45" s="66" t="str">
        <f>IFERROR(VLOOKUP(IntComp[[#This Row],[DEVELOPMENT]],Data[],4,FALSE),"")</f>
        <v/>
      </c>
      <c r="I45" s="66" t="str">
        <f>IF(IntComp[[#This Row],[RAD/PACT]]="","",IF(IntComp[[#This Row],[RAD/PACT]]&lt;=2025,"Yes",""))</f>
        <v/>
      </c>
      <c r="J45" s="67" t="str">
        <f ca="1">IF(VLOOKUP(IntComp[[#This Row],[DEVELOPMENT]],Data[],10,FALSE)=0,"",DATEDIF(VLOOKUP(IntComp[[#This Row],[DEVELOPMENT]],Data[],12,FALSE),TODAY(),"Y"))</f>
        <v/>
      </c>
      <c r="K45" s="67">
        <f>IF(IntComp[[#This Row],[RAD/PACT]]="",VLOOKUP(IntComp[[#This Row],[DEVELOPMENT]],Data[],10,FALSE),IF(IntComp[[#This Row],[RAD/PACT by 2025]]="yes",0,VLOOKUP(IntComp[[#This Row],[DEVELOPMENT]],Data[],10,FALSE)))</f>
        <v>0</v>
      </c>
      <c r="L45" s="63">
        <f ca="1">IF(IntComp[[#This Row],[RAD/PACT by 2025]]="Yes",0,(IntComp[[#This Row],['# Int. Compactors to Replace]]*'Unit Costs'!$B$8)*(1+((IntComp[[#This Row],[est. Year]]-YEAR(TODAY()))*$L$2)))</f>
        <v>220960.18349999996</v>
      </c>
      <c r="M45" s="67">
        <f>SUM(INDEX(IntComp['# to Replace],1):IntComp[[#This Row],['# to Replace]])</f>
        <v>0</v>
      </c>
      <c r="N45" s="67">
        <f>ROUNDDOWN(IntComp[[#This Row],[Count]]/100,0)+$N$1</f>
        <v>2020</v>
      </c>
      <c r="O45" s="86">
        <f t="shared" ca="1" si="0"/>
        <v>19739109.726000007</v>
      </c>
      <c r="P45"/>
    </row>
    <row r="46" spans="1:16" x14ac:dyDescent="0.25">
      <c r="A46" s="82" t="s">
        <v>59</v>
      </c>
      <c r="B46" s="1" t="str">
        <f>VLOOKUP(A46,Data[],2,FALSE)</f>
        <v>MANHATTAN</v>
      </c>
      <c r="C46" s="9" t="s">
        <v>106</v>
      </c>
      <c r="D46" s="9">
        <f>VLOOKUP(IntComp[[#This Row],[DEVELOPMENT]],Data[],31,FALSE)</f>
        <v>2</v>
      </c>
      <c r="E46" s="9" t="str">
        <f>VLOOKUP(IntComp[[#This Row],[DEVELOPMENT]],Data[],8,FALSE)</f>
        <v>Zone 1</v>
      </c>
      <c r="F46" s="9" t="str">
        <f>VLOOKUP(IntComp[[#This Row],[DEVELOPMENT]],Data[],9,FALSE)</f>
        <v>$</v>
      </c>
      <c r="G46" s="9"/>
      <c r="H46" s="9">
        <f>IFERROR(VLOOKUP(IntComp[[#This Row],[DEVELOPMENT]],Data[],4,FALSE),"")</f>
        <v>2026</v>
      </c>
      <c r="I46" s="9" t="str">
        <f>IF(IntComp[[#This Row],[RAD/PACT]]="","",IF(IntComp[[#This Row],[RAD/PACT]]&lt;=2025,"Yes",""))</f>
        <v/>
      </c>
      <c r="J46" s="1" t="str">
        <f ca="1">IF(VLOOKUP(IntComp[[#This Row],[DEVELOPMENT]],Data[],10,FALSE)=0,"",DATEDIF(VLOOKUP(IntComp[[#This Row],[DEVELOPMENT]],Data[],12,FALSE),TODAY(),"Y"))</f>
        <v/>
      </c>
      <c r="K46" s="1">
        <f>IF(IntComp[[#This Row],[RAD/PACT]]="",VLOOKUP(IntComp[[#This Row],[DEVELOPMENT]],Data[],10,FALSE),IF(IntComp[[#This Row],[RAD/PACT by 2025]]="yes",0,VLOOKUP(IntComp[[#This Row],[DEVELOPMENT]],Data[],10,FALSE)))</f>
        <v>0</v>
      </c>
      <c r="L46" s="63">
        <f ca="1">IF(IntComp[[#This Row],[RAD/PACT by 2025]]="Yes",0,(IntComp[[#This Row],['# Int. Compactors to Replace]]*'Unit Costs'!$B$8)*(1+((IntComp[[#This Row],[est. Year]]-YEAR(TODAY()))*$L$2)))</f>
        <v>147306.78899999999</v>
      </c>
      <c r="M46" s="1">
        <f>SUM(INDEX(IntComp['# to Replace],1):IntComp[[#This Row],['# to Replace]])</f>
        <v>0</v>
      </c>
      <c r="N46" s="1">
        <f>ROUNDDOWN(IntComp[[#This Row],[Count]]/100,0)+$N$1</f>
        <v>2020</v>
      </c>
      <c r="O46" s="81">
        <f t="shared" ca="1" si="0"/>
        <v>19886416.515000008</v>
      </c>
      <c r="P46"/>
    </row>
    <row r="47" spans="1:16" x14ac:dyDescent="0.25">
      <c r="A47" s="13" t="s">
        <v>187</v>
      </c>
      <c r="B47" s="9" t="str">
        <f>VLOOKUP(A47,Data[],2,FALSE)</f>
        <v>BROOKLYN</v>
      </c>
      <c r="C47" s="9" t="s">
        <v>106</v>
      </c>
      <c r="D47" s="9">
        <f>VLOOKUP(IntComp[[#This Row],[DEVELOPMENT]],Data[],31,FALSE)</f>
        <v>89</v>
      </c>
      <c r="E47" s="66">
        <f>VLOOKUP(IntComp[[#This Row],[DEVELOPMENT]],Data[],8,FALSE)</f>
        <v>0</v>
      </c>
      <c r="F47" s="66">
        <f>VLOOKUP(IntComp[[#This Row],[DEVELOPMENT]],Data[],9,FALSE)</f>
        <v>0</v>
      </c>
      <c r="G47" s="66"/>
      <c r="H47" s="66">
        <f>IFERROR(VLOOKUP(IntComp[[#This Row],[DEVELOPMENT]],Data[],4,FALSE),"")</f>
        <v>2021</v>
      </c>
      <c r="I47" s="66" t="str">
        <f>IF(IntComp[[#This Row],[RAD/PACT]]="","",IF(IntComp[[#This Row],[RAD/PACT]]&lt;=2025,"Yes",""))</f>
        <v>Yes</v>
      </c>
      <c r="J47" s="67" t="str">
        <f ca="1">IF(VLOOKUP(IntComp[[#This Row],[DEVELOPMENT]],Data[],10,FALSE)=0,"",DATEDIF(VLOOKUP(IntComp[[#This Row],[DEVELOPMENT]],Data[],12,FALSE),TODAY(),"Y"))</f>
        <v/>
      </c>
      <c r="K47" s="67">
        <f>IF(IntComp[[#This Row],[RAD/PACT]]="",VLOOKUP(IntComp[[#This Row],[DEVELOPMENT]],Data[],10,FALSE),IF(IntComp[[#This Row],[RAD/PACT by 2025]]="yes",0,VLOOKUP(IntComp[[#This Row],[DEVELOPMENT]],Data[],10,FALSE)))</f>
        <v>0</v>
      </c>
      <c r="L47" s="63">
        <f ca="1">IF(IntComp[[#This Row],[RAD/PACT by 2025]]="Yes",0,(IntComp[[#This Row],['# Int. Compactors to Replace]]*'Unit Costs'!$B$8)*(1+((IntComp[[#This Row],[est. Year]]-YEAR(TODAY()))*$L$2)))</f>
        <v>0</v>
      </c>
      <c r="M47" s="67">
        <f>SUM(INDEX(IntComp['# to Replace],1):IntComp[[#This Row],['# to Replace]])</f>
        <v>0</v>
      </c>
      <c r="N47" s="67">
        <f>ROUNDDOWN(IntComp[[#This Row],[Count]]/100,0)+$N$1</f>
        <v>2020</v>
      </c>
      <c r="O47" s="86">
        <f t="shared" ca="1" si="0"/>
        <v>19886416.515000008</v>
      </c>
      <c r="P47"/>
    </row>
    <row r="48" spans="1:16" x14ac:dyDescent="0.25">
      <c r="A48" s="13" t="s">
        <v>188</v>
      </c>
      <c r="B48" s="9" t="str">
        <f>VLOOKUP(A48,Data[],2,FALSE)</f>
        <v>BROOKLYN</v>
      </c>
      <c r="C48" s="9" t="s">
        <v>106</v>
      </c>
      <c r="D48" s="9">
        <f>VLOOKUP(IntComp[[#This Row],[DEVELOPMENT]],Data[],31,FALSE)</f>
        <v>26</v>
      </c>
      <c r="E48" s="66">
        <f>VLOOKUP(IntComp[[#This Row],[DEVELOPMENT]],Data[],8,FALSE)</f>
        <v>0</v>
      </c>
      <c r="F48" s="66">
        <f>VLOOKUP(IntComp[[#This Row],[DEVELOPMENT]],Data[],9,FALSE)</f>
        <v>0</v>
      </c>
      <c r="G48" s="66"/>
      <c r="H48" s="66" t="str">
        <f>IFERROR(VLOOKUP(IntComp[[#This Row],[DEVELOPMENT]],Data[],4,FALSE),"")</f>
        <v/>
      </c>
      <c r="I48" s="66" t="str">
        <f>IF(IntComp[[#This Row],[RAD/PACT]]="","",IF(IntComp[[#This Row],[RAD/PACT]]&lt;=2025,"Yes",""))</f>
        <v/>
      </c>
      <c r="J48" s="67" t="str">
        <f ca="1">IF(VLOOKUP(IntComp[[#This Row],[DEVELOPMENT]],Data[],10,FALSE)=0,"",DATEDIF(VLOOKUP(IntComp[[#This Row],[DEVELOPMENT]],Data[],12,FALSE),TODAY(),"Y"))</f>
        <v/>
      </c>
      <c r="K48" s="67">
        <f>IF(IntComp[[#This Row],[RAD/PACT]]="",VLOOKUP(IntComp[[#This Row],[DEVELOPMENT]],Data[],10,FALSE),IF(IntComp[[#This Row],[RAD/PACT by 2025]]="yes",0,VLOOKUP(IntComp[[#This Row],[DEVELOPMENT]],Data[],10,FALSE)))</f>
        <v>0</v>
      </c>
      <c r="L48" s="63">
        <f ca="1">IF(IntComp[[#This Row],[RAD/PACT by 2025]]="Yes",0,(IntComp[[#This Row],['# Int. Compactors to Replace]]*'Unit Costs'!$B$8)*(1+((IntComp[[#This Row],[est. Year]]-YEAR(TODAY()))*$L$2)))</f>
        <v>1914988.2569999998</v>
      </c>
      <c r="M48" s="67">
        <f>SUM(INDEX(IntComp['# to Replace],1):IntComp[[#This Row],['# to Replace]])</f>
        <v>0</v>
      </c>
      <c r="N48" s="67">
        <f>ROUNDDOWN(IntComp[[#This Row],[Count]]/100,0)+$N$1</f>
        <v>2020</v>
      </c>
      <c r="O48" s="86">
        <f t="shared" ca="1" si="0"/>
        <v>21801404.772000007</v>
      </c>
      <c r="P48"/>
    </row>
    <row r="49" spans="1:16" x14ac:dyDescent="0.25">
      <c r="A49" s="13" t="s">
        <v>73</v>
      </c>
      <c r="B49" s="1" t="str">
        <f>VLOOKUP(A49,Data[],2,FALSE)</f>
        <v>BRONX</v>
      </c>
      <c r="C49" s="9" t="s">
        <v>106</v>
      </c>
      <c r="D49" s="9">
        <f>VLOOKUP(IntComp[[#This Row],[DEVELOPMENT]],Data[],31,FALSE)</f>
        <v>9</v>
      </c>
      <c r="E49" s="9" t="str">
        <f>VLOOKUP(IntComp[[#This Row],[DEVELOPMENT]],Data[],8,FALSE)</f>
        <v>Zone 3</v>
      </c>
      <c r="F49" s="9" t="str">
        <f>VLOOKUP(IntComp[[#This Row],[DEVELOPMENT]],Data[],9,FALSE)</f>
        <v>$</v>
      </c>
      <c r="G49" s="9"/>
      <c r="H49" s="9" t="str">
        <f>IFERROR(VLOOKUP(IntComp[[#This Row],[DEVELOPMENT]],Data[],4,FALSE),"")</f>
        <v/>
      </c>
      <c r="I49" s="9" t="str">
        <f>IF(IntComp[[#This Row],[RAD/PACT]]="","",IF(IntComp[[#This Row],[RAD/PACT]]&lt;=2025,"Yes",""))</f>
        <v/>
      </c>
      <c r="J49" s="1" t="str">
        <f ca="1">IF(VLOOKUP(IntComp[[#This Row],[DEVELOPMENT]],Data[],10,FALSE)=0,"",DATEDIF(VLOOKUP(IntComp[[#This Row],[DEVELOPMENT]],Data[],12,FALSE),TODAY(),"Y"))</f>
        <v/>
      </c>
      <c r="K49" s="1">
        <f>IF(IntComp[[#This Row],[RAD/PACT]]="",VLOOKUP(IntComp[[#This Row],[DEVELOPMENT]],Data[],10,FALSE),IF(IntComp[[#This Row],[RAD/PACT by 2025]]="yes",0,VLOOKUP(IntComp[[#This Row],[DEVELOPMENT]],Data[],10,FALSE)))</f>
        <v>0</v>
      </c>
      <c r="L49" s="63">
        <f ca="1">IF(IntComp[[#This Row],[RAD/PACT by 2025]]="Yes",0,(IntComp[[#This Row],['# Int. Compactors to Replace]]*'Unit Costs'!$B$8)*(1+((IntComp[[#This Row],[est. Year]]-YEAR(TODAY()))*$L$2)))</f>
        <v>662880.5504999999</v>
      </c>
      <c r="M49" s="1">
        <f>SUM(INDEX(IntComp['# to Replace],1):IntComp[[#This Row],['# to Replace]])</f>
        <v>0</v>
      </c>
      <c r="N49" s="1">
        <f>ROUNDDOWN(IntComp[[#This Row],[Count]]/100,0)+$N$1</f>
        <v>2020</v>
      </c>
      <c r="O49" s="81">
        <f t="shared" ca="1" si="0"/>
        <v>22464285.322500005</v>
      </c>
      <c r="P49"/>
    </row>
    <row r="50" spans="1:16" x14ac:dyDescent="0.25">
      <c r="A50" s="13" t="s">
        <v>189</v>
      </c>
      <c r="B50" s="9" t="str">
        <f>VLOOKUP(A50,Data[],2,FALSE)</f>
        <v>BRONX</v>
      </c>
      <c r="C50" s="9" t="s">
        <v>106</v>
      </c>
      <c r="D50" s="9">
        <f>VLOOKUP(IntComp[[#This Row],[DEVELOPMENT]],Data[],31,FALSE)</f>
        <v>2</v>
      </c>
      <c r="E50" s="66">
        <f>VLOOKUP(IntComp[[#This Row],[DEVELOPMENT]],Data[],8,FALSE)</f>
        <v>0</v>
      </c>
      <c r="F50" s="66">
        <f>VLOOKUP(IntComp[[#This Row],[DEVELOPMENT]],Data[],9,FALSE)</f>
        <v>0</v>
      </c>
      <c r="G50" s="66"/>
      <c r="H50" s="66" t="str">
        <f>IFERROR(VLOOKUP(IntComp[[#This Row],[DEVELOPMENT]],Data[],4,FALSE),"")</f>
        <v/>
      </c>
      <c r="I50" s="66" t="str">
        <f>IF(IntComp[[#This Row],[RAD/PACT]]="","",IF(IntComp[[#This Row],[RAD/PACT]]&lt;=2025,"Yes",""))</f>
        <v/>
      </c>
      <c r="J50" s="67" t="str">
        <f ca="1">IF(VLOOKUP(IntComp[[#This Row],[DEVELOPMENT]],Data[],10,FALSE)=0,"",DATEDIF(VLOOKUP(IntComp[[#This Row],[DEVELOPMENT]],Data[],12,FALSE),TODAY(),"Y"))</f>
        <v/>
      </c>
      <c r="K50" s="67">
        <f>IF(IntComp[[#This Row],[RAD/PACT]]="",VLOOKUP(IntComp[[#This Row],[DEVELOPMENT]],Data[],10,FALSE),IF(IntComp[[#This Row],[RAD/PACT by 2025]]="yes",0,VLOOKUP(IntComp[[#This Row],[DEVELOPMENT]],Data[],10,FALSE)))</f>
        <v>0</v>
      </c>
      <c r="L50" s="63">
        <f ca="1">IF(IntComp[[#This Row],[RAD/PACT by 2025]]="Yes",0,(IntComp[[#This Row],['# Int. Compactors to Replace]]*'Unit Costs'!$B$8)*(1+((IntComp[[#This Row],[est. Year]]-YEAR(TODAY()))*$L$2)))</f>
        <v>147306.78899999999</v>
      </c>
      <c r="M50" s="67">
        <f>SUM(INDEX(IntComp['# to Replace],1):IntComp[[#This Row],['# to Replace]])</f>
        <v>0</v>
      </c>
      <c r="N50" s="67">
        <f>ROUNDDOWN(IntComp[[#This Row],[Count]]/100,0)+$N$1</f>
        <v>2020</v>
      </c>
      <c r="O50" s="86">
        <f t="shared" ca="1" si="0"/>
        <v>22611592.111500006</v>
      </c>
      <c r="P50"/>
    </row>
    <row r="51" spans="1:16" x14ac:dyDescent="0.25">
      <c r="A51" s="13" t="s">
        <v>190</v>
      </c>
      <c r="B51" s="9" t="str">
        <f>VLOOKUP(A51,Data[],2,FALSE)</f>
        <v>BROOKLYN</v>
      </c>
      <c r="C51" s="9" t="s">
        <v>106</v>
      </c>
      <c r="D51" s="9">
        <f>VLOOKUP(IntComp[[#This Row],[DEVELOPMENT]],Data[],31,FALSE)</f>
        <v>2</v>
      </c>
      <c r="E51" s="66">
        <f>VLOOKUP(IntComp[[#This Row],[DEVELOPMENT]],Data[],8,FALSE)</f>
        <v>0</v>
      </c>
      <c r="F51" s="66">
        <f>VLOOKUP(IntComp[[#This Row],[DEVELOPMENT]],Data[],9,FALSE)</f>
        <v>0</v>
      </c>
      <c r="G51" s="66"/>
      <c r="H51" s="66" t="str">
        <f>IFERROR(VLOOKUP(IntComp[[#This Row],[DEVELOPMENT]],Data[],4,FALSE),"")</f>
        <v/>
      </c>
      <c r="I51" s="66" t="str">
        <f>IF(IntComp[[#This Row],[RAD/PACT]]="","",IF(IntComp[[#This Row],[RAD/PACT]]&lt;=2025,"Yes",""))</f>
        <v/>
      </c>
      <c r="J51" s="67" t="str">
        <f ca="1">IF(VLOOKUP(IntComp[[#This Row],[DEVELOPMENT]],Data[],10,FALSE)=0,"",DATEDIF(VLOOKUP(IntComp[[#This Row],[DEVELOPMENT]],Data[],12,FALSE),TODAY(),"Y"))</f>
        <v/>
      </c>
      <c r="K51" s="67">
        <f>IF(IntComp[[#This Row],[RAD/PACT]]="",VLOOKUP(IntComp[[#This Row],[DEVELOPMENT]],Data[],10,FALSE),IF(IntComp[[#This Row],[RAD/PACT by 2025]]="yes",0,VLOOKUP(IntComp[[#This Row],[DEVELOPMENT]],Data[],10,FALSE)))</f>
        <v>0</v>
      </c>
      <c r="L51" s="63">
        <f ca="1">IF(IntComp[[#This Row],[RAD/PACT by 2025]]="Yes",0,(IntComp[[#This Row],['# Int. Compactors to Replace]]*'Unit Costs'!$B$8)*(1+((IntComp[[#This Row],[est. Year]]-YEAR(TODAY()))*$L$2)))</f>
        <v>147306.78899999999</v>
      </c>
      <c r="M51" s="67">
        <f>SUM(INDEX(IntComp['# to Replace],1):IntComp[[#This Row],['# to Replace]])</f>
        <v>0</v>
      </c>
      <c r="N51" s="67">
        <f>ROUNDDOWN(IntComp[[#This Row],[Count]]/100,0)+$N$1</f>
        <v>2020</v>
      </c>
      <c r="O51" s="86">
        <f t="shared" ca="1" si="0"/>
        <v>22758898.900500007</v>
      </c>
      <c r="P51"/>
    </row>
    <row r="52" spans="1:16" x14ac:dyDescent="0.25">
      <c r="A52" s="13" t="s">
        <v>191</v>
      </c>
      <c r="B52" s="9" t="str">
        <f>VLOOKUP(A52,Data[],2,FALSE)</f>
        <v>BROOKLYN</v>
      </c>
      <c r="C52" s="9" t="s">
        <v>106</v>
      </c>
      <c r="D52" s="9">
        <f>VLOOKUP(IntComp[[#This Row],[DEVELOPMENT]],Data[],31,FALSE)</f>
        <v>46</v>
      </c>
      <c r="E52" s="66">
        <f>VLOOKUP(IntComp[[#This Row],[DEVELOPMENT]],Data[],8,FALSE)</f>
        <v>0</v>
      </c>
      <c r="F52" s="66">
        <f>VLOOKUP(IntComp[[#This Row],[DEVELOPMENT]],Data[],9,FALSE)</f>
        <v>0</v>
      </c>
      <c r="G52" s="66"/>
      <c r="H52" s="66" t="str">
        <f>IFERROR(VLOOKUP(IntComp[[#This Row],[DEVELOPMENT]],Data[],4,FALSE),"")</f>
        <v/>
      </c>
      <c r="I52" s="66" t="str">
        <f>IF(IntComp[[#This Row],[RAD/PACT]]="","",IF(IntComp[[#This Row],[RAD/PACT]]&lt;=2025,"Yes",""))</f>
        <v/>
      </c>
      <c r="J52" s="67" t="str">
        <f ca="1">IF(VLOOKUP(IntComp[[#This Row],[DEVELOPMENT]],Data[],10,FALSE)=0,"",DATEDIF(VLOOKUP(IntComp[[#This Row],[DEVELOPMENT]],Data[],12,FALSE),TODAY(),"Y"))</f>
        <v/>
      </c>
      <c r="K52" s="67">
        <f>IF(IntComp[[#This Row],[RAD/PACT]]="",VLOOKUP(IntComp[[#This Row],[DEVELOPMENT]],Data[],10,FALSE),IF(IntComp[[#This Row],[RAD/PACT by 2025]]="yes",0,VLOOKUP(IntComp[[#This Row],[DEVELOPMENT]],Data[],10,FALSE)))</f>
        <v>0</v>
      </c>
      <c r="L52" s="63">
        <f ca="1">IF(IntComp[[#This Row],[RAD/PACT by 2025]]="Yes",0,(IntComp[[#This Row],['# Int. Compactors to Replace]]*'Unit Costs'!$B$8)*(1+((IntComp[[#This Row],[est. Year]]-YEAR(TODAY()))*$L$2)))</f>
        <v>3388056.1469999994</v>
      </c>
      <c r="M52" s="67">
        <f>SUM(INDEX(IntComp['# to Replace],1):IntComp[[#This Row],['# to Replace]])</f>
        <v>0</v>
      </c>
      <c r="N52" s="67">
        <f>ROUNDDOWN(IntComp[[#This Row],[Count]]/100,0)+$N$1</f>
        <v>2020</v>
      </c>
      <c r="O52" s="86">
        <f t="shared" ca="1" si="0"/>
        <v>26146955.047500007</v>
      </c>
      <c r="P52"/>
    </row>
    <row r="53" spans="1:16" x14ac:dyDescent="0.25">
      <c r="A53" s="13" t="s">
        <v>192</v>
      </c>
      <c r="B53" s="9" t="str">
        <f>VLOOKUP(A53,Data[],2,FALSE)</f>
        <v>BRONX</v>
      </c>
      <c r="C53" s="9" t="s">
        <v>106</v>
      </c>
      <c r="D53" s="9">
        <f>VLOOKUP(IntComp[[#This Row],[DEVELOPMENT]],Data[],31,FALSE)</f>
        <v>1</v>
      </c>
      <c r="E53" s="66">
        <f>VLOOKUP(IntComp[[#This Row],[DEVELOPMENT]],Data[],8,FALSE)</f>
        <v>0</v>
      </c>
      <c r="F53" s="66">
        <f>VLOOKUP(IntComp[[#This Row],[DEVELOPMENT]],Data[],9,FALSE)</f>
        <v>0</v>
      </c>
      <c r="G53" s="66"/>
      <c r="H53" s="66" t="str">
        <f>IFERROR(VLOOKUP(IntComp[[#This Row],[DEVELOPMENT]],Data[],4,FALSE),"")</f>
        <v/>
      </c>
      <c r="I53" s="66" t="str">
        <f>IF(IntComp[[#This Row],[RAD/PACT]]="","",IF(IntComp[[#This Row],[RAD/PACT]]&lt;=2025,"Yes",""))</f>
        <v/>
      </c>
      <c r="J53" s="67" t="str">
        <f ca="1">IF(VLOOKUP(IntComp[[#This Row],[DEVELOPMENT]],Data[],10,FALSE)=0,"",DATEDIF(VLOOKUP(IntComp[[#This Row],[DEVELOPMENT]],Data[],12,FALSE),TODAY(),"Y"))</f>
        <v/>
      </c>
      <c r="K53" s="67">
        <f>IF(IntComp[[#This Row],[RAD/PACT]]="",VLOOKUP(IntComp[[#This Row],[DEVELOPMENT]],Data[],10,FALSE),IF(IntComp[[#This Row],[RAD/PACT by 2025]]="yes",0,VLOOKUP(IntComp[[#This Row],[DEVELOPMENT]],Data[],10,FALSE)))</f>
        <v>0</v>
      </c>
      <c r="L53" s="63">
        <f ca="1">IF(IntComp[[#This Row],[RAD/PACT by 2025]]="Yes",0,(IntComp[[#This Row],['# Int. Compactors to Replace]]*'Unit Costs'!$B$8)*(1+((IntComp[[#This Row],[est. Year]]-YEAR(TODAY()))*$L$2)))</f>
        <v>73653.394499999995</v>
      </c>
      <c r="M53" s="67">
        <f>SUM(INDEX(IntComp['# to Replace],1):IntComp[[#This Row],['# to Replace]])</f>
        <v>0</v>
      </c>
      <c r="N53" s="67">
        <f>ROUNDDOWN(IntComp[[#This Row],[Count]]/100,0)+$N$1</f>
        <v>2020</v>
      </c>
      <c r="O53" s="86">
        <f t="shared" ca="1" si="0"/>
        <v>26220608.442000005</v>
      </c>
      <c r="P53"/>
    </row>
    <row r="54" spans="1:16" x14ac:dyDescent="0.25">
      <c r="A54" s="82" t="s">
        <v>26</v>
      </c>
      <c r="B54" s="1" t="str">
        <f>VLOOKUP(A54,Data[],2,FALSE)</f>
        <v>BROOKLYN</v>
      </c>
      <c r="C54" s="9" t="s">
        <v>106</v>
      </c>
      <c r="D54" s="9">
        <f>VLOOKUP(IntComp[[#This Row],[DEVELOPMENT]],Data[],31,FALSE)</f>
        <v>8</v>
      </c>
      <c r="E54" s="9" t="str">
        <f>VLOOKUP(IntComp[[#This Row],[DEVELOPMENT]],Data[],8,FALSE)</f>
        <v>Zone 1</v>
      </c>
      <c r="F54" s="9" t="str">
        <f>VLOOKUP(IntComp[[#This Row],[DEVELOPMENT]],Data[],9,FALSE)</f>
        <v>$$</v>
      </c>
      <c r="G54" s="9"/>
      <c r="H54" s="9" t="str">
        <f>IFERROR(VLOOKUP(IntComp[[#This Row],[DEVELOPMENT]],Data[],4,FALSE),"")</f>
        <v/>
      </c>
      <c r="I54" s="9" t="str">
        <f>IF(IntComp[[#This Row],[RAD/PACT]]="","",IF(IntComp[[#This Row],[RAD/PACT]]&lt;=2025,"Yes",""))</f>
        <v/>
      </c>
      <c r="J54" s="1" t="str">
        <f ca="1">IF(VLOOKUP(IntComp[[#This Row],[DEVELOPMENT]],Data[],10,FALSE)=0,"",DATEDIF(VLOOKUP(IntComp[[#This Row],[DEVELOPMENT]],Data[],12,FALSE),TODAY(),"Y"))</f>
        <v/>
      </c>
      <c r="K54" s="1">
        <f>IF(IntComp[[#This Row],[RAD/PACT]]="",VLOOKUP(IntComp[[#This Row],[DEVELOPMENT]],Data[],10,FALSE),IF(IntComp[[#This Row],[RAD/PACT by 2025]]="yes",0,VLOOKUP(IntComp[[#This Row],[DEVELOPMENT]],Data[],10,FALSE)))</f>
        <v>0</v>
      </c>
      <c r="L54" s="63">
        <f ca="1">IF(IntComp[[#This Row],[RAD/PACT by 2025]]="Yes",0,(IntComp[[#This Row],['# Int. Compactors to Replace]]*'Unit Costs'!$B$8)*(1+((IntComp[[#This Row],[est. Year]]-YEAR(TODAY()))*$L$2)))</f>
        <v>589227.15599999996</v>
      </c>
      <c r="M54" s="1">
        <f>SUM(INDEX(IntComp['# to Replace],1):IntComp[[#This Row],['# to Replace]])</f>
        <v>0</v>
      </c>
      <c r="N54" s="1">
        <f>ROUNDDOWN(IntComp[[#This Row],[Count]]/100,0)+$N$1</f>
        <v>2020</v>
      </c>
      <c r="O54" s="81">
        <f t="shared" ca="1" si="0"/>
        <v>26809835.598000005</v>
      </c>
      <c r="P54"/>
    </row>
    <row r="55" spans="1:16" x14ac:dyDescent="0.25">
      <c r="A55" s="13" t="s">
        <v>378</v>
      </c>
      <c r="B55" s="1" t="str">
        <f>VLOOKUP(A55,Data[],2,FALSE)</f>
        <v>BROOKLYN</v>
      </c>
      <c r="C55" s="9" t="s">
        <v>106</v>
      </c>
      <c r="D55" s="9">
        <f>VLOOKUP(IntComp[[#This Row],[DEVELOPMENT]],Data[],31,FALSE)</f>
        <v>25</v>
      </c>
      <c r="E55" s="66" t="str">
        <f>VLOOKUP(IntComp[[#This Row],[DEVELOPMENT]],Data[],8,FALSE)</f>
        <v>Zone 1</v>
      </c>
      <c r="F55" s="9">
        <f>VLOOKUP(IntComp[[#This Row],[DEVELOPMENT]],Data[],9,FALSE)</f>
        <v>0</v>
      </c>
      <c r="G55" s="9"/>
      <c r="H55" s="66" t="str">
        <f>IFERROR(VLOOKUP(IntComp[[#This Row],[DEVELOPMENT]],Data[],4,FALSE),"")</f>
        <v/>
      </c>
      <c r="I55" s="66" t="str">
        <f>IF(IntComp[[#This Row],[RAD/PACT]]="","",IF(IntComp[[#This Row],[RAD/PACT]]&lt;=2025,"Yes",""))</f>
        <v/>
      </c>
      <c r="J55" s="67" t="str">
        <f ca="1">IF(VLOOKUP(IntComp[[#This Row],[DEVELOPMENT]],Data[],10,FALSE)=0,"",DATEDIF(VLOOKUP(IntComp[[#This Row],[DEVELOPMENT]],Data[],12,FALSE),TODAY(),"Y"))</f>
        <v/>
      </c>
      <c r="K55" s="67">
        <f>IF(IntComp[[#This Row],[RAD/PACT]]="",VLOOKUP(IntComp[[#This Row],[DEVELOPMENT]],Data[],10,FALSE),IF(IntComp[[#This Row],[RAD/PACT by 2025]]="yes",0,VLOOKUP(IntComp[[#This Row],[DEVELOPMENT]],Data[],10,FALSE)))</f>
        <v>0</v>
      </c>
      <c r="L55" s="63">
        <f ca="1">IF(IntComp[[#This Row],[RAD/PACT by 2025]]="Yes",0,(IntComp[[#This Row],['# Int. Compactors to Replace]]*'Unit Costs'!$B$8)*(1+((IntComp[[#This Row],[est. Year]]-YEAR(TODAY()))*$L$2)))</f>
        <v>1841334.8624999998</v>
      </c>
      <c r="M55" s="67">
        <f>SUM(INDEX(IntComp['# to Replace],1):IntComp[[#This Row],['# to Replace]])</f>
        <v>0</v>
      </c>
      <c r="N55" s="67">
        <f>ROUNDDOWN(IntComp[[#This Row],[Count]]/100,0)+$N$1</f>
        <v>2020</v>
      </c>
      <c r="O55" s="81">
        <f t="shared" ca="1" si="0"/>
        <v>28651170.460500006</v>
      </c>
      <c r="P55"/>
    </row>
    <row r="56" spans="1:16" x14ac:dyDescent="0.25">
      <c r="A56" s="13" t="s">
        <v>379</v>
      </c>
      <c r="B56" s="9" t="str">
        <f>VLOOKUP(A56,Data[],2,FALSE)</f>
        <v>BROOKLYN</v>
      </c>
      <c r="C56" s="9" t="s">
        <v>106</v>
      </c>
      <c r="D56" s="9">
        <f>VLOOKUP(IntComp[[#This Row],[DEVELOPMENT]],Data[],31,FALSE)</f>
        <v>25</v>
      </c>
      <c r="E56" s="66">
        <f>VLOOKUP(IntComp[[#This Row],[DEVELOPMENT]],Data[],8,FALSE)</f>
        <v>0</v>
      </c>
      <c r="F56" s="66">
        <f>VLOOKUP(IntComp[[#This Row],[DEVELOPMENT]],Data[],9,FALSE)</f>
        <v>0</v>
      </c>
      <c r="G56" s="66"/>
      <c r="H56" s="66" t="str">
        <f>IFERROR(VLOOKUP(IntComp[[#This Row],[DEVELOPMENT]],Data[],4,FALSE),"")</f>
        <v/>
      </c>
      <c r="I56" s="66" t="str">
        <f>IF(IntComp[[#This Row],[RAD/PACT]]="","",IF(IntComp[[#This Row],[RAD/PACT]]&lt;=2025,"Yes",""))</f>
        <v/>
      </c>
      <c r="J56" s="67" t="str">
        <f ca="1">IF(VLOOKUP(IntComp[[#This Row],[DEVELOPMENT]],Data[],10,FALSE)=0,"",DATEDIF(VLOOKUP(IntComp[[#This Row],[DEVELOPMENT]],Data[],12,FALSE),TODAY(),"Y"))</f>
        <v/>
      </c>
      <c r="K56" s="67">
        <f>IF(IntComp[[#This Row],[RAD/PACT]]="",VLOOKUP(IntComp[[#This Row],[DEVELOPMENT]],Data[],10,FALSE),IF(IntComp[[#This Row],[RAD/PACT by 2025]]="yes",0,VLOOKUP(IntComp[[#This Row],[DEVELOPMENT]],Data[],10,FALSE)))</f>
        <v>0</v>
      </c>
      <c r="L56" s="63">
        <f ca="1">IF(IntComp[[#This Row],[RAD/PACT by 2025]]="Yes",0,(IntComp[[#This Row],['# Int. Compactors to Replace]]*'Unit Costs'!$B$8)*(1+((IntComp[[#This Row],[est. Year]]-YEAR(TODAY()))*$L$2)))</f>
        <v>1841334.8624999998</v>
      </c>
      <c r="M56" s="67">
        <f>SUM(INDEX(IntComp['# to Replace],1):IntComp[[#This Row],['# to Replace]])</f>
        <v>0</v>
      </c>
      <c r="N56" s="67">
        <f>ROUNDDOWN(IntComp[[#This Row],[Count]]/100,0)+$N$1</f>
        <v>2020</v>
      </c>
      <c r="O56" s="86">
        <f t="shared" ca="1" si="0"/>
        <v>30492505.323000006</v>
      </c>
      <c r="P56"/>
    </row>
    <row r="57" spans="1:16" x14ac:dyDescent="0.25">
      <c r="A57" s="13" t="s">
        <v>380</v>
      </c>
      <c r="B57" s="1" t="str">
        <f>VLOOKUP(A57,Data[],2,FALSE)</f>
        <v>BROOKLYN</v>
      </c>
      <c r="C57" s="9" t="s">
        <v>106</v>
      </c>
      <c r="D57" s="9">
        <f>VLOOKUP(IntComp[[#This Row],[DEVELOPMENT]],Data[],31,FALSE)</f>
        <v>0</v>
      </c>
      <c r="E57" s="66" t="str">
        <f>VLOOKUP(IntComp[[#This Row],[DEVELOPMENT]],Data[],8,FALSE)</f>
        <v>Zone 1</v>
      </c>
      <c r="F57" s="9">
        <f>VLOOKUP(IntComp[[#This Row],[DEVELOPMENT]],Data[],9,FALSE)</f>
        <v>0</v>
      </c>
      <c r="G57" s="9"/>
      <c r="H57" s="66">
        <f>IFERROR(VLOOKUP(IntComp[[#This Row],[DEVELOPMENT]],Data[],4,FALSE),"")</f>
        <v>2019</v>
      </c>
      <c r="I57" s="66" t="str">
        <f>IF(IntComp[[#This Row],[RAD/PACT]]="","",IF(IntComp[[#This Row],[RAD/PACT]]&lt;=2025,"Yes",""))</f>
        <v>Yes</v>
      </c>
      <c r="J57" s="67" t="str">
        <f ca="1">IF(VLOOKUP(IntComp[[#This Row],[DEVELOPMENT]],Data[],10,FALSE)=0,"",DATEDIF(VLOOKUP(IntComp[[#This Row],[DEVELOPMENT]],Data[],12,FALSE),TODAY(),"Y"))</f>
        <v/>
      </c>
      <c r="K57" s="67">
        <f>IF(IntComp[[#This Row],[RAD/PACT]]="",VLOOKUP(IntComp[[#This Row],[DEVELOPMENT]],Data[],10,FALSE),IF(IntComp[[#This Row],[RAD/PACT by 2025]]="yes",0,VLOOKUP(IntComp[[#This Row],[DEVELOPMENT]],Data[],10,FALSE)))</f>
        <v>0</v>
      </c>
      <c r="L57" s="63">
        <f ca="1">IF(IntComp[[#This Row],[RAD/PACT by 2025]]="Yes",0,(IntComp[[#This Row],['# Int. Compactors to Replace]]*'Unit Costs'!$B$8)*(1+((IntComp[[#This Row],[est. Year]]-YEAR(TODAY()))*$L$2)))</f>
        <v>0</v>
      </c>
      <c r="M57" s="67">
        <f>SUM(INDEX(IntComp['# to Replace],1):IntComp[[#This Row],['# to Replace]])</f>
        <v>0</v>
      </c>
      <c r="N57" s="67">
        <f>ROUNDDOWN(IntComp[[#This Row],[Count]]/100,0)+$N$1</f>
        <v>2020</v>
      </c>
      <c r="O57" s="81">
        <f t="shared" ca="1" si="0"/>
        <v>30492505.323000006</v>
      </c>
      <c r="P57"/>
    </row>
    <row r="58" spans="1:16" x14ac:dyDescent="0.25">
      <c r="A58" s="82" t="s">
        <v>31</v>
      </c>
      <c r="B58" s="1" t="str">
        <f>VLOOKUP(A58,Data[],2,FALSE)</f>
        <v>BRONX</v>
      </c>
      <c r="C58" s="9" t="s">
        <v>106</v>
      </c>
      <c r="D58" s="9">
        <f>VLOOKUP(IntComp[[#This Row],[DEVELOPMENT]],Data[],31,FALSE)</f>
        <v>12</v>
      </c>
      <c r="E58" s="9" t="str">
        <f>VLOOKUP(IntComp[[#This Row],[DEVELOPMENT]],Data[],8,FALSE)</f>
        <v>Zone 1</v>
      </c>
      <c r="F58" s="9" t="str">
        <f>VLOOKUP(IntComp[[#This Row],[DEVELOPMENT]],Data[],9,FALSE)</f>
        <v>$$</v>
      </c>
      <c r="G58" s="9"/>
      <c r="H58" s="9" t="str">
        <f>IFERROR(VLOOKUP(IntComp[[#This Row],[DEVELOPMENT]],Data[],4,FALSE),"")</f>
        <v/>
      </c>
      <c r="I58" s="9" t="str">
        <f>IF(IntComp[[#This Row],[RAD/PACT]]="","",IF(IntComp[[#This Row],[RAD/PACT]]&lt;=2025,"Yes",""))</f>
        <v/>
      </c>
      <c r="J58" s="1" t="str">
        <f ca="1">IF(VLOOKUP(IntComp[[#This Row],[DEVELOPMENT]],Data[],10,FALSE)=0,"",DATEDIF(VLOOKUP(IntComp[[#This Row],[DEVELOPMENT]],Data[],12,FALSE),TODAY(),"Y"))</f>
        <v/>
      </c>
      <c r="K58" s="1">
        <f>IF(IntComp[[#This Row],[RAD/PACT]]="",VLOOKUP(IntComp[[#This Row],[DEVELOPMENT]],Data[],10,FALSE),IF(IntComp[[#This Row],[RAD/PACT by 2025]]="yes",0,VLOOKUP(IntComp[[#This Row],[DEVELOPMENT]],Data[],10,FALSE)))</f>
        <v>0</v>
      </c>
      <c r="L58" s="63">
        <f ca="1">IF(IntComp[[#This Row],[RAD/PACT by 2025]]="Yes",0,(IntComp[[#This Row],['# Int. Compactors to Replace]]*'Unit Costs'!$B$8)*(1+((IntComp[[#This Row],[est. Year]]-YEAR(TODAY()))*$L$2)))</f>
        <v>883840.73399999982</v>
      </c>
      <c r="M58" s="1">
        <f>SUM(INDEX(IntComp['# to Replace],1):IntComp[[#This Row],['# to Replace]])</f>
        <v>0</v>
      </c>
      <c r="N58" s="1">
        <f>ROUNDDOWN(IntComp[[#This Row],[Count]]/100,0)+$N$1</f>
        <v>2020</v>
      </c>
      <c r="O58" s="81">
        <f t="shared" ca="1" si="0"/>
        <v>31376346.057000007</v>
      </c>
      <c r="P58"/>
    </row>
    <row r="59" spans="1:16" x14ac:dyDescent="0.25">
      <c r="A59" s="82" t="s">
        <v>60</v>
      </c>
      <c r="B59" s="1" t="str">
        <f>VLOOKUP(A59,Data[],2,FALSE)</f>
        <v>MANHATTAN</v>
      </c>
      <c r="C59" s="9" t="s">
        <v>106</v>
      </c>
      <c r="D59" s="9">
        <f>VLOOKUP(IntComp[[#This Row],[DEVELOPMENT]],Data[],31,FALSE)</f>
        <v>3</v>
      </c>
      <c r="E59" s="9" t="str">
        <f>VLOOKUP(IntComp[[#This Row],[DEVELOPMENT]],Data[],8,FALSE)</f>
        <v>Zone 1</v>
      </c>
      <c r="F59" s="9" t="str">
        <f>VLOOKUP(IntComp[[#This Row],[DEVELOPMENT]],Data[],9,FALSE)</f>
        <v>$$</v>
      </c>
      <c r="G59" s="9"/>
      <c r="H59" s="9">
        <f>IFERROR(VLOOKUP(IntComp[[#This Row],[DEVELOPMENT]],Data[],4,FALSE),"")</f>
        <v>2026</v>
      </c>
      <c r="I59" s="9" t="str">
        <f>IF(IntComp[[#This Row],[RAD/PACT]]="","",IF(IntComp[[#This Row],[RAD/PACT]]&lt;=2025,"Yes",""))</f>
        <v/>
      </c>
      <c r="J59" s="1" t="str">
        <f ca="1">IF(VLOOKUP(IntComp[[#This Row],[DEVELOPMENT]],Data[],10,FALSE)=0,"",DATEDIF(VLOOKUP(IntComp[[#This Row],[DEVELOPMENT]],Data[],12,FALSE),TODAY(),"Y"))</f>
        <v/>
      </c>
      <c r="K59" s="1">
        <f>IF(IntComp[[#This Row],[RAD/PACT]]="",VLOOKUP(IntComp[[#This Row],[DEVELOPMENT]],Data[],10,FALSE),IF(IntComp[[#This Row],[RAD/PACT by 2025]]="yes",0,VLOOKUP(IntComp[[#This Row],[DEVELOPMENT]],Data[],10,FALSE)))</f>
        <v>0</v>
      </c>
      <c r="L59" s="63">
        <f ca="1">IF(IntComp[[#This Row],[RAD/PACT by 2025]]="Yes",0,(IntComp[[#This Row],['# Int. Compactors to Replace]]*'Unit Costs'!$B$8)*(1+((IntComp[[#This Row],[est. Year]]-YEAR(TODAY()))*$L$2)))</f>
        <v>220960.18349999996</v>
      </c>
      <c r="M59" s="1">
        <f>SUM(INDEX(IntComp['# to Replace],1):IntComp[[#This Row],['# to Replace]])</f>
        <v>0</v>
      </c>
      <c r="N59" s="1">
        <f>ROUNDDOWN(IntComp[[#This Row],[Count]]/100,0)+$N$1</f>
        <v>2020</v>
      </c>
      <c r="O59" s="81">
        <f t="shared" ca="1" si="0"/>
        <v>31597306.240500007</v>
      </c>
      <c r="P59"/>
    </row>
    <row r="60" spans="1:16" x14ac:dyDescent="0.25">
      <c r="A60" s="13" t="s">
        <v>193</v>
      </c>
      <c r="B60" s="9" t="str">
        <f>VLOOKUP(A60,Data[],2,FALSE)</f>
        <v>BROOKLYN</v>
      </c>
      <c r="C60" s="9" t="s">
        <v>106</v>
      </c>
      <c r="D60" s="9">
        <f>VLOOKUP(IntComp[[#This Row],[DEVELOPMENT]],Data[],31,FALSE)</f>
        <v>3</v>
      </c>
      <c r="E60" s="66">
        <f>VLOOKUP(IntComp[[#This Row],[DEVELOPMENT]],Data[],8,FALSE)</f>
        <v>0</v>
      </c>
      <c r="F60" s="66">
        <f>VLOOKUP(IntComp[[#This Row],[DEVELOPMENT]],Data[],9,FALSE)</f>
        <v>0</v>
      </c>
      <c r="G60" s="66"/>
      <c r="H60" s="66" t="str">
        <f>IFERROR(VLOOKUP(IntComp[[#This Row],[DEVELOPMENT]],Data[],4,FALSE),"")</f>
        <v/>
      </c>
      <c r="I60" s="66" t="str">
        <f>IF(IntComp[[#This Row],[RAD/PACT]]="","",IF(IntComp[[#This Row],[RAD/PACT]]&lt;=2025,"Yes",""))</f>
        <v/>
      </c>
      <c r="J60" s="67" t="str">
        <f ca="1">IF(VLOOKUP(IntComp[[#This Row],[DEVELOPMENT]],Data[],10,FALSE)=0,"",DATEDIF(VLOOKUP(IntComp[[#This Row],[DEVELOPMENT]],Data[],12,FALSE),TODAY(),"Y"))</f>
        <v/>
      </c>
      <c r="K60" s="67">
        <f>IF(IntComp[[#This Row],[RAD/PACT]]="",VLOOKUP(IntComp[[#This Row],[DEVELOPMENT]],Data[],10,FALSE),IF(IntComp[[#This Row],[RAD/PACT by 2025]]="yes",0,VLOOKUP(IntComp[[#This Row],[DEVELOPMENT]],Data[],10,FALSE)))</f>
        <v>0</v>
      </c>
      <c r="L60" s="63">
        <f ca="1">IF(IntComp[[#This Row],[RAD/PACT by 2025]]="Yes",0,(IntComp[[#This Row],['# Int. Compactors to Replace]]*'Unit Costs'!$B$8)*(1+((IntComp[[#This Row],[est. Year]]-YEAR(TODAY()))*$L$2)))</f>
        <v>220960.18349999996</v>
      </c>
      <c r="M60" s="67">
        <f>SUM(INDEX(IntComp['# to Replace],1):IntComp[[#This Row],['# to Replace]])</f>
        <v>0</v>
      </c>
      <c r="N60" s="67">
        <f>ROUNDDOWN(IntComp[[#This Row],[Count]]/100,0)+$N$1</f>
        <v>2020</v>
      </c>
      <c r="O60" s="86">
        <f t="shared" ca="1" si="0"/>
        <v>31818266.424000006</v>
      </c>
      <c r="P60"/>
    </row>
    <row r="61" spans="1:16" x14ac:dyDescent="0.25">
      <c r="A61" s="13" t="s">
        <v>194</v>
      </c>
      <c r="B61" s="9" t="str">
        <f>VLOOKUP(A61,Data[],2,FALSE)</f>
        <v>QUEENS</v>
      </c>
      <c r="C61" s="9" t="s">
        <v>106</v>
      </c>
      <c r="D61" s="9">
        <f>VLOOKUP(IntComp[[#This Row],[DEVELOPMENT]],Data[],31,FALSE)</f>
        <v>1</v>
      </c>
      <c r="E61" s="66">
        <f>VLOOKUP(IntComp[[#This Row],[DEVELOPMENT]],Data[],8,FALSE)</f>
        <v>0</v>
      </c>
      <c r="F61" s="66">
        <f>VLOOKUP(IntComp[[#This Row],[DEVELOPMENT]],Data[],9,FALSE)</f>
        <v>0</v>
      </c>
      <c r="G61" s="66"/>
      <c r="H61" s="66" t="str">
        <f>IFERROR(VLOOKUP(IntComp[[#This Row],[DEVELOPMENT]],Data[],4,FALSE),"")</f>
        <v/>
      </c>
      <c r="I61" s="66" t="str">
        <f>IF(IntComp[[#This Row],[RAD/PACT]]="","",IF(IntComp[[#This Row],[RAD/PACT]]&lt;=2025,"Yes",""))</f>
        <v/>
      </c>
      <c r="J61" s="67" t="str">
        <f ca="1">IF(VLOOKUP(IntComp[[#This Row],[DEVELOPMENT]],Data[],10,FALSE)=0,"",DATEDIF(VLOOKUP(IntComp[[#This Row],[DEVELOPMENT]],Data[],12,FALSE),TODAY(),"Y"))</f>
        <v/>
      </c>
      <c r="K61" s="67">
        <f>IF(IntComp[[#This Row],[RAD/PACT]]="",VLOOKUP(IntComp[[#This Row],[DEVELOPMENT]],Data[],10,FALSE),IF(IntComp[[#This Row],[RAD/PACT by 2025]]="yes",0,VLOOKUP(IntComp[[#This Row],[DEVELOPMENT]],Data[],10,FALSE)))</f>
        <v>0</v>
      </c>
      <c r="L61" s="63">
        <f ca="1">IF(IntComp[[#This Row],[RAD/PACT by 2025]]="Yes",0,(IntComp[[#This Row],['# Int. Compactors to Replace]]*'Unit Costs'!$B$8)*(1+((IntComp[[#This Row],[est. Year]]-YEAR(TODAY()))*$L$2)))</f>
        <v>73653.394499999995</v>
      </c>
      <c r="M61" s="67">
        <f>SUM(INDEX(IntComp['# to Replace],1):IntComp[[#This Row],['# to Replace]])</f>
        <v>0</v>
      </c>
      <c r="N61" s="67">
        <f>ROUNDDOWN(IntComp[[#This Row],[Count]]/100,0)+$N$1</f>
        <v>2020</v>
      </c>
      <c r="O61" s="86">
        <f t="shared" ca="1" si="0"/>
        <v>31891919.818500005</v>
      </c>
      <c r="P61"/>
    </row>
    <row r="62" spans="1:16" x14ac:dyDescent="0.25">
      <c r="A62" s="13" t="s">
        <v>120</v>
      </c>
      <c r="B62" s="1" t="str">
        <f>VLOOKUP(A62,Data[],2,FALSE)</f>
        <v>MANHATTAN</v>
      </c>
      <c r="C62" s="9" t="s">
        <v>106</v>
      </c>
      <c r="D62" s="9">
        <f>VLOOKUP(IntComp[[#This Row],[DEVELOPMENT]],Data[],31,FALSE)</f>
        <v>13</v>
      </c>
      <c r="E62" s="9" t="str">
        <f>VLOOKUP(IntComp[[#This Row],[DEVELOPMENT]],Data[],8,FALSE)</f>
        <v>Zone 2</v>
      </c>
      <c r="F62" s="9" t="str">
        <f>VLOOKUP(IntComp[[#This Row],[DEVELOPMENT]],Data[],9,FALSE)</f>
        <v>$$</v>
      </c>
      <c r="G62" s="9"/>
      <c r="H62" s="9" t="str">
        <f>IFERROR(VLOOKUP(IntComp[[#This Row],[DEVELOPMENT]],Data[],4,FALSE),"")</f>
        <v/>
      </c>
      <c r="I62" s="9" t="str">
        <f>IF(IntComp[[#This Row],[RAD/PACT]]="","",IF(IntComp[[#This Row],[RAD/PACT]]&lt;=2025,"Yes",""))</f>
        <v/>
      </c>
      <c r="J62" s="1" t="str">
        <f ca="1">IF(VLOOKUP(IntComp[[#This Row],[DEVELOPMENT]],Data[],10,FALSE)=0,"",DATEDIF(VLOOKUP(IntComp[[#This Row],[DEVELOPMENT]],Data[],12,FALSE),TODAY(),"Y"))</f>
        <v/>
      </c>
      <c r="K62" s="1">
        <f>IF(IntComp[[#This Row],[RAD/PACT]]="",VLOOKUP(IntComp[[#This Row],[DEVELOPMENT]],Data[],10,FALSE),IF(IntComp[[#This Row],[RAD/PACT by 2025]]="yes",0,VLOOKUP(IntComp[[#This Row],[DEVELOPMENT]],Data[],10,FALSE)))</f>
        <v>0</v>
      </c>
      <c r="L62" s="63">
        <f ca="1">IF(IntComp[[#This Row],[RAD/PACT by 2025]]="Yes",0,(IntComp[[#This Row],['# Int. Compactors to Replace]]*'Unit Costs'!$B$8)*(1+((IntComp[[#This Row],[est. Year]]-YEAR(TODAY()))*$L$2)))</f>
        <v>957494.12849999988</v>
      </c>
      <c r="M62" s="1">
        <f>SUM(INDEX(IntComp['# to Replace],1):IntComp[[#This Row],['# to Replace]])</f>
        <v>0</v>
      </c>
      <c r="N62" s="1">
        <f>ROUNDDOWN(IntComp[[#This Row],[Count]]/100,0)+$N$1</f>
        <v>2020</v>
      </c>
      <c r="O62" s="81">
        <f t="shared" ca="1" si="0"/>
        <v>32849413.947000004</v>
      </c>
      <c r="P62"/>
    </row>
    <row r="63" spans="1:16" x14ac:dyDescent="0.25">
      <c r="A63" s="13" t="s">
        <v>195</v>
      </c>
      <c r="B63" s="9" t="str">
        <f>VLOOKUP(A63,Data[],2,FALSE)</f>
        <v>STATEN ISLAND</v>
      </c>
      <c r="C63" s="9" t="s">
        <v>106</v>
      </c>
      <c r="D63" s="9">
        <f>VLOOKUP(IntComp[[#This Row],[DEVELOPMENT]],Data[],31,FALSE)</f>
        <v>4</v>
      </c>
      <c r="E63" s="66">
        <f>VLOOKUP(IntComp[[#This Row],[DEVELOPMENT]],Data[],8,FALSE)</f>
        <v>0</v>
      </c>
      <c r="F63" s="66">
        <f>VLOOKUP(IntComp[[#This Row],[DEVELOPMENT]],Data[],9,FALSE)</f>
        <v>0</v>
      </c>
      <c r="G63" s="66"/>
      <c r="H63" s="66" t="str">
        <f>IFERROR(VLOOKUP(IntComp[[#This Row],[DEVELOPMENT]],Data[],4,FALSE),"")</f>
        <v/>
      </c>
      <c r="I63" s="66" t="str">
        <f>IF(IntComp[[#This Row],[RAD/PACT]]="","",IF(IntComp[[#This Row],[RAD/PACT]]&lt;=2025,"Yes",""))</f>
        <v/>
      </c>
      <c r="J63" s="67" t="str">
        <f ca="1">IF(VLOOKUP(IntComp[[#This Row],[DEVELOPMENT]],Data[],10,FALSE)=0,"",DATEDIF(VLOOKUP(IntComp[[#This Row],[DEVELOPMENT]],Data[],12,FALSE),TODAY(),"Y"))</f>
        <v/>
      </c>
      <c r="K63" s="67">
        <f>IF(IntComp[[#This Row],[RAD/PACT]]="",VLOOKUP(IntComp[[#This Row],[DEVELOPMENT]],Data[],10,FALSE),IF(IntComp[[#This Row],[RAD/PACT by 2025]]="yes",0,VLOOKUP(IntComp[[#This Row],[DEVELOPMENT]],Data[],10,FALSE)))</f>
        <v>0</v>
      </c>
      <c r="L63" s="63">
        <f ca="1">IF(IntComp[[#This Row],[RAD/PACT by 2025]]="Yes",0,(IntComp[[#This Row],['# Int. Compactors to Replace]]*'Unit Costs'!$B$8)*(1+((IntComp[[#This Row],[est. Year]]-YEAR(TODAY()))*$L$2)))</f>
        <v>294613.57799999998</v>
      </c>
      <c r="M63" s="67">
        <f>SUM(INDEX(IntComp['# to Replace],1):IntComp[[#This Row],['# to Replace]])</f>
        <v>0</v>
      </c>
      <c r="N63" s="67">
        <f>ROUNDDOWN(IntComp[[#This Row],[Count]]/100,0)+$N$1</f>
        <v>2020</v>
      </c>
      <c r="O63" s="86">
        <f t="shared" ca="1" si="0"/>
        <v>33144027.525000006</v>
      </c>
      <c r="P63"/>
    </row>
    <row r="64" spans="1:16" x14ac:dyDescent="0.25">
      <c r="A64" s="13" t="s">
        <v>196</v>
      </c>
      <c r="B64" s="9" t="str">
        <f>VLOOKUP(A64,Data[],2,FALSE)</f>
        <v>BRONX</v>
      </c>
      <c r="C64" s="9" t="s">
        <v>106</v>
      </c>
      <c r="D64" s="9">
        <f>VLOOKUP(IntComp[[#This Row],[DEVELOPMENT]],Data[],31,FALSE)</f>
        <v>14</v>
      </c>
      <c r="E64" s="66">
        <f>VLOOKUP(IntComp[[#This Row],[DEVELOPMENT]],Data[],8,FALSE)</f>
        <v>0</v>
      </c>
      <c r="F64" s="66">
        <f>VLOOKUP(IntComp[[#This Row],[DEVELOPMENT]],Data[],9,FALSE)</f>
        <v>0</v>
      </c>
      <c r="G64" s="66"/>
      <c r="H64" s="66" t="str">
        <f>IFERROR(VLOOKUP(IntComp[[#This Row],[DEVELOPMENT]],Data[],4,FALSE),"")</f>
        <v/>
      </c>
      <c r="I64" s="66" t="str">
        <f>IF(IntComp[[#This Row],[RAD/PACT]]="","",IF(IntComp[[#This Row],[RAD/PACT]]&lt;=2025,"Yes",""))</f>
        <v/>
      </c>
      <c r="J64" s="67" t="str">
        <f ca="1">IF(VLOOKUP(IntComp[[#This Row],[DEVELOPMENT]],Data[],10,FALSE)=0,"",DATEDIF(VLOOKUP(IntComp[[#This Row],[DEVELOPMENT]],Data[],12,FALSE),TODAY(),"Y"))</f>
        <v/>
      </c>
      <c r="K64" s="67">
        <f>IF(IntComp[[#This Row],[RAD/PACT]]="",VLOOKUP(IntComp[[#This Row],[DEVELOPMENT]],Data[],10,FALSE),IF(IntComp[[#This Row],[RAD/PACT by 2025]]="yes",0,VLOOKUP(IntComp[[#This Row],[DEVELOPMENT]],Data[],10,FALSE)))</f>
        <v>0</v>
      </c>
      <c r="L64" s="63">
        <f ca="1">IF(IntComp[[#This Row],[RAD/PACT by 2025]]="Yes",0,(IntComp[[#This Row],['# Int. Compactors to Replace]]*'Unit Costs'!$B$8)*(1+((IntComp[[#This Row],[est. Year]]-YEAR(TODAY()))*$L$2)))</f>
        <v>1031147.5229999998</v>
      </c>
      <c r="M64" s="67">
        <f>SUM(INDEX(IntComp['# to Replace],1):IntComp[[#This Row],['# to Replace]])</f>
        <v>0</v>
      </c>
      <c r="N64" s="67">
        <f>ROUNDDOWN(IntComp[[#This Row],[Count]]/100,0)+$N$1</f>
        <v>2020</v>
      </c>
      <c r="O64" s="86">
        <f t="shared" ca="1" si="0"/>
        <v>34175175.048000008</v>
      </c>
      <c r="P64"/>
    </row>
    <row r="65" spans="1:16" x14ac:dyDescent="0.25">
      <c r="A65" s="13" t="s">
        <v>197</v>
      </c>
      <c r="B65" s="9" t="str">
        <f>VLOOKUP(A65,Data[],2,FALSE)</f>
        <v>MANHATTAN</v>
      </c>
      <c r="C65" s="9" t="s">
        <v>106</v>
      </c>
      <c r="D65" s="9">
        <f>VLOOKUP(IntComp[[#This Row],[DEVELOPMENT]],Data[],31,FALSE)</f>
        <v>4</v>
      </c>
      <c r="E65" s="66">
        <f>VLOOKUP(IntComp[[#This Row],[DEVELOPMENT]],Data[],8,FALSE)</f>
        <v>0</v>
      </c>
      <c r="F65" s="66">
        <f>VLOOKUP(IntComp[[#This Row],[DEVELOPMENT]],Data[],9,FALSE)</f>
        <v>0</v>
      </c>
      <c r="G65" s="66"/>
      <c r="H65" s="66" t="str">
        <f>IFERROR(VLOOKUP(IntComp[[#This Row],[DEVELOPMENT]],Data[],4,FALSE),"")</f>
        <v/>
      </c>
      <c r="I65" s="66" t="str">
        <f>IF(IntComp[[#This Row],[RAD/PACT]]="","",IF(IntComp[[#This Row],[RAD/PACT]]&lt;=2025,"Yes",""))</f>
        <v/>
      </c>
      <c r="J65" s="67" t="str">
        <f ca="1">IF(VLOOKUP(IntComp[[#This Row],[DEVELOPMENT]],Data[],10,FALSE)=0,"",DATEDIF(VLOOKUP(IntComp[[#This Row],[DEVELOPMENT]],Data[],12,FALSE),TODAY(),"Y"))</f>
        <v/>
      </c>
      <c r="K65" s="67">
        <f>IF(IntComp[[#This Row],[RAD/PACT]]="",VLOOKUP(IntComp[[#This Row],[DEVELOPMENT]],Data[],10,FALSE),IF(IntComp[[#This Row],[RAD/PACT by 2025]]="yes",0,VLOOKUP(IntComp[[#This Row],[DEVELOPMENT]],Data[],10,FALSE)))</f>
        <v>0</v>
      </c>
      <c r="L65" s="63">
        <f ca="1">IF(IntComp[[#This Row],[RAD/PACT by 2025]]="Yes",0,(IntComp[[#This Row],['# Int. Compactors to Replace]]*'Unit Costs'!$B$8)*(1+((IntComp[[#This Row],[est. Year]]-YEAR(TODAY()))*$L$2)))</f>
        <v>294613.57799999998</v>
      </c>
      <c r="M65" s="67">
        <f>SUM(INDEX(IntComp['# to Replace],1):IntComp[[#This Row],['# to Replace]])</f>
        <v>0</v>
      </c>
      <c r="N65" s="67">
        <f>ROUNDDOWN(IntComp[[#This Row],[Count]]/100,0)+$N$1</f>
        <v>2020</v>
      </c>
      <c r="O65" s="86">
        <f t="shared" ca="1" si="0"/>
        <v>34469788.626000009</v>
      </c>
      <c r="P65"/>
    </row>
    <row r="66" spans="1:16" x14ac:dyDescent="0.25">
      <c r="A66" s="13" t="s">
        <v>198</v>
      </c>
      <c r="B66" s="9" t="str">
        <f>VLOOKUP(A66,Data[],2,FALSE)</f>
        <v>MANHATTAN</v>
      </c>
      <c r="C66" s="9" t="s">
        <v>106</v>
      </c>
      <c r="D66" s="9">
        <f>VLOOKUP(IntComp[[#This Row],[DEVELOPMENT]],Data[],31,FALSE)</f>
        <v>1</v>
      </c>
      <c r="E66" s="66">
        <f>VLOOKUP(IntComp[[#This Row],[DEVELOPMENT]],Data[],8,FALSE)</f>
        <v>0</v>
      </c>
      <c r="F66" s="66">
        <f>VLOOKUP(IntComp[[#This Row],[DEVELOPMENT]],Data[],9,FALSE)</f>
        <v>0</v>
      </c>
      <c r="G66" s="66"/>
      <c r="H66" s="66" t="str">
        <f>IFERROR(VLOOKUP(IntComp[[#This Row],[DEVELOPMENT]],Data[],4,FALSE),"")</f>
        <v/>
      </c>
      <c r="I66" s="66" t="str">
        <f>IF(IntComp[[#This Row],[RAD/PACT]]="","",IF(IntComp[[#This Row],[RAD/PACT]]&lt;=2025,"Yes",""))</f>
        <v/>
      </c>
      <c r="J66" s="67" t="str">
        <f ca="1">IF(VLOOKUP(IntComp[[#This Row],[DEVELOPMENT]],Data[],10,FALSE)=0,"",DATEDIF(VLOOKUP(IntComp[[#This Row],[DEVELOPMENT]],Data[],12,FALSE),TODAY(),"Y"))</f>
        <v/>
      </c>
      <c r="K66" s="67">
        <f>IF(IntComp[[#This Row],[RAD/PACT]]="",VLOOKUP(IntComp[[#This Row],[DEVELOPMENT]],Data[],10,FALSE),IF(IntComp[[#This Row],[RAD/PACT by 2025]]="yes",0,VLOOKUP(IntComp[[#This Row],[DEVELOPMENT]],Data[],10,FALSE)))</f>
        <v>0</v>
      </c>
      <c r="L66" s="63">
        <f ca="1">IF(IntComp[[#This Row],[RAD/PACT by 2025]]="Yes",0,(IntComp[[#This Row],['# Int. Compactors to Replace]]*'Unit Costs'!$B$8)*(1+((IntComp[[#This Row],[est. Year]]-YEAR(TODAY()))*$L$2)))</f>
        <v>73653.394499999995</v>
      </c>
      <c r="M66" s="67">
        <f>SUM(INDEX(IntComp['# to Replace],1):IntComp[[#This Row],['# to Replace]])</f>
        <v>0</v>
      </c>
      <c r="N66" s="67">
        <f>ROUNDDOWN(IntComp[[#This Row],[Count]]/100,0)+$N$1</f>
        <v>2020</v>
      </c>
      <c r="O66" s="86">
        <f t="shared" ca="1" si="0"/>
        <v>34543442.020500012</v>
      </c>
      <c r="P66"/>
    </row>
    <row r="67" spans="1:16" x14ac:dyDescent="0.25">
      <c r="A67" s="13" t="s">
        <v>124</v>
      </c>
      <c r="B67" s="1" t="str">
        <f>VLOOKUP(A67,Data[],2,FALSE)</f>
        <v>BRONX</v>
      </c>
      <c r="C67" s="9" t="s">
        <v>106</v>
      </c>
      <c r="D67" s="9">
        <f>VLOOKUP(IntComp[[#This Row],[DEVELOPMENT]],Data[],31,FALSE)</f>
        <v>1</v>
      </c>
      <c r="E67" s="9" t="str">
        <f>VLOOKUP(IntComp[[#This Row],[DEVELOPMENT]],Data[],8,FALSE)</f>
        <v>Zone 3</v>
      </c>
      <c r="F67" s="9" t="str">
        <f>VLOOKUP(IntComp[[#This Row],[DEVELOPMENT]],Data[],9,FALSE)</f>
        <v>$</v>
      </c>
      <c r="G67" s="9"/>
      <c r="H67" s="9">
        <f>IFERROR(VLOOKUP(IntComp[[#This Row],[DEVELOPMENT]],Data[],4,FALSE),"")</f>
        <v>2026</v>
      </c>
      <c r="I67" s="9" t="str">
        <f>IF(IntComp[[#This Row],[RAD/PACT]]="","",IF(IntComp[[#This Row],[RAD/PACT]]&lt;=2025,"Yes",""))</f>
        <v/>
      </c>
      <c r="J67" s="1" t="str">
        <f ca="1">IF(VLOOKUP(IntComp[[#This Row],[DEVELOPMENT]],Data[],10,FALSE)=0,"",DATEDIF(VLOOKUP(IntComp[[#This Row],[DEVELOPMENT]],Data[],12,FALSE),TODAY(),"Y"))</f>
        <v/>
      </c>
      <c r="K67" s="1">
        <f>IF(IntComp[[#This Row],[RAD/PACT]]="",VLOOKUP(IntComp[[#This Row],[DEVELOPMENT]],Data[],10,FALSE),IF(IntComp[[#This Row],[RAD/PACT by 2025]]="yes",0,VLOOKUP(IntComp[[#This Row],[DEVELOPMENT]],Data[],10,FALSE)))</f>
        <v>0</v>
      </c>
      <c r="L67" s="63">
        <f ca="1">IF(IntComp[[#This Row],[RAD/PACT by 2025]]="Yes",0,(IntComp[[#This Row],['# Int. Compactors to Replace]]*'Unit Costs'!$B$8)*(1+((IntComp[[#This Row],[est. Year]]-YEAR(TODAY()))*$L$2)))</f>
        <v>73653.394499999995</v>
      </c>
      <c r="M67" s="1">
        <f>SUM(INDEX(IntComp['# to Replace],1):IntComp[[#This Row],['# to Replace]])</f>
        <v>0</v>
      </c>
      <c r="N67" s="1">
        <f>ROUNDDOWN(IntComp[[#This Row],[Count]]/100,0)+$N$1</f>
        <v>2020</v>
      </c>
      <c r="O67" s="81">
        <f t="shared" ca="1" si="0"/>
        <v>34617095.415000014</v>
      </c>
      <c r="P67"/>
    </row>
    <row r="68" spans="1:16" x14ac:dyDescent="0.25">
      <c r="A68" s="82" t="s">
        <v>143</v>
      </c>
      <c r="B68" s="1" t="str">
        <f>VLOOKUP(A68,Data[],2,FALSE)</f>
        <v>BRONX</v>
      </c>
      <c r="C68" s="9" t="s">
        <v>106</v>
      </c>
      <c r="D68" s="9">
        <f>VLOOKUP(IntComp[[#This Row],[DEVELOPMENT]],Data[],31,FALSE)</f>
        <v>5</v>
      </c>
      <c r="E68" s="9" t="str">
        <f>VLOOKUP(IntComp[[#This Row],[DEVELOPMENT]],Data[],8,FALSE)</f>
        <v>Zone 1</v>
      </c>
      <c r="F68" s="9" t="str">
        <f>VLOOKUP(IntComp[[#This Row],[DEVELOPMENT]],Data[],9,FALSE)</f>
        <v>$</v>
      </c>
      <c r="G68" s="9"/>
      <c r="H68" s="9">
        <f>IFERROR(VLOOKUP(IntComp[[#This Row],[DEVELOPMENT]],Data[],4,FALSE),"")</f>
        <v>2025</v>
      </c>
      <c r="I68" s="9" t="str">
        <f>IF(IntComp[[#This Row],[RAD/PACT]]="","",IF(IntComp[[#This Row],[RAD/PACT]]&lt;=2025,"Yes",""))</f>
        <v>Yes</v>
      </c>
      <c r="J68" s="1" t="str">
        <f ca="1">IF(VLOOKUP(IntComp[[#This Row],[DEVELOPMENT]],Data[],10,FALSE)=0,"",DATEDIF(VLOOKUP(IntComp[[#This Row],[DEVELOPMENT]],Data[],12,FALSE),TODAY(),"Y"))</f>
        <v/>
      </c>
      <c r="K68" s="1">
        <f>IF(IntComp[[#This Row],[RAD/PACT]]="",VLOOKUP(IntComp[[#This Row],[DEVELOPMENT]],Data[],10,FALSE),IF(IntComp[[#This Row],[RAD/PACT by 2025]]="yes",0,VLOOKUP(IntComp[[#This Row],[DEVELOPMENT]],Data[],10,FALSE)))</f>
        <v>0</v>
      </c>
      <c r="L68" s="63">
        <f ca="1">IF(IntComp[[#This Row],[RAD/PACT by 2025]]="Yes",0,(IntComp[[#This Row],['# Int. Compactors to Replace]]*'Unit Costs'!$B$8)*(1+((IntComp[[#This Row],[est. Year]]-YEAR(TODAY()))*$L$2)))</f>
        <v>0</v>
      </c>
      <c r="M68" s="1">
        <f>SUM(INDEX(IntComp['# to Replace],1):IntComp[[#This Row],['# to Replace]])</f>
        <v>0</v>
      </c>
      <c r="N68" s="1">
        <f>ROUNDDOWN(IntComp[[#This Row],[Count]]/100,0)+$N$1</f>
        <v>2020</v>
      </c>
      <c r="O68" s="81">
        <f t="shared" ref="O68:O131" ca="1" si="1">IF(N68=N67,L68+O67,L68)</f>
        <v>34617095.415000014</v>
      </c>
      <c r="P68"/>
    </row>
    <row r="69" spans="1:16" x14ac:dyDescent="0.25">
      <c r="A69" s="82" t="s">
        <v>32</v>
      </c>
      <c r="B69" s="1" t="str">
        <f>VLOOKUP(A69,Data[],2,FALSE)</f>
        <v>BRONX</v>
      </c>
      <c r="C69" s="9" t="s">
        <v>106</v>
      </c>
      <c r="D69" s="9">
        <f>VLOOKUP(IntComp[[#This Row],[DEVELOPMENT]],Data[],31,FALSE)</f>
        <v>4</v>
      </c>
      <c r="E69" s="9" t="str">
        <f>VLOOKUP(IntComp[[#This Row],[DEVELOPMENT]],Data[],8,FALSE)</f>
        <v>Zone 1</v>
      </c>
      <c r="F69" s="9" t="str">
        <f>VLOOKUP(IntComp[[#This Row],[DEVELOPMENT]],Data[],9,FALSE)</f>
        <v>$</v>
      </c>
      <c r="G69" s="9"/>
      <c r="H69" s="9">
        <f>IFERROR(VLOOKUP(IntComp[[#This Row],[DEVELOPMENT]],Data[],4,FALSE),"")</f>
        <v>2025</v>
      </c>
      <c r="I69" s="9" t="str">
        <f>IF(IntComp[[#This Row],[RAD/PACT]]="","",IF(IntComp[[#This Row],[RAD/PACT]]&lt;=2025,"Yes",""))</f>
        <v>Yes</v>
      </c>
      <c r="J69" s="1" t="str">
        <f ca="1">IF(VLOOKUP(IntComp[[#This Row],[DEVELOPMENT]],Data[],10,FALSE)=0,"",DATEDIF(VLOOKUP(IntComp[[#This Row],[DEVELOPMENT]],Data[],12,FALSE),TODAY(),"Y"))</f>
        <v/>
      </c>
      <c r="K69" s="1">
        <f>IF(IntComp[[#This Row],[RAD/PACT]]="",VLOOKUP(IntComp[[#This Row],[DEVELOPMENT]],Data[],10,FALSE),IF(IntComp[[#This Row],[RAD/PACT by 2025]]="yes",0,VLOOKUP(IntComp[[#This Row],[DEVELOPMENT]],Data[],10,FALSE)))</f>
        <v>0</v>
      </c>
      <c r="L69" s="63">
        <f ca="1">IF(IntComp[[#This Row],[RAD/PACT by 2025]]="Yes",0,(IntComp[[#This Row],['# Int. Compactors to Replace]]*'Unit Costs'!$B$8)*(1+((IntComp[[#This Row],[est. Year]]-YEAR(TODAY()))*$L$2)))</f>
        <v>0</v>
      </c>
      <c r="M69" s="1">
        <f>SUM(INDEX(IntComp['# to Replace],1):IntComp[[#This Row],['# to Replace]])</f>
        <v>0</v>
      </c>
      <c r="N69" s="1">
        <f>ROUNDDOWN(IntComp[[#This Row],[Count]]/100,0)+$N$1</f>
        <v>2020</v>
      </c>
      <c r="O69" s="81">
        <f t="shared" ca="1" si="1"/>
        <v>34617095.415000014</v>
      </c>
      <c r="P69"/>
    </row>
    <row r="70" spans="1:16" x14ac:dyDescent="0.25">
      <c r="A70" s="82" t="s">
        <v>34</v>
      </c>
      <c r="B70" s="1" t="str">
        <f>VLOOKUP(A70,Data[],2,FALSE)</f>
        <v>BRONX</v>
      </c>
      <c r="C70" s="9" t="s">
        <v>106</v>
      </c>
      <c r="D70" s="9">
        <f>VLOOKUP(IntComp[[#This Row],[DEVELOPMENT]],Data[],31,FALSE)</f>
        <v>9</v>
      </c>
      <c r="E70" s="9" t="str">
        <f>VLOOKUP(IntComp[[#This Row],[DEVELOPMENT]],Data[],8,FALSE)</f>
        <v>Zone 1</v>
      </c>
      <c r="F70" s="9" t="str">
        <f>VLOOKUP(IntComp[[#This Row],[DEVELOPMENT]],Data[],9,FALSE)</f>
        <v>$</v>
      </c>
      <c r="G70" s="9"/>
      <c r="H70" s="9">
        <f>IFERROR(VLOOKUP(IntComp[[#This Row],[DEVELOPMENT]],Data[],4,FALSE),"")</f>
        <v>2025</v>
      </c>
      <c r="I70" s="9" t="str">
        <f>IF(IntComp[[#This Row],[RAD/PACT]]="","",IF(IntComp[[#This Row],[RAD/PACT]]&lt;=2025,"Yes",""))</f>
        <v>Yes</v>
      </c>
      <c r="J70" s="1" t="str">
        <f ca="1">IF(VLOOKUP(IntComp[[#This Row],[DEVELOPMENT]],Data[],10,FALSE)=0,"",DATEDIF(VLOOKUP(IntComp[[#This Row],[DEVELOPMENT]],Data[],12,FALSE),TODAY(),"Y"))</f>
        <v/>
      </c>
      <c r="K70" s="1">
        <f>IF(IntComp[[#This Row],[RAD/PACT]]="",VLOOKUP(IntComp[[#This Row],[DEVELOPMENT]],Data[],10,FALSE),IF(IntComp[[#This Row],[RAD/PACT by 2025]]="yes",0,VLOOKUP(IntComp[[#This Row],[DEVELOPMENT]],Data[],10,FALSE)))</f>
        <v>0</v>
      </c>
      <c r="L70" s="63">
        <f ca="1">IF(IntComp[[#This Row],[RAD/PACT by 2025]]="Yes",0,(IntComp[[#This Row],['# Int. Compactors to Replace]]*'Unit Costs'!$B$8)*(1+((IntComp[[#This Row],[est. Year]]-YEAR(TODAY()))*$L$2)))</f>
        <v>0</v>
      </c>
      <c r="M70" s="1">
        <f>SUM(INDEX(IntComp['# to Replace],1):IntComp[[#This Row],['# to Replace]])</f>
        <v>0</v>
      </c>
      <c r="N70" s="1">
        <f>ROUNDDOWN(IntComp[[#This Row],[Count]]/100,0)+$N$1</f>
        <v>2020</v>
      </c>
      <c r="O70" s="81">
        <f t="shared" ca="1" si="1"/>
        <v>34617095.415000014</v>
      </c>
      <c r="P70"/>
    </row>
    <row r="71" spans="1:16" x14ac:dyDescent="0.25">
      <c r="A71" s="82" t="s">
        <v>144</v>
      </c>
      <c r="B71" s="1" t="str">
        <f>VLOOKUP(A71,Data[],2,FALSE)</f>
        <v>BRONX</v>
      </c>
      <c r="C71" s="9" t="s">
        <v>106</v>
      </c>
      <c r="D71" s="9">
        <f>VLOOKUP(IntComp[[#This Row],[DEVELOPMENT]],Data[],31,FALSE)</f>
        <v>4</v>
      </c>
      <c r="E71" s="9" t="str">
        <f>VLOOKUP(IntComp[[#This Row],[DEVELOPMENT]],Data[],8,FALSE)</f>
        <v>Zone 1</v>
      </c>
      <c r="F71" s="9" t="str">
        <f>VLOOKUP(IntComp[[#This Row],[DEVELOPMENT]],Data[],9,FALSE)</f>
        <v>$</v>
      </c>
      <c r="G71" s="9"/>
      <c r="H71" s="9">
        <f>IFERROR(VLOOKUP(IntComp[[#This Row],[DEVELOPMENT]],Data[],4,FALSE),"")</f>
        <v>2025</v>
      </c>
      <c r="I71" s="9" t="str">
        <f>IF(IntComp[[#This Row],[RAD/PACT]]="","",IF(IntComp[[#This Row],[RAD/PACT]]&lt;=2025,"Yes",""))</f>
        <v>Yes</v>
      </c>
      <c r="J71" s="1" t="str">
        <f ca="1">IF(VLOOKUP(IntComp[[#This Row],[DEVELOPMENT]],Data[],10,FALSE)=0,"",DATEDIF(VLOOKUP(IntComp[[#This Row],[DEVELOPMENT]],Data[],12,FALSE),TODAY(),"Y"))</f>
        <v/>
      </c>
      <c r="K71" s="1">
        <f>IF(IntComp[[#This Row],[RAD/PACT]]="",VLOOKUP(IntComp[[#This Row],[DEVELOPMENT]],Data[],10,FALSE),IF(IntComp[[#This Row],[RAD/PACT by 2025]]="yes",0,VLOOKUP(IntComp[[#This Row],[DEVELOPMENT]],Data[],10,FALSE)))</f>
        <v>0</v>
      </c>
      <c r="L71" s="63">
        <f ca="1">IF(IntComp[[#This Row],[RAD/PACT by 2025]]="Yes",0,(IntComp[[#This Row],['# Int. Compactors to Replace]]*'Unit Costs'!$B$8)*(1+((IntComp[[#This Row],[est. Year]]-YEAR(TODAY()))*$L$2)))</f>
        <v>0</v>
      </c>
      <c r="M71" s="1">
        <f>SUM(INDEX(IntComp['# to Replace],1):IntComp[[#This Row],['# to Replace]])</f>
        <v>0</v>
      </c>
      <c r="N71" s="1">
        <f>ROUNDDOWN(IntComp[[#This Row],[Count]]/100,0)+$N$1</f>
        <v>2020</v>
      </c>
      <c r="O71" s="81">
        <f t="shared" ca="1" si="1"/>
        <v>34617095.415000014</v>
      </c>
      <c r="P71"/>
    </row>
    <row r="72" spans="1:16" x14ac:dyDescent="0.25">
      <c r="A72" s="13" t="s">
        <v>199</v>
      </c>
      <c r="B72" s="9" t="str">
        <f>VLOOKUP(A72,Data[],2,FALSE)</f>
        <v>BRONX</v>
      </c>
      <c r="C72" s="9" t="s">
        <v>106</v>
      </c>
      <c r="D72" s="9">
        <f>VLOOKUP(IntComp[[#This Row],[DEVELOPMENT]],Data[],31,FALSE)</f>
        <v>0</v>
      </c>
      <c r="E72" s="66">
        <f>VLOOKUP(IntComp[[#This Row],[DEVELOPMENT]],Data[],8,FALSE)</f>
        <v>0</v>
      </c>
      <c r="F72" s="66">
        <f>VLOOKUP(IntComp[[#This Row],[DEVELOPMENT]],Data[],9,FALSE)</f>
        <v>0</v>
      </c>
      <c r="G72" s="66"/>
      <c r="H72" s="66">
        <f>IFERROR(VLOOKUP(IntComp[[#This Row],[DEVELOPMENT]],Data[],4,FALSE),"")</f>
        <v>2024</v>
      </c>
      <c r="I72" s="66" t="str">
        <f>IF(IntComp[[#This Row],[RAD/PACT]]="","",IF(IntComp[[#This Row],[RAD/PACT]]&lt;=2025,"Yes",""))</f>
        <v>Yes</v>
      </c>
      <c r="J72" s="67" t="str">
        <f ca="1">IF(VLOOKUP(IntComp[[#This Row],[DEVELOPMENT]],Data[],10,FALSE)=0,"",DATEDIF(VLOOKUP(IntComp[[#This Row],[DEVELOPMENT]],Data[],12,FALSE),TODAY(),"Y"))</f>
        <v/>
      </c>
      <c r="K72" s="67">
        <f>IF(IntComp[[#This Row],[RAD/PACT]]="",VLOOKUP(IntComp[[#This Row],[DEVELOPMENT]],Data[],10,FALSE),IF(IntComp[[#This Row],[RAD/PACT by 2025]]="yes",0,VLOOKUP(IntComp[[#This Row],[DEVELOPMENT]],Data[],10,FALSE)))</f>
        <v>0</v>
      </c>
      <c r="L72" s="63">
        <f ca="1">IF(IntComp[[#This Row],[RAD/PACT by 2025]]="Yes",0,(IntComp[[#This Row],['# Int. Compactors to Replace]]*'Unit Costs'!$B$8)*(1+((IntComp[[#This Row],[est. Year]]-YEAR(TODAY()))*$L$2)))</f>
        <v>0</v>
      </c>
      <c r="M72" s="67">
        <f>SUM(INDEX(IntComp['# to Replace],1):IntComp[[#This Row],['# to Replace]])</f>
        <v>0</v>
      </c>
      <c r="N72" s="67">
        <f>ROUNDDOWN(IntComp[[#This Row],[Count]]/100,0)+$N$1</f>
        <v>2020</v>
      </c>
      <c r="O72" s="86">
        <f t="shared" ca="1" si="1"/>
        <v>34617095.415000014</v>
      </c>
      <c r="P72"/>
    </row>
    <row r="73" spans="1:16" x14ac:dyDescent="0.25">
      <c r="A73" s="13" t="s">
        <v>129</v>
      </c>
      <c r="B73" s="1" t="str">
        <f>VLOOKUP(A73,Data[],2,FALSE)</f>
        <v>MANHATTAN</v>
      </c>
      <c r="C73" s="9" t="s">
        <v>106</v>
      </c>
      <c r="D73" s="9">
        <f>VLOOKUP(IntComp[[#This Row],[DEVELOPMENT]],Data[],31,FALSE)</f>
        <v>6</v>
      </c>
      <c r="E73" s="9" t="str">
        <f>VLOOKUP(IntComp[[#This Row],[DEVELOPMENT]],Data[],8,FALSE)</f>
        <v>Zone 2</v>
      </c>
      <c r="F73" s="9" t="str">
        <f>VLOOKUP(IntComp[[#This Row],[DEVELOPMENT]],Data[],9,FALSE)</f>
        <v>$$$$</v>
      </c>
      <c r="G73" s="9"/>
      <c r="H73" s="9" t="str">
        <f>IFERROR(VLOOKUP(IntComp[[#This Row],[DEVELOPMENT]],Data[],4,FALSE),"")</f>
        <v/>
      </c>
      <c r="I73" s="9" t="str">
        <f>IF(IntComp[[#This Row],[RAD/PACT]]="","",IF(IntComp[[#This Row],[RAD/PACT]]&lt;=2025,"Yes",""))</f>
        <v/>
      </c>
      <c r="J73" s="1" t="str">
        <f ca="1">IF(VLOOKUP(IntComp[[#This Row],[DEVELOPMENT]],Data[],10,FALSE)=0,"",DATEDIF(VLOOKUP(IntComp[[#This Row],[DEVELOPMENT]],Data[],12,FALSE),TODAY(),"Y"))</f>
        <v/>
      </c>
      <c r="K73" s="1">
        <f>IF(IntComp[[#This Row],[RAD/PACT]]="",VLOOKUP(IntComp[[#This Row],[DEVELOPMENT]],Data[],10,FALSE),IF(IntComp[[#This Row],[RAD/PACT by 2025]]="yes",0,VLOOKUP(IntComp[[#This Row],[DEVELOPMENT]],Data[],10,FALSE)))</f>
        <v>0</v>
      </c>
      <c r="L73" s="63">
        <f ca="1">IF(IntComp[[#This Row],[RAD/PACT by 2025]]="Yes",0,(IntComp[[#This Row],['# Int. Compactors to Replace]]*'Unit Costs'!$B$8)*(1+((IntComp[[#This Row],[est. Year]]-YEAR(TODAY()))*$L$2)))</f>
        <v>441920.36699999991</v>
      </c>
      <c r="M73" s="1">
        <f>SUM(INDEX(IntComp['# to Replace],1):IntComp[[#This Row],['# to Replace]])</f>
        <v>0</v>
      </c>
      <c r="N73" s="1">
        <f>ROUNDDOWN(IntComp[[#This Row],[Count]]/100,0)+$N$1</f>
        <v>2020</v>
      </c>
      <c r="O73" s="81">
        <f t="shared" ca="1" si="1"/>
        <v>35059015.782000013</v>
      </c>
      <c r="P73"/>
    </row>
    <row r="74" spans="1:16" x14ac:dyDescent="0.25">
      <c r="A74" s="82" t="s">
        <v>145</v>
      </c>
      <c r="B74" s="1" t="str">
        <f>VLOOKUP(A74,Data[],2,FALSE)</f>
        <v>BRONX</v>
      </c>
      <c r="C74" s="9" t="s">
        <v>106</v>
      </c>
      <c r="D74" s="9">
        <f>VLOOKUP(IntComp[[#This Row],[DEVELOPMENT]],Data[],31,FALSE)</f>
        <v>1</v>
      </c>
      <c r="E74" s="9" t="str">
        <f>VLOOKUP(IntComp[[#This Row],[DEVELOPMENT]],Data[],8,FALSE)</f>
        <v>Zone 1</v>
      </c>
      <c r="F74" s="9" t="str">
        <f>VLOOKUP(IntComp[[#This Row],[DEVELOPMENT]],Data[],9,FALSE)</f>
        <v>$</v>
      </c>
      <c r="G74" s="9"/>
      <c r="H74" s="9">
        <f>IFERROR(VLOOKUP(IntComp[[#This Row],[DEVELOPMENT]],Data[],4,FALSE),"")</f>
        <v>2025</v>
      </c>
      <c r="I74" s="9" t="str">
        <f>IF(IntComp[[#This Row],[RAD/PACT]]="","",IF(IntComp[[#This Row],[RAD/PACT]]&lt;=2025,"Yes",""))</f>
        <v>Yes</v>
      </c>
      <c r="J74" s="1" t="str">
        <f ca="1">IF(VLOOKUP(IntComp[[#This Row],[DEVELOPMENT]],Data[],10,FALSE)=0,"",DATEDIF(VLOOKUP(IntComp[[#This Row],[DEVELOPMENT]],Data[],12,FALSE),TODAY(),"Y"))</f>
        <v/>
      </c>
      <c r="K74" s="1">
        <f>IF(IntComp[[#This Row],[RAD/PACT]]="",VLOOKUP(IntComp[[#This Row],[DEVELOPMENT]],Data[],10,FALSE),IF(IntComp[[#This Row],[RAD/PACT by 2025]]="yes",0,VLOOKUP(IntComp[[#This Row],[DEVELOPMENT]],Data[],10,FALSE)))</f>
        <v>0</v>
      </c>
      <c r="L74" s="63">
        <f ca="1">IF(IntComp[[#This Row],[RAD/PACT by 2025]]="Yes",0,(IntComp[[#This Row],['# Int. Compactors to Replace]]*'Unit Costs'!$B$8)*(1+((IntComp[[#This Row],[est. Year]]-YEAR(TODAY()))*$L$2)))</f>
        <v>0</v>
      </c>
      <c r="M74" s="1">
        <f>SUM(INDEX(IntComp['# to Replace],1):IntComp[[#This Row],['# to Replace]])</f>
        <v>0</v>
      </c>
      <c r="N74" s="1">
        <f>ROUNDDOWN(IntComp[[#This Row],[Count]]/100,0)+$N$1</f>
        <v>2020</v>
      </c>
      <c r="O74" s="81">
        <f t="shared" ca="1" si="1"/>
        <v>35059015.782000013</v>
      </c>
      <c r="P74"/>
    </row>
    <row r="75" spans="1:16" x14ac:dyDescent="0.25">
      <c r="A75" s="13" t="s">
        <v>200</v>
      </c>
      <c r="B75" s="9" t="str">
        <f>VLOOKUP(A75,Data[],2,FALSE)</f>
        <v>BROOKLYN</v>
      </c>
      <c r="C75" s="9" t="s">
        <v>106</v>
      </c>
      <c r="D75" s="9">
        <f>VLOOKUP(IntComp[[#This Row],[DEVELOPMENT]],Data[],31,FALSE)</f>
        <v>5</v>
      </c>
      <c r="E75" s="66">
        <f>VLOOKUP(IntComp[[#This Row],[DEVELOPMENT]],Data[],8,FALSE)</f>
        <v>0</v>
      </c>
      <c r="F75" s="66">
        <f>VLOOKUP(IntComp[[#This Row],[DEVELOPMENT]],Data[],9,FALSE)</f>
        <v>0</v>
      </c>
      <c r="G75" s="66"/>
      <c r="H75" s="66" t="str">
        <f>IFERROR(VLOOKUP(IntComp[[#This Row],[DEVELOPMENT]],Data[],4,FALSE),"")</f>
        <v/>
      </c>
      <c r="I75" s="66" t="str">
        <f>IF(IntComp[[#This Row],[RAD/PACT]]="","",IF(IntComp[[#This Row],[RAD/PACT]]&lt;=2025,"Yes",""))</f>
        <v/>
      </c>
      <c r="J75" s="67" t="str">
        <f ca="1">IF(VLOOKUP(IntComp[[#This Row],[DEVELOPMENT]],Data[],10,FALSE)=0,"",DATEDIF(VLOOKUP(IntComp[[#This Row],[DEVELOPMENT]],Data[],12,FALSE),TODAY(),"Y"))</f>
        <v/>
      </c>
      <c r="K75" s="67">
        <f>IF(IntComp[[#This Row],[RAD/PACT]]="",VLOOKUP(IntComp[[#This Row],[DEVELOPMENT]],Data[],10,FALSE),IF(IntComp[[#This Row],[RAD/PACT by 2025]]="yes",0,VLOOKUP(IntComp[[#This Row],[DEVELOPMENT]],Data[],10,FALSE)))</f>
        <v>0</v>
      </c>
      <c r="L75" s="63">
        <f ca="1">IF(IntComp[[#This Row],[RAD/PACT by 2025]]="Yes",0,(IntComp[[#This Row],['# Int. Compactors to Replace]]*'Unit Costs'!$B$8)*(1+((IntComp[[#This Row],[est. Year]]-YEAR(TODAY()))*$L$2)))</f>
        <v>368266.97249999997</v>
      </c>
      <c r="M75" s="67">
        <f>SUM(INDEX(IntComp['# to Replace],1):IntComp[[#This Row],['# to Replace]])</f>
        <v>0</v>
      </c>
      <c r="N75" s="67">
        <f>ROUNDDOWN(IntComp[[#This Row],[Count]]/100,0)+$N$1</f>
        <v>2020</v>
      </c>
      <c r="O75" s="86">
        <f t="shared" ca="1" si="1"/>
        <v>35427282.754500009</v>
      </c>
      <c r="P75"/>
    </row>
    <row r="76" spans="1:16" x14ac:dyDescent="0.25">
      <c r="A76" s="13" t="s">
        <v>201</v>
      </c>
      <c r="B76" s="9" t="str">
        <f>VLOOKUP(A76,Data[],2,FALSE)</f>
        <v>BROOKLYN</v>
      </c>
      <c r="C76" s="9" t="s">
        <v>106</v>
      </c>
      <c r="D76" s="9">
        <f>VLOOKUP(IntComp[[#This Row],[DEVELOPMENT]],Data[],31,FALSE)</f>
        <v>1</v>
      </c>
      <c r="E76" s="66">
        <f>VLOOKUP(IntComp[[#This Row],[DEVELOPMENT]],Data[],8,FALSE)</f>
        <v>0</v>
      </c>
      <c r="F76" s="66">
        <f>VLOOKUP(IntComp[[#This Row],[DEVELOPMENT]],Data[],9,FALSE)</f>
        <v>0</v>
      </c>
      <c r="G76" s="66"/>
      <c r="H76" s="66" t="str">
        <f>IFERROR(VLOOKUP(IntComp[[#This Row],[DEVELOPMENT]],Data[],4,FALSE),"")</f>
        <v/>
      </c>
      <c r="I76" s="66" t="str">
        <f>IF(IntComp[[#This Row],[RAD/PACT]]="","",IF(IntComp[[#This Row],[RAD/PACT]]&lt;=2025,"Yes",""))</f>
        <v/>
      </c>
      <c r="J76" s="67" t="str">
        <f ca="1">IF(VLOOKUP(IntComp[[#This Row],[DEVELOPMENT]],Data[],10,FALSE)=0,"",DATEDIF(VLOOKUP(IntComp[[#This Row],[DEVELOPMENT]],Data[],12,FALSE),TODAY(),"Y"))</f>
        <v/>
      </c>
      <c r="K76" s="67">
        <f>IF(IntComp[[#This Row],[RAD/PACT]]="",VLOOKUP(IntComp[[#This Row],[DEVELOPMENT]],Data[],10,FALSE),IF(IntComp[[#This Row],[RAD/PACT by 2025]]="yes",0,VLOOKUP(IntComp[[#This Row],[DEVELOPMENT]],Data[],10,FALSE)))</f>
        <v>0</v>
      </c>
      <c r="L76" s="63">
        <f ca="1">IF(IntComp[[#This Row],[RAD/PACT by 2025]]="Yes",0,(IntComp[[#This Row],['# Int. Compactors to Replace]]*'Unit Costs'!$B$8)*(1+((IntComp[[#This Row],[est. Year]]-YEAR(TODAY()))*$L$2)))</f>
        <v>73653.394499999995</v>
      </c>
      <c r="M76" s="67">
        <f>SUM(INDEX(IntComp['# to Replace],1):IntComp[[#This Row],['# to Replace]])</f>
        <v>0</v>
      </c>
      <c r="N76" s="67">
        <f>ROUNDDOWN(IntComp[[#This Row],[Count]]/100,0)+$N$1</f>
        <v>2020</v>
      </c>
      <c r="O76" s="86">
        <f t="shared" ca="1" si="1"/>
        <v>35500936.149000011</v>
      </c>
      <c r="P76"/>
    </row>
    <row r="77" spans="1:16" x14ac:dyDescent="0.25">
      <c r="A77" s="13" t="s">
        <v>202</v>
      </c>
      <c r="B77" s="9" t="str">
        <f>VLOOKUP(A77,Data[],2,FALSE)</f>
        <v>BROOKLYN</v>
      </c>
      <c r="C77" s="9" t="s">
        <v>106</v>
      </c>
      <c r="D77" s="9">
        <f>VLOOKUP(IntComp[[#This Row],[DEVELOPMENT]],Data[],31,FALSE)</f>
        <v>1</v>
      </c>
      <c r="E77" s="66">
        <f>VLOOKUP(IntComp[[#This Row],[DEVELOPMENT]],Data[],8,FALSE)</f>
        <v>0</v>
      </c>
      <c r="F77" s="66">
        <f>VLOOKUP(IntComp[[#This Row],[DEVELOPMENT]],Data[],9,FALSE)</f>
        <v>0</v>
      </c>
      <c r="G77" s="66"/>
      <c r="H77" s="66" t="str">
        <f>IFERROR(VLOOKUP(IntComp[[#This Row],[DEVELOPMENT]],Data[],4,FALSE),"")</f>
        <v/>
      </c>
      <c r="I77" s="66" t="str">
        <f>IF(IntComp[[#This Row],[RAD/PACT]]="","",IF(IntComp[[#This Row],[RAD/PACT]]&lt;=2025,"Yes",""))</f>
        <v/>
      </c>
      <c r="J77" s="67" t="str">
        <f ca="1">IF(VLOOKUP(IntComp[[#This Row],[DEVELOPMENT]],Data[],10,FALSE)=0,"",DATEDIF(VLOOKUP(IntComp[[#This Row],[DEVELOPMENT]],Data[],12,FALSE),TODAY(),"Y"))</f>
        <v/>
      </c>
      <c r="K77" s="67">
        <f>IF(IntComp[[#This Row],[RAD/PACT]]="",VLOOKUP(IntComp[[#This Row],[DEVELOPMENT]],Data[],10,FALSE),IF(IntComp[[#This Row],[RAD/PACT by 2025]]="yes",0,VLOOKUP(IntComp[[#This Row],[DEVELOPMENT]],Data[],10,FALSE)))</f>
        <v>0</v>
      </c>
      <c r="L77" s="63">
        <f ca="1">IF(IntComp[[#This Row],[RAD/PACT by 2025]]="Yes",0,(IntComp[[#This Row],['# Int. Compactors to Replace]]*'Unit Costs'!$B$8)*(1+((IntComp[[#This Row],[est. Year]]-YEAR(TODAY()))*$L$2)))</f>
        <v>73653.394499999995</v>
      </c>
      <c r="M77" s="67">
        <f>SUM(INDEX(IntComp['# to Replace],1):IntComp[[#This Row],['# to Replace]])</f>
        <v>0</v>
      </c>
      <c r="N77" s="67">
        <f>ROUNDDOWN(IntComp[[#This Row],[Count]]/100,0)+$N$1</f>
        <v>2020</v>
      </c>
      <c r="O77" s="86">
        <f t="shared" ca="1" si="1"/>
        <v>35574589.543500014</v>
      </c>
      <c r="P77"/>
    </row>
    <row r="78" spans="1:16" x14ac:dyDescent="0.25">
      <c r="A78" s="13" t="s">
        <v>203</v>
      </c>
      <c r="B78" s="9" t="str">
        <f>VLOOKUP(A78,Data[],2,FALSE)</f>
        <v>BROOKLYN</v>
      </c>
      <c r="C78" s="9" t="s">
        <v>106</v>
      </c>
      <c r="D78" s="9">
        <f>VLOOKUP(IntComp[[#This Row],[DEVELOPMENT]],Data[],31,FALSE)</f>
        <v>3</v>
      </c>
      <c r="E78" s="66">
        <f>VLOOKUP(IntComp[[#This Row],[DEVELOPMENT]],Data[],8,FALSE)</f>
        <v>0</v>
      </c>
      <c r="F78" s="66">
        <f>VLOOKUP(IntComp[[#This Row],[DEVELOPMENT]],Data[],9,FALSE)</f>
        <v>0</v>
      </c>
      <c r="G78" s="66"/>
      <c r="H78" s="66" t="str">
        <f>IFERROR(VLOOKUP(IntComp[[#This Row],[DEVELOPMENT]],Data[],4,FALSE),"")</f>
        <v/>
      </c>
      <c r="I78" s="66" t="str">
        <f>IF(IntComp[[#This Row],[RAD/PACT]]="","",IF(IntComp[[#This Row],[RAD/PACT]]&lt;=2025,"Yes",""))</f>
        <v/>
      </c>
      <c r="J78" s="67" t="str">
        <f ca="1">IF(VLOOKUP(IntComp[[#This Row],[DEVELOPMENT]],Data[],10,FALSE)=0,"",DATEDIF(VLOOKUP(IntComp[[#This Row],[DEVELOPMENT]],Data[],12,FALSE),TODAY(),"Y"))</f>
        <v/>
      </c>
      <c r="K78" s="67">
        <f>IF(IntComp[[#This Row],[RAD/PACT]]="",VLOOKUP(IntComp[[#This Row],[DEVELOPMENT]],Data[],10,FALSE),IF(IntComp[[#This Row],[RAD/PACT by 2025]]="yes",0,VLOOKUP(IntComp[[#This Row],[DEVELOPMENT]],Data[],10,FALSE)))</f>
        <v>0</v>
      </c>
      <c r="L78" s="63">
        <f ca="1">IF(IntComp[[#This Row],[RAD/PACT by 2025]]="Yes",0,(IntComp[[#This Row],['# Int. Compactors to Replace]]*'Unit Costs'!$B$8)*(1+((IntComp[[#This Row],[est. Year]]-YEAR(TODAY()))*$L$2)))</f>
        <v>220960.18349999996</v>
      </c>
      <c r="M78" s="67">
        <f>SUM(INDEX(IntComp['# to Replace],1):IntComp[[#This Row],['# to Replace]])</f>
        <v>0</v>
      </c>
      <c r="N78" s="67">
        <f>ROUNDDOWN(IntComp[[#This Row],[Count]]/100,0)+$N$1</f>
        <v>2020</v>
      </c>
      <c r="O78" s="86">
        <f t="shared" ca="1" si="1"/>
        <v>35795549.727000013</v>
      </c>
      <c r="P78"/>
    </row>
    <row r="79" spans="1:16" x14ac:dyDescent="0.25">
      <c r="A79" s="13" t="s">
        <v>204</v>
      </c>
      <c r="B79" s="9" t="str">
        <f>VLOOKUP(A79,Data[],2,FALSE)</f>
        <v>QUEENS</v>
      </c>
      <c r="C79" s="9" t="s">
        <v>106</v>
      </c>
      <c r="D79" s="9">
        <f>VLOOKUP(IntComp[[#This Row],[DEVELOPMENT]],Data[],31,FALSE)</f>
        <v>1</v>
      </c>
      <c r="E79" s="66">
        <f>VLOOKUP(IntComp[[#This Row],[DEVELOPMENT]],Data[],8,FALSE)</f>
        <v>0</v>
      </c>
      <c r="F79" s="66">
        <f>VLOOKUP(IntComp[[#This Row],[DEVELOPMENT]],Data[],9,FALSE)</f>
        <v>0</v>
      </c>
      <c r="G79" s="66"/>
      <c r="H79" s="66" t="str">
        <f>IFERROR(VLOOKUP(IntComp[[#This Row],[DEVELOPMENT]],Data[],4,FALSE),"")</f>
        <v/>
      </c>
      <c r="I79" s="66" t="str">
        <f>IF(IntComp[[#This Row],[RAD/PACT]]="","",IF(IntComp[[#This Row],[RAD/PACT]]&lt;=2025,"Yes",""))</f>
        <v/>
      </c>
      <c r="J79" s="67" t="str">
        <f ca="1">IF(VLOOKUP(IntComp[[#This Row],[DEVELOPMENT]],Data[],10,FALSE)=0,"",DATEDIF(VLOOKUP(IntComp[[#This Row],[DEVELOPMENT]],Data[],12,FALSE),TODAY(),"Y"))</f>
        <v/>
      </c>
      <c r="K79" s="67">
        <f>IF(IntComp[[#This Row],[RAD/PACT]]="",VLOOKUP(IntComp[[#This Row],[DEVELOPMENT]],Data[],10,FALSE),IF(IntComp[[#This Row],[RAD/PACT by 2025]]="yes",0,VLOOKUP(IntComp[[#This Row],[DEVELOPMENT]],Data[],10,FALSE)))</f>
        <v>0</v>
      </c>
      <c r="L79" s="63">
        <f ca="1">IF(IntComp[[#This Row],[RAD/PACT by 2025]]="Yes",0,(IntComp[[#This Row],['# Int. Compactors to Replace]]*'Unit Costs'!$B$8)*(1+((IntComp[[#This Row],[est. Year]]-YEAR(TODAY()))*$L$2)))</f>
        <v>73653.394499999995</v>
      </c>
      <c r="M79" s="67">
        <f>SUM(INDEX(IntComp['# to Replace],1):IntComp[[#This Row],['# to Replace]])</f>
        <v>0</v>
      </c>
      <c r="N79" s="67">
        <f>ROUNDDOWN(IntComp[[#This Row],[Count]]/100,0)+$N$1</f>
        <v>2020</v>
      </c>
      <c r="O79" s="86">
        <f t="shared" ca="1" si="1"/>
        <v>35869203.121500015</v>
      </c>
      <c r="P79"/>
    </row>
    <row r="80" spans="1:16" x14ac:dyDescent="0.25">
      <c r="A80" s="13" t="s">
        <v>205</v>
      </c>
      <c r="B80" s="9" t="str">
        <f>VLOOKUP(A80,Data[],2,FALSE)</f>
        <v>BROOKLYN</v>
      </c>
      <c r="C80" s="9" t="s">
        <v>106</v>
      </c>
      <c r="D80" s="9">
        <f>VLOOKUP(IntComp[[#This Row],[DEVELOPMENT]],Data[],31,FALSE)</f>
        <v>13</v>
      </c>
      <c r="E80" s="66">
        <f>VLOOKUP(IntComp[[#This Row],[DEVELOPMENT]],Data[],8,FALSE)</f>
        <v>0</v>
      </c>
      <c r="F80" s="66">
        <f>VLOOKUP(IntComp[[#This Row],[DEVELOPMENT]],Data[],9,FALSE)</f>
        <v>0</v>
      </c>
      <c r="G80" s="66"/>
      <c r="H80" s="66" t="str">
        <f>IFERROR(VLOOKUP(IntComp[[#This Row],[DEVELOPMENT]],Data[],4,FALSE),"")</f>
        <v/>
      </c>
      <c r="I80" s="66" t="str">
        <f>IF(IntComp[[#This Row],[RAD/PACT]]="","",IF(IntComp[[#This Row],[RAD/PACT]]&lt;=2025,"Yes",""))</f>
        <v/>
      </c>
      <c r="J80" s="67" t="str">
        <f ca="1">IF(VLOOKUP(IntComp[[#This Row],[DEVELOPMENT]],Data[],10,FALSE)=0,"",DATEDIF(VLOOKUP(IntComp[[#This Row],[DEVELOPMENT]],Data[],12,FALSE),TODAY(),"Y"))</f>
        <v/>
      </c>
      <c r="K80" s="67">
        <f>IF(IntComp[[#This Row],[RAD/PACT]]="",VLOOKUP(IntComp[[#This Row],[DEVELOPMENT]],Data[],10,FALSE),IF(IntComp[[#This Row],[RAD/PACT by 2025]]="yes",0,VLOOKUP(IntComp[[#This Row],[DEVELOPMENT]],Data[],10,FALSE)))</f>
        <v>0</v>
      </c>
      <c r="L80" s="63">
        <f ca="1">IF(IntComp[[#This Row],[RAD/PACT by 2025]]="Yes",0,(IntComp[[#This Row],['# Int. Compactors to Replace]]*'Unit Costs'!$B$8)*(1+((IntComp[[#This Row],[est. Year]]-YEAR(TODAY()))*$L$2)))</f>
        <v>957494.12849999988</v>
      </c>
      <c r="M80" s="67">
        <f>SUM(INDEX(IntComp['# to Replace],1):IntComp[[#This Row],['# to Replace]])</f>
        <v>0</v>
      </c>
      <c r="N80" s="67">
        <f>ROUNDDOWN(IntComp[[#This Row],[Count]]/100,0)+$N$1</f>
        <v>2020</v>
      </c>
      <c r="O80" s="86">
        <f t="shared" ca="1" si="1"/>
        <v>36826697.250000015</v>
      </c>
      <c r="P80"/>
    </row>
    <row r="81" spans="1:16" x14ac:dyDescent="0.25">
      <c r="A81" s="13" t="s">
        <v>74</v>
      </c>
      <c r="B81" s="1" t="str">
        <f>VLOOKUP(A81,Data[],2,FALSE)</f>
        <v>MANHATTAN</v>
      </c>
      <c r="C81" s="9" t="s">
        <v>106</v>
      </c>
      <c r="D81" s="9">
        <f>VLOOKUP(IntComp[[#This Row],[DEVELOPMENT]],Data[],31,FALSE)</f>
        <v>1</v>
      </c>
      <c r="E81" s="9" t="str">
        <f>VLOOKUP(IntComp[[#This Row],[DEVELOPMENT]],Data[],8,FALSE)</f>
        <v>Zone 2</v>
      </c>
      <c r="F81" s="9" t="str">
        <f>VLOOKUP(IntComp[[#This Row],[DEVELOPMENT]],Data[],9,FALSE)</f>
        <v>$</v>
      </c>
      <c r="G81" s="9"/>
      <c r="H81" s="9">
        <f>IFERROR(VLOOKUP(IntComp[[#This Row],[DEVELOPMENT]],Data[],4,FALSE),"")</f>
        <v>2026</v>
      </c>
      <c r="I81" s="9" t="str">
        <f>IF(IntComp[[#This Row],[RAD/PACT]]="","",IF(IntComp[[#This Row],[RAD/PACT]]&lt;=2025,"Yes",""))</f>
        <v/>
      </c>
      <c r="J81" s="1" t="str">
        <f ca="1">IF(VLOOKUP(IntComp[[#This Row],[DEVELOPMENT]],Data[],10,FALSE)=0,"",DATEDIF(VLOOKUP(IntComp[[#This Row],[DEVELOPMENT]],Data[],12,FALSE),TODAY(),"Y"))</f>
        <v/>
      </c>
      <c r="K81" s="1">
        <f>IF(IntComp[[#This Row],[RAD/PACT]]="",VLOOKUP(IntComp[[#This Row],[DEVELOPMENT]],Data[],10,FALSE),IF(IntComp[[#This Row],[RAD/PACT by 2025]]="yes",0,VLOOKUP(IntComp[[#This Row],[DEVELOPMENT]],Data[],10,FALSE)))</f>
        <v>0</v>
      </c>
      <c r="L81" s="63">
        <f ca="1">IF(IntComp[[#This Row],[RAD/PACT by 2025]]="Yes",0,(IntComp[[#This Row],['# Int. Compactors to Replace]]*'Unit Costs'!$B$8)*(1+((IntComp[[#This Row],[est. Year]]-YEAR(TODAY()))*$L$2)))</f>
        <v>73653.394499999995</v>
      </c>
      <c r="M81" s="1">
        <f>SUM(INDEX(IntComp['# to Replace],1):IntComp[[#This Row],['# to Replace]])</f>
        <v>0</v>
      </c>
      <c r="N81" s="1">
        <f>ROUNDDOWN(IntComp[[#This Row],[Count]]/100,0)+$N$1</f>
        <v>2020</v>
      </c>
      <c r="O81" s="81">
        <f t="shared" ca="1" si="1"/>
        <v>36900350.644500017</v>
      </c>
      <c r="P81"/>
    </row>
    <row r="82" spans="1:16" x14ac:dyDescent="0.25">
      <c r="A82" s="13" t="s">
        <v>206</v>
      </c>
      <c r="B82" s="9" t="str">
        <f>VLOOKUP(A82,Data[],2,FALSE)</f>
        <v>BROOKLYN</v>
      </c>
      <c r="C82" s="9" t="s">
        <v>106</v>
      </c>
      <c r="D82" s="9">
        <f>VLOOKUP(IntComp[[#This Row],[DEVELOPMENT]],Data[],31,FALSE)</f>
        <v>8</v>
      </c>
      <c r="E82" s="66" t="str">
        <f>VLOOKUP(IntComp[[#This Row],[DEVELOPMENT]],Data[],8,FALSE)</f>
        <v>Zone 4</v>
      </c>
      <c r="F82" s="66">
        <f>VLOOKUP(IntComp[[#This Row],[DEVELOPMENT]],Data[],9,FALSE)</f>
        <v>0</v>
      </c>
      <c r="G82" s="66"/>
      <c r="H82" s="66">
        <f>IFERROR(VLOOKUP(IntComp[[#This Row],[DEVELOPMENT]],Data[],4,FALSE),"")</f>
        <v>2025</v>
      </c>
      <c r="I82" s="66" t="str">
        <f>IF(IntComp[[#This Row],[RAD/PACT]]="","",IF(IntComp[[#This Row],[RAD/PACT]]&lt;=2025,"Yes",""))</f>
        <v>Yes</v>
      </c>
      <c r="J82" s="67" t="str">
        <f ca="1">IF(VLOOKUP(IntComp[[#This Row],[DEVELOPMENT]],Data[],10,FALSE)=0,"",DATEDIF(VLOOKUP(IntComp[[#This Row],[DEVELOPMENT]],Data[],12,FALSE),TODAY(),"Y"))</f>
        <v/>
      </c>
      <c r="K82" s="67">
        <f>IF(IntComp[[#This Row],[RAD/PACT]]="",VLOOKUP(IntComp[[#This Row],[DEVELOPMENT]],Data[],10,FALSE),IF(IntComp[[#This Row],[RAD/PACT by 2025]]="yes",0,VLOOKUP(IntComp[[#This Row],[DEVELOPMENT]],Data[],10,FALSE)))</f>
        <v>0</v>
      </c>
      <c r="L82" s="63">
        <f ca="1">IF(IntComp[[#This Row],[RAD/PACT by 2025]]="Yes",0,(IntComp[[#This Row],['# Int. Compactors to Replace]]*'Unit Costs'!$B$8)*(1+((IntComp[[#This Row],[est. Year]]-YEAR(TODAY()))*$L$2)))</f>
        <v>0</v>
      </c>
      <c r="M82" s="67">
        <f>SUM(INDEX(IntComp['# to Replace],1):IntComp[[#This Row],['# to Replace]])</f>
        <v>0</v>
      </c>
      <c r="N82" s="67">
        <f>ROUNDDOWN(IntComp[[#This Row],[Count]]/100,0)+$N$1</f>
        <v>2020</v>
      </c>
      <c r="O82" s="86">
        <f t="shared" ca="1" si="1"/>
        <v>36900350.644500017</v>
      </c>
      <c r="P82"/>
    </row>
    <row r="83" spans="1:16" x14ac:dyDescent="0.25">
      <c r="A83" s="13" t="s">
        <v>207</v>
      </c>
      <c r="B83" s="9" t="str">
        <f>VLOOKUP(A83,Data[],2,FALSE)</f>
        <v>BROOKLYN</v>
      </c>
      <c r="C83" s="9" t="s">
        <v>106</v>
      </c>
      <c r="D83" s="9">
        <f>VLOOKUP(IntComp[[#This Row],[DEVELOPMENT]],Data[],31,FALSE)</f>
        <v>29</v>
      </c>
      <c r="E83" s="66">
        <f>VLOOKUP(IntComp[[#This Row],[DEVELOPMENT]],Data[],8,FALSE)</f>
        <v>0</v>
      </c>
      <c r="F83" s="66">
        <f>VLOOKUP(IntComp[[#This Row],[DEVELOPMENT]],Data[],9,FALSE)</f>
        <v>0</v>
      </c>
      <c r="G83" s="66"/>
      <c r="H83" s="66">
        <f>IFERROR(VLOOKUP(IntComp[[#This Row],[DEVELOPMENT]],Data[],4,FALSE),"")</f>
        <v>2023</v>
      </c>
      <c r="I83" s="66" t="str">
        <f>IF(IntComp[[#This Row],[RAD/PACT]]="","",IF(IntComp[[#This Row],[RAD/PACT]]&lt;=2025,"Yes",""))</f>
        <v>Yes</v>
      </c>
      <c r="J83" s="67" t="str">
        <f ca="1">IF(VLOOKUP(IntComp[[#This Row],[DEVELOPMENT]],Data[],10,FALSE)=0,"",DATEDIF(VLOOKUP(IntComp[[#This Row],[DEVELOPMENT]],Data[],12,FALSE),TODAY(),"Y"))</f>
        <v/>
      </c>
      <c r="K83" s="67">
        <f>IF(IntComp[[#This Row],[RAD/PACT]]="",VLOOKUP(IntComp[[#This Row],[DEVELOPMENT]],Data[],10,FALSE),IF(IntComp[[#This Row],[RAD/PACT by 2025]]="yes",0,VLOOKUP(IntComp[[#This Row],[DEVELOPMENT]],Data[],10,FALSE)))</f>
        <v>0</v>
      </c>
      <c r="L83" s="63">
        <f ca="1">IF(IntComp[[#This Row],[RAD/PACT by 2025]]="Yes",0,(IntComp[[#This Row],['# Int. Compactors to Replace]]*'Unit Costs'!$B$8)*(1+((IntComp[[#This Row],[est. Year]]-YEAR(TODAY()))*$L$2)))</f>
        <v>0</v>
      </c>
      <c r="M83" s="67">
        <f>SUM(INDEX(IntComp['# to Replace],1):IntComp[[#This Row],['# to Replace]])</f>
        <v>0</v>
      </c>
      <c r="N83" s="67">
        <f>ROUNDDOWN(IntComp[[#This Row],[Count]]/100,0)+$N$1</f>
        <v>2020</v>
      </c>
      <c r="O83" s="86">
        <f t="shared" ca="1" si="1"/>
        <v>36900350.644500017</v>
      </c>
      <c r="P83"/>
    </row>
    <row r="84" spans="1:16" x14ac:dyDescent="0.25">
      <c r="A84" s="13" t="s">
        <v>105</v>
      </c>
      <c r="B84" s="1" t="str">
        <f>VLOOKUP(A84,Data[],2,FALSE)</f>
        <v>BRONX</v>
      </c>
      <c r="C84" s="9" t="s">
        <v>106</v>
      </c>
      <c r="D84" s="9">
        <f>VLOOKUP(IntComp[[#This Row],[DEVELOPMENT]],Data[],31,FALSE)</f>
        <v>1</v>
      </c>
      <c r="E84" s="9" t="str">
        <f>VLOOKUP(IntComp[[#This Row],[DEVELOPMENT]],Data[],8,FALSE)</f>
        <v>Zone 3</v>
      </c>
      <c r="F84" s="9" t="str">
        <f>VLOOKUP(IntComp[[#This Row],[DEVELOPMENT]],Data[],9,FALSE)</f>
        <v>$</v>
      </c>
      <c r="G84" s="9"/>
      <c r="H84" s="9">
        <f>IFERROR(VLOOKUP(IntComp[[#This Row],[DEVELOPMENT]],Data[],4,FALSE),"")</f>
        <v>2026</v>
      </c>
      <c r="I84" s="9" t="str">
        <f>IF(IntComp[[#This Row],[RAD/PACT]]="","",IF(IntComp[[#This Row],[RAD/PACT]]&lt;=2025,"Yes",""))</f>
        <v/>
      </c>
      <c r="J84" s="1" t="str">
        <f ca="1">IF(VLOOKUP(IntComp[[#This Row],[DEVELOPMENT]],Data[],10,FALSE)=0,"",DATEDIF(VLOOKUP(IntComp[[#This Row],[DEVELOPMENT]],Data[],12,FALSE),TODAY(),"Y"))</f>
        <v/>
      </c>
      <c r="K84" s="1">
        <f>IF(IntComp[[#This Row],[RAD/PACT]]="",VLOOKUP(IntComp[[#This Row],[DEVELOPMENT]],Data[],10,FALSE),IF(IntComp[[#This Row],[RAD/PACT by 2025]]="yes",0,VLOOKUP(IntComp[[#This Row],[DEVELOPMENT]],Data[],10,FALSE)))</f>
        <v>0</v>
      </c>
      <c r="L84" s="63">
        <f ca="1">IF(IntComp[[#This Row],[RAD/PACT by 2025]]="Yes",0,(IntComp[[#This Row],['# Int. Compactors to Replace]]*'Unit Costs'!$B$8)*(1+((IntComp[[#This Row],[est. Year]]-YEAR(TODAY()))*$L$2)))</f>
        <v>73653.394499999995</v>
      </c>
      <c r="M84" s="1">
        <f>SUM(INDEX(IntComp['# to Replace],1):IntComp[[#This Row],['# to Replace]])</f>
        <v>0</v>
      </c>
      <c r="N84" s="1">
        <f>ROUNDDOWN(IntComp[[#This Row],[Count]]/100,0)+$N$1</f>
        <v>2020</v>
      </c>
      <c r="O84" s="81">
        <f t="shared" ca="1" si="1"/>
        <v>36974004.039000019</v>
      </c>
      <c r="P84"/>
    </row>
    <row r="85" spans="1:16" x14ac:dyDescent="0.25">
      <c r="A85" s="13" t="s">
        <v>208</v>
      </c>
      <c r="B85" s="9" t="str">
        <f>VLOOKUP(A85,Data[],2,FALSE)</f>
        <v>MANHATTAN</v>
      </c>
      <c r="C85" s="9" t="s">
        <v>106</v>
      </c>
      <c r="D85" s="9">
        <f>VLOOKUP(IntComp[[#This Row],[DEVELOPMENT]],Data[],31,FALSE)</f>
        <v>2</v>
      </c>
      <c r="E85" s="66">
        <f>VLOOKUP(IntComp[[#This Row],[DEVELOPMENT]],Data[],8,FALSE)</f>
        <v>0</v>
      </c>
      <c r="F85" s="66">
        <f>VLOOKUP(IntComp[[#This Row],[DEVELOPMENT]],Data[],9,FALSE)</f>
        <v>0</v>
      </c>
      <c r="G85" s="66"/>
      <c r="H85" s="66" t="str">
        <f>IFERROR(VLOOKUP(IntComp[[#This Row],[DEVELOPMENT]],Data[],4,FALSE),"")</f>
        <v/>
      </c>
      <c r="I85" s="66" t="str">
        <f>IF(IntComp[[#This Row],[RAD/PACT]]="","",IF(IntComp[[#This Row],[RAD/PACT]]&lt;=2025,"Yes",""))</f>
        <v/>
      </c>
      <c r="J85" s="67" t="str">
        <f ca="1">IF(VLOOKUP(IntComp[[#This Row],[DEVELOPMENT]],Data[],10,FALSE)=0,"",DATEDIF(VLOOKUP(IntComp[[#This Row],[DEVELOPMENT]],Data[],12,FALSE),TODAY(),"Y"))</f>
        <v/>
      </c>
      <c r="K85" s="67">
        <f>IF(IntComp[[#This Row],[RAD/PACT]]="",VLOOKUP(IntComp[[#This Row],[DEVELOPMENT]],Data[],10,FALSE),IF(IntComp[[#This Row],[RAD/PACT by 2025]]="yes",0,VLOOKUP(IntComp[[#This Row],[DEVELOPMENT]],Data[],10,FALSE)))</f>
        <v>0</v>
      </c>
      <c r="L85" s="63">
        <f ca="1">IF(IntComp[[#This Row],[RAD/PACT by 2025]]="Yes",0,(IntComp[[#This Row],['# Int. Compactors to Replace]]*'Unit Costs'!$B$8)*(1+((IntComp[[#This Row],[est. Year]]-YEAR(TODAY()))*$L$2)))</f>
        <v>147306.78899999999</v>
      </c>
      <c r="M85" s="67">
        <f>SUM(INDEX(IntComp['# to Replace],1):IntComp[[#This Row],['# to Replace]])</f>
        <v>0</v>
      </c>
      <c r="N85" s="67">
        <f>ROUNDDOWN(IntComp[[#This Row],[Count]]/100,0)+$N$1</f>
        <v>2020</v>
      </c>
      <c r="O85" s="86">
        <f t="shared" ca="1" si="1"/>
        <v>37121310.828000017</v>
      </c>
      <c r="P85"/>
    </row>
    <row r="86" spans="1:16" x14ac:dyDescent="0.25">
      <c r="A86" s="13" t="s">
        <v>385</v>
      </c>
      <c r="B86" s="9" t="str">
        <f>VLOOKUP(A86,Data[],2,FALSE)</f>
        <v>MANHATTAN</v>
      </c>
      <c r="C86" s="9" t="s">
        <v>106</v>
      </c>
      <c r="D86" s="9">
        <f>VLOOKUP(IntComp[[#This Row],[DEVELOPMENT]],Data[],31,FALSE)</f>
        <v>0</v>
      </c>
      <c r="E86" s="66">
        <f>VLOOKUP(IntComp[[#This Row],[DEVELOPMENT]],Data[],8,FALSE)</f>
        <v>0</v>
      </c>
      <c r="F86" s="66">
        <f>VLOOKUP(IntComp[[#This Row],[DEVELOPMENT]],Data[],9,FALSE)</f>
        <v>0</v>
      </c>
      <c r="G86" s="66"/>
      <c r="H86" s="66" t="str">
        <f>IFERROR(VLOOKUP(IntComp[[#This Row],[DEVELOPMENT]],Data[],4,FALSE),"")</f>
        <v/>
      </c>
      <c r="I86" s="66" t="str">
        <f>IF(IntComp[[#This Row],[RAD/PACT]]="","",IF(IntComp[[#This Row],[RAD/PACT]]&lt;=2025,"Yes",""))</f>
        <v/>
      </c>
      <c r="J86" s="67" t="str">
        <f ca="1">IF(VLOOKUP(IntComp[[#This Row],[DEVELOPMENT]],Data[],10,FALSE)=0,"",DATEDIF(VLOOKUP(IntComp[[#This Row],[DEVELOPMENT]],Data[],12,FALSE),TODAY(),"Y"))</f>
        <v/>
      </c>
      <c r="K86" s="67">
        <f>IF(IntComp[[#This Row],[RAD/PACT]]="",VLOOKUP(IntComp[[#This Row],[DEVELOPMENT]],Data[],10,FALSE),IF(IntComp[[#This Row],[RAD/PACT by 2025]]="yes",0,VLOOKUP(IntComp[[#This Row],[DEVELOPMENT]],Data[],10,FALSE)))</f>
        <v>0</v>
      </c>
      <c r="L86" s="63">
        <f ca="1">IF(IntComp[[#This Row],[RAD/PACT by 2025]]="Yes",0,(IntComp[[#This Row],['# Int. Compactors to Replace]]*'Unit Costs'!$B$8)*(1+((IntComp[[#This Row],[est. Year]]-YEAR(TODAY()))*$L$2)))</f>
        <v>0</v>
      </c>
      <c r="M86" s="67">
        <f>SUM(INDEX(IntComp['# to Replace],1):IntComp[[#This Row],['# to Replace]])</f>
        <v>0</v>
      </c>
      <c r="N86" s="67">
        <f>ROUNDDOWN(IntComp[[#This Row],[Count]]/100,0)+$N$1</f>
        <v>2020</v>
      </c>
      <c r="O86" s="86">
        <f t="shared" ca="1" si="1"/>
        <v>37121310.828000017</v>
      </c>
      <c r="P86"/>
    </row>
    <row r="87" spans="1:16" x14ac:dyDescent="0.25">
      <c r="A87" s="13" t="s">
        <v>130</v>
      </c>
      <c r="B87" s="1" t="str">
        <f>VLOOKUP(A87,Data[],2,FALSE)</f>
        <v>MANHATTAN</v>
      </c>
      <c r="C87" s="9" t="s">
        <v>106</v>
      </c>
      <c r="D87" s="9">
        <f>VLOOKUP(IntComp[[#This Row],[DEVELOPMENT]],Data[],31,FALSE)</f>
        <v>11</v>
      </c>
      <c r="E87" s="9" t="str">
        <f>VLOOKUP(IntComp[[#This Row],[DEVELOPMENT]],Data[],8,FALSE)</f>
        <v>Zone 3</v>
      </c>
      <c r="F87" s="9" t="str">
        <f>VLOOKUP(IntComp[[#This Row],[DEVELOPMENT]],Data[],9,FALSE)</f>
        <v>$$$</v>
      </c>
      <c r="G87" s="9"/>
      <c r="H87" s="9" t="str">
        <f>IFERROR(VLOOKUP(IntComp[[#This Row],[DEVELOPMENT]],Data[],4,FALSE),"")</f>
        <v/>
      </c>
      <c r="I87" s="9" t="str">
        <f>IF(IntComp[[#This Row],[RAD/PACT]]="","",IF(IntComp[[#This Row],[RAD/PACT]]&lt;=2025,"Yes",""))</f>
        <v/>
      </c>
      <c r="J87" s="1" t="str">
        <f ca="1">IF(VLOOKUP(IntComp[[#This Row],[DEVELOPMENT]],Data[],10,FALSE)=0,"",DATEDIF(VLOOKUP(IntComp[[#This Row],[DEVELOPMENT]],Data[],12,FALSE),TODAY(),"Y"))</f>
        <v/>
      </c>
      <c r="K87" s="1">
        <f>IF(IntComp[[#This Row],[RAD/PACT]]="",VLOOKUP(IntComp[[#This Row],[DEVELOPMENT]],Data[],10,FALSE),IF(IntComp[[#This Row],[RAD/PACT by 2025]]="yes",0,VLOOKUP(IntComp[[#This Row],[DEVELOPMENT]],Data[],10,FALSE)))</f>
        <v>0</v>
      </c>
      <c r="L87" s="63">
        <f ca="1">IF(IntComp[[#This Row],[RAD/PACT by 2025]]="Yes",0,(IntComp[[#This Row],['# Int. Compactors to Replace]]*'Unit Costs'!$B$8)*(1+((IntComp[[#This Row],[est. Year]]-YEAR(TODAY()))*$L$2)))</f>
        <v>810187.33949999989</v>
      </c>
      <c r="M87" s="1">
        <f>SUM(INDEX(IntComp['# to Replace],1):IntComp[[#This Row],['# to Replace]])</f>
        <v>0</v>
      </c>
      <c r="N87" s="1">
        <f>ROUNDDOWN(IntComp[[#This Row],[Count]]/100,0)+$N$1</f>
        <v>2020</v>
      </c>
      <c r="O87" s="81">
        <f t="shared" ca="1" si="1"/>
        <v>37931498.167500019</v>
      </c>
      <c r="P87"/>
    </row>
    <row r="88" spans="1:16" x14ac:dyDescent="0.25">
      <c r="A88" s="13" t="s">
        <v>76</v>
      </c>
      <c r="B88" s="1" t="str">
        <f>VLOOKUP(A88,Data[],2,FALSE)</f>
        <v>MANHATTAN</v>
      </c>
      <c r="C88" s="9" t="s">
        <v>106</v>
      </c>
      <c r="D88" s="9">
        <f>VLOOKUP(IntComp[[#This Row],[DEVELOPMENT]],Data[],31,FALSE)</f>
        <v>6</v>
      </c>
      <c r="E88" s="9" t="str">
        <f>VLOOKUP(IntComp[[#This Row],[DEVELOPMENT]],Data[],8,FALSE)</f>
        <v>Zone 3</v>
      </c>
      <c r="F88" s="9" t="str">
        <f>VLOOKUP(IntComp[[#This Row],[DEVELOPMENT]],Data[],9,FALSE)</f>
        <v>$$$</v>
      </c>
      <c r="G88" s="9"/>
      <c r="H88" s="9" t="str">
        <f>IFERROR(VLOOKUP(IntComp[[#This Row],[DEVELOPMENT]],Data[],4,FALSE),"")</f>
        <v/>
      </c>
      <c r="I88" s="9" t="str">
        <f>IF(IntComp[[#This Row],[RAD/PACT]]="","",IF(IntComp[[#This Row],[RAD/PACT]]&lt;=2025,"Yes",""))</f>
        <v/>
      </c>
      <c r="J88" s="1" t="str">
        <f ca="1">IF(VLOOKUP(IntComp[[#This Row],[DEVELOPMENT]],Data[],10,FALSE)=0,"",DATEDIF(VLOOKUP(IntComp[[#This Row],[DEVELOPMENT]],Data[],12,FALSE),TODAY(),"Y"))</f>
        <v/>
      </c>
      <c r="K88" s="1">
        <f>IF(IntComp[[#This Row],[RAD/PACT]]="",VLOOKUP(IntComp[[#This Row],[DEVELOPMENT]],Data[],10,FALSE),IF(IntComp[[#This Row],[RAD/PACT by 2025]]="yes",0,VLOOKUP(IntComp[[#This Row],[DEVELOPMENT]],Data[],10,FALSE)))</f>
        <v>0</v>
      </c>
      <c r="L88" s="63">
        <f ca="1">IF(IntComp[[#This Row],[RAD/PACT by 2025]]="Yes",0,(IntComp[[#This Row],['# Int. Compactors to Replace]]*'Unit Costs'!$B$8)*(1+((IntComp[[#This Row],[est. Year]]-YEAR(TODAY()))*$L$2)))</f>
        <v>441920.36699999991</v>
      </c>
      <c r="M88" s="1">
        <f>SUM(INDEX(IntComp['# to Replace],1):IntComp[[#This Row],['# to Replace]])</f>
        <v>0</v>
      </c>
      <c r="N88" s="1">
        <f>ROUNDDOWN(IntComp[[#This Row],[Count]]/100,0)+$N$1</f>
        <v>2020</v>
      </c>
      <c r="O88" s="81">
        <f t="shared" ca="1" si="1"/>
        <v>38373418.534500018</v>
      </c>
      <c r="P88"/>
    </row>
    <row r="89" spans="1:16" x14ac:dyDescent="0.25">
      <c r="A89" s="13" t="s">
        <v>77</v>
      </c>
      <c r="B89" s="1" t="str">
        <f>VLOOKUP(A89,Data[],2,FALSE)</f>
        <v>MANHATTAN</v>
      </c>
      <c r="C89" s="9" t="s">
        <v>106</v>
      </c>
      <c r="D89" s="9">
        <f>VLOOKUP(IntComp[[#This Row],[DEVELOPMENT]],Data[],31,FALSE)</f>
        <v>5</v>
      </c>
      <c r="E89" s="9" t="str">
        <f>VLOOKUP(IntComp[[#This Row],[DEVELOPMENT]],Data[],8,FALSE)</f>
        <v>Zone 2</v>
      </c>
      <c r="F89" s="9" t="str">
        <f>VLOOKUP(IntComp[[#This Row],[DEVELOPMENT]],Data[],9,FALSE)</f>
        <v>$</v>
      </c>
      <c r="G89" s="9"/>
      <c r="H89" s="9" t="str">
        <f>IFERROR(VLOOKUP(IntComp[[#This Row],[DEVELOPMENT]],Data[],4,FALSE),"")</f>
        <v/>
      </c>
      <c r="I89" s="9" t="str">
        <f>IF(IntComp[[#This Row],[RAD/PACT]]="","",IF(IntComp[[#This Row],[RAD/PACT]]&lt;=2025,"Yes",""))</f>
        <v/>
      </c>
      <c r="J89" s="1" t="str">
        <f ca="1">IF(VLOOKUP(IntComp[[#This Row],[DEVELOPMENT]],Data[],10,FALSE)=0,"",DATEDIF(VLOOKUP(IntComp[[#This Row],[DEVELOPMENT]],Data[],12,FALSE),TODAY(),"Y"))</f>
        <v/>
      </c>
      <c r="K89" s="1">
        <f>IF(IntComp[[#This Row],[RAD/PACT]]="",VLOOKUP(IntComp[[#This Row],[DEVELOPMENT]],Data[],10,FALSE),IF(IntComp[[#This Row],[RAD/PACT by 2025]]="yes",0,VLOOKUP(IntComp[[#This Row],[DEVELOPMENT]],Data[],10,FALSE)))</f>
        <v>0</v>
      </c>
      <c r="L89" s="63">
        <f ca="1">IF(IntComp[[#This Row],[RAD/PACT by 2025]]="Yes",0,(IntComp[[#This Row],['# Int. Compactors to Replace]]*'Unit Costs'!$B$8)*(1+((IntComp[[#This Row],[est. Year]]-YEAR(TODAY()))*$L$2)))</f>
        <v>368266.97249999997</v>
      </c>
      <c r="M89" s="1">
        <f>SUM(INDEX(IntComp['# to Replace],1):IntComp[[#This Row],['# to Replace]])</f>
        <v>0</v>
      </c>
      <c r="N89" s="1">
        <f>ROUNDDOWN(IntComp[[#This Row],[Count]]/100,0)+$N$1</f>
        <v>2020</v>
      </c>
      <c r="O89" s="81">
        <f t="shared" ca="1" si="1"/>
        <v>38741685.507000014</v>
      </c>
      <c r="P89"/>
    </row>
    <row r="90" spans="1:16" x14ac:dyDescent="0.25">
      <c r="A90" s="13" t="s">
        <v>209</v>
      </c>
      <c r="B90" s="9" t="str">
        <f>VLOOKUP(A90,Data[],2,FALSE)</f>
        <v>MANHATTAN</v>
      </c>
      <c r="C90" s="9" t="s">
        <v>106</v>
      </c>
      <c r="D90" s="9">
        <f>VLOOKUP(IntComp[[#This Row],[DEVELOPMENT]],Data[],31,FALSE)</f>
        <v>14</v>
      </c>
      <c r="E90" s="66">
        <f>VLOOKUP(IntComp[[#This Row],[DEVELOPMENT]],Data[],8,FALSE)</f>
        <v>0</v>
      </c>
      <c r="F90" s="66">
        <f>VLOOKUP(IntComp[[#This Row],[DEVELOPMENT]],Data[],9,FALSE)</f>
        <v>0</v>
      </c>
      <c r="G90" s="66"/>
      <c r="H90" s="66" t="str">
        <f>IFERROR(VLOOKUP(IntComp[[#This Row],[DEVELOPMENT]],Data[],4,FALSE),"")</f>
        <v/>
      </c>
      <c r="I90" s="66" t="str">
        <f>IF(IntComp[[#This Row],[RAD/PACT]]="","",IF(IntComp[[#This Row],[RAD/PACT]]&lt;=2025,"Yes",""))</f>
        <v/>
      </c>
      <c r="J90" s="67" t="str">
        <f ca="1">IF(VLOOKUP(IntComp[[#This Row],[DEVELOPMENT]],Data[],10,FALSE)=0,"",DATEDIF(VLOOKUP(IntComp[[#This Row],[DEVELOPMENT]],Data[],12,FALSE),TODAY(),"Y"))</f>
        <v/>
      </c>
      <c r="K90" s="67">
        <f>IF(IntComp[[#This Row],[RAD/PACT]]="",VLOOKUP(IntComp[[#This Row],[DEVELOPMENT]],Data[],10,FALSE),IF(IntComp[[#This Row],[RAD/PACT by 2025]]="yes",0,VLOOKUP(IntComp[[#This Row],[DEVELOPMENT]],Data[],10,FALSE)))</f>
        <v>0</v>
      </c>
      <c r="L90" s="63">
        <f ca="1">IF(IntComp[[#This Row],[RAD/PACT by 2025]]="Yes",0,(IntComp[[#This Row],['# Int. Compactors to Replace]]*'Unit Costs'!$B$8)*(1+((IntComp[[#This Row],[est. Year]]-YEAR(TODAY()))*$L$2)))</f>
        <v>1031147.5229999998</v>
      </c>
      <c r="M90" s="67">
        <f>SUM(INDEX(IntComp['# to Replace],1):IntComp[[#This Row],['# to Replace]])</f>
        <v>0</v>
      </c>
      <c r="N90" s="67">
        <f>ROUNDDOWN(IntComp[[#This Row],[Count]]/100,0)+$N$1</f>
        <v>2020</v>
      </c>
      <c r="O90" s="86">
        <f t="shared" ca="1" si="1"/>
        <v>39772833.030000016</v>
      </c>
      <c r="P90"/>
    </row>
    <row r="91" spans="1:16" x14ac:dyDescent="0.25">
      <c r="A91" s="13" t="s">
        <v>210</v>
      </c>
      <c r="B91" s="9" t="str">
        <f>VLOOKUP(A91,Data[],2,FALSE)</f>
        <v>BRONX</v>
      </c>
      <c r="C91" s="9" t="s">
        <v>106</v>
      </c>
      <c r="D91" s="9">
        <f>VLOOKUP(IntComp[[#This Row],[DEVELOPMENT]],Data[],31,FALSE)</f>
        <v>1</v>
      </c>
      <c r="E91" s="66">
        <f>VLOOKUP(IntComp[[#This Row],[DEVELOPMENT]],Data[],8,FALSE)</f>
        <v>0</v>
      </c>
      <c r="F91" s="66">
        <f>VLOOKUP(IntComp[[#This Row],[DEVELOPMENT]],Data[],9,FALSE)</f>
        <v>0</v>
      </c>
      <c r="G91" s="66"/>
      <c r="H91" s="66" t="str">
        <f>IFERROR(VLOOKUP(IntComp[[#This Row],[DEVELOPMENT]],Data[],4,FALSE),"")</f>
        <v/>
      </c>
      <c r="I91" s="66" t="str">
        <f>IF(IntComp[[#This Row],[RAD/PACT]]="","",IF(IntComp[[#This Row],[RAD/PACT]]&lt;=2025,"Yes",""))</f>
        <v/>
      </c>
      <c r="J91" s="67" t="str">
        <f ca="1">IF(VLOOKUP(IntComp[[#This Row],[DEVELOPMENT]],Data[],10,FALSE)=0,"",DATEDIF(VLOOKUP(IntComp[[#This Row],[DEVELOPMENT]],Data[],12,FALSE),TODAY(),"Y"))</f>
        <v/>
      </c>
      <c r="K91" s="67">
        <f>IF(IntComp[[#This Row],[RAD/PACT]]="",VLOOKUP(IntComp[[#This Row],[DEVELOPMENT]],Data[],10,FALSE),IF(IntComp[[#This Row],[RAD/PACT by 2025]]="yes",0,VLOOKUP(IntComp[[#This Row],[DEVELOPMENT]],Data[],10,FALSE)))</f>
        <v>0</v>
      </c>
      <c r="L91" s="63">
        <f ca="1">IF(IntComp[[#This Row],[RAD/PACT by 2025]]="Yes",0,(IntComp[[#This Row],['# Int. Compactors to Replace]]*'Unit Costs'!$B$8)*(1+((IntComp[[#This Row],[est. Year]]-YEAR(TODAY()))*$L$2)))</f>
        <v>73653.394499999995</v>
      </c>
      <c r="M91" s="67">
        <f>SUM(INDEX(IntComp['# to Replace],1):IntComp[[#This Row],['# to Replace]])</f>
        <v>0</v>
      </c>
      <c r="N91" s="67">
        <f>ROUNDDOWN(IntComp[[#This Row],[Count]]/100,0)+$N$1</f>
        <v>2020</v>
      </c>
      <c r="O91" s="86">
        <f t="shared" ca="1" si="1"/>
        <v>39846486.424500018</v>
      </c>
      <c r="P91"/>
    </row>
    <row r="92" spans="1:16" x14ac:dyDescent="0.25">
      <c r="A92" s="13" t="s">
        <v>211</v>
      </c>
      <c r="B92" s="9" t="str">
        <f>VLOOKUP(A92,Data[],2,FALSE)</f>
        <v>BRONX</v>
      </c>
      <c r="C92" s="9" t="s">
        <v>106</v>
      </c>
      <c r="D92" s="9">
        <f>VLOOKUP(IntComp[[#This Row],[DEVELOPMENT]],Data[],31,FALSE)</f>
        <v>2</v>
      </c>
      <c r="E92" s="66">
        <f>VLOOKUP(IntComp[[#This Row],[DEVELOPMENT]],Data[],8,FALSE)</f>
        <v>0</v>
      </c>
      <c r="F92" s="66">
        <f>VLOOKUP(IntComp[[#This Row],[DEVELOPMENT]],Data[],9,FALSE)</f>
        <v>0</v>
      </c>
      <c r="G92" s="66"/>
      <c r="H92" s="66">
        <f>IFERROR(VLOOKUP(IntComp[[#This Row],[DEVELOPMENT]],Data[],4,FALSE),"")</f>
        <v>2023</v>
      </c>
      <c r="I92" s="66" t="str">
        <f>IF(IntComp[[#This Row],[RAD/PACT]]="","",IF(IntComp[[#This Row],[RAD/PACT]]&lt;=2025,"Yes",""))</f>
        <v>Yes</v>
      </c>
      <c r="J92" s="67" t="str">
        <f ca="1">IF(VLOOKUP(IntComp[[#This Row],[DEVELOPMENT]],Data[],10,FALSE)=0,"",DATEDIF(VLOOKUP(IntComp[[#This Row],[DEVELOPMENT]],Data[],12,FALSE),TODAY(),"Y"))</f>
        <v/>
      </c>
      <c r="K92" s="67">
        <f>IF(IntComp[[#This Row],[RAD/PACT]]="",VLOOKUP(IntComp[[#This Row],[DEVELOPMENT]],Data[],10,FALSE),IF(IntComp[[#This Row],[RAD/PACT by 2025]]="yes",0,VLOOKUP(IntComp[[#This Row],[DEVELOPMENT]],Data[],10,FALSE)))</f>
        <v>0</v>
      </c>
      <c r="L92" s="63">
        <f ca="1">IF(IntComp[[#This Row],[RAD/PACT by 2025]]="Yes",0,(IntComp[[#This Row],['# Int. Compactors to Replace]]*'Unit Costs'!$B$8)*(1+((IntComp[[#This Row],[est. Year]]-YEAR(TODAY()))*$L$2)))</f>
        <v>0</v>
      </c>
      <c r="M92" s="67">
        <f>SUM(INDEX(IntComp['# to Replace],1):IntComp[[#This Row],['# to Replace]])</f>
        <v>0</v>
      </c>
      <c r="N92" s="67">
        <f>ROUNDDOWN(IntComp[[#This Row],[Count]]/100,0)+$N$1</f>
        <v>2020</v>
      </c>
      <c r="O92" s="86">
        <f t="shared" ca="1" si="1"/>
        <v>39846486.424500018</v>
      </c>
      <c r="P92"/>
    </row>
    <row r="93" spans="1:16" x14ac:dyDescent="0.25">
      <c r="A93" s="13" t="s">
        <v>212</v>
      </c>
      <c r="B93" s="9" t="str">
        <f>VLOOKUP(A93,Data[],2,FALSE)</f>
        <v>BRONX</v>
      </c>
      <c r="C93" s="9" t="s">
        <v>106</v>
      </c>
      <c r="D93" s="9">
        <f>VLOOKUP(IntComp[[#This Row],[DEVELOPMENT]],Data[],31,FALSE)</f>
        <v>0</v>
      </c>
      <c r="E93" s="66" t="str">
        <f>VLOOKUP(IntComp[[#This Row],[DEVELOPMENT]],Data[],8,FALSE)</f>
        <v>Zone 4</v>
      </c>
      <c r="F93" s="66">
        <f>VLOOKUP(IntComp[[#This Row],[DEVELOPMENT]],Data[],9,FALSE)</f>
        <v>0</v>
      </c>
      <c r="G93" s="66"/>
      <c r="H93" s="66" t="str">
        <f>IFERROR(VLOOKUP(IntComp[[#This Row],[DEVELOPMENT]],Data[],4,FALSE),"")</f>
        <v/>
      </c>
      <c r="I93" s="66" t="str">
        <f>IF(IntComp[[#This Row],[RAD/PACT]]="","",IF(IntComp[[#This Row],[RAD/PACT]]&lt;=2025,"Yes",""))</f>
        <v/>
      </c>
      <c r="J93" s="67" t="str">
        <f ca="1">IF(VLOOKUP(IntComp[[#This Row],[DEVELOPMENT]],Data[],10,FALSE)=0,"",DATEDIF(VLOOKUP(IntComp[[#This Row],[DEVELOPMENT]],Data[],12,FALSE),TODAY(),"Y"))</f>
        <v/>
      </c>
      <c r="K93" s="67">
        <f>IF(IntComp[[#This Row],[RAD/PACT]]="",VLOOKUP(IntComp[[#This Row],[DEVELOPMENT]],Data[],10,FALSE),IF(IntComp[[#This Row],[RAD/PACT by 2025]]="yes",0,VLOOKUP(IntComp[[#This Row],[DEVELOPMENT]],Data[],10,FALSE)))</f>
        <v>0</v>
      </c>
      <c r="L93" s="63">
        <f ca="1">IF(IntComp[[#This Row],[RAD/PACT by 2025]]="Yes",0,(IntComp[[#This Row],['# Int. Compactors to Replace]]*'Unit Costs'!$B$8)*(1+((IntComp[[#This Row],[est. Year]]-YEAR(TODAY()))*$L$2)))</f>
        <v>0</v>
      </c>
      <c r="M93" s="67">
        <f>SUM(INDEX(IntComp['# to Replace],1):IntComp[[#This Row],['# to Replace]])</f>
        <v>0</v>
      </c>
      <c r="N93" s="67">
        <f>ROUNDDOWN(IntComp[[#This Row],[Count]]/100,0)+$N$1</f>
        <v>2020</v>
      </c>
      <c r="O93" s="86">
        <f t="shared" ca="1" si="1"/>
        <v>39846486.424500018</v>
      </c>
      <c r="P93"/>
    </row>
    <row r="94" spans="1:16" x14ac:dyDescent="0.25">
      <c r="A94" s="13" t="s">
        <v>213</v>
      </c>
      <c r="B94" s="9" t="str">
        <f>VLOOKUP(A94,Data[],2,FALSE)</f>
        <v>BRONX</v>
      </c>
      <c r="C94" s="9" t="s">
        <v>106</v>
      </c>
      <c r="D94" s="9">
        <f>VLOOKUP(IntComp[[#This Row],[DEVELOPMENT]],Data[],31,FALSE)</f>
        <v>0</v>
      </c>
      <c r="E94" s="66" t="str">
        <f>VLOOKUP(IntComp[[#This Row],[DEVELOPMENT]],Data[],8,FALSE)</f>
        <v>Zone 4</v>
      </c>
      <c r="F94" s="66">
        <f>VLOOKUP(IntComp[[#This Row],[DEVELOPMENT]],Data[],9,FALSE)</f>
        <v>0</v>
      </c>
      <c r="G94" s="66"/>
      <c r="H94" s="66" t="str">
        <f>IFERROR(VLOOKUP(IntComp[[#This Row],[DEVELOPMENT]],Data[],4,FALSE),"")</f>
        <v/>
      </c>
      <c r="I94" s="66" t="str">
        <f>IF(IntComp[[#This Row],[RAD/PACT]]="","",IF(IntComp[[#This Row],[RAD/PACT]]&lt;=2025,"Yes",""))</f>
        <v/>
      </c>
      <c r="J94" s="67" t="str">
        <f ca="1">IF(VLOOKUP(IntComp[[#This Row],[DEVELOPMENT]],Data[],10,FALSE)=0,"",DATEDIF(VLOOKUP(IntComp[[#This Row],[DEVELOPMENT]],Data[],12,FALSE),TODAY(),"Y"))</f>
        <v/>
      </c>
      <c r="K94" s="67">
        <f>IF(IntComp[[#This Row],[RAD/PACT]]="",VLOOKUP(IntComp[[#This Row],[DEVELOPMENT]],Data[],10,FALSE),IF(IntComp[[#This Row],[RAD/PACT by 2025]]="yes",0,VLOOKUP(IntComp[[#This Row],[DEVELOPMENT]],Data[],10,FALSE)))</f>
        <v>0</v>
      </c>
      <c r="L94" s="63">
        <f ca="1">IF(IntComp[[#This Row],[RAD/PACT by 2025]]="Yes",0,(IntComp[[#This Row],['# Int. Compactors to Replace]]*'Unit Costs'!$B$8)*(1+((IntComp[[#This Row],[est. Year]]-YEAR(TODAY()))*$L$2)))</f>
        <v>0</v>
      </c>
      <c r="M94" s="67">
        <f>SUM(INDEX(IntComp['# to Replace],1):IntComp[[#This Row],['# to Replace]])</f>
        <v>0</v>
      </c>
      <c r="N94" s="67">
        <f>ROUNDDOWN(IntComp[[#This Row],[Count]]/100,0)+$N$1</f>
        <v>2020</v>
      </c>
      <c r="O94" s="86">
        <f t="shared" ca="1" si="1"/>
        <v>39846486.424500018</v>
      </c>
      <c r="P94"/>
    </row>
    <row r="95" spans="1:16" x14ac:dyDescent="0.25">
      <c r="A95" s="82" t="s">
        <v>121</v>
      </c>
      <c r="B95" s="1" t="str">
        <f>VLOOKUP(A95,Data[],2,FALSE)</f>
        <v>BRONX</v>
      </c>
      <c r="C95" s="9" t="s">
        <v>106</v>
      </c>
      <c r="D95" s="9">
        <f>VLOOKUP(IntComp[[#This Row],[DEVELOPMENT]],Data[],31,FALSE)</f>
        <v>2</v>
      </c>
      <c r="E95" s="9" t="str">
        <f>VLOOKUP(IntComp[[#This Row],[DEVELOPMENT]],Data[],8,FALSE)</f>
        <v>Zone 1</v>
      </c>
      <c r="F95" s="9" t="str">
        <f>VLOOKUP(IntComp[[#This Row],[DEVELOPMENT]],Data[],9,FALSE)</f>
        <v>$$</v>
      </c>
      <c r="G95" s="9"/>
      <c r="H95" s="9" t="str">
        <f>IFERROR(VLOOKUP(IntComp[[#This Row],[DEVELOPMENT]],Data[],4,FALSE),"")</f>
        <v/>
      </c>
      <c r="I95" s="9" t="str">
        <f>IF(IntComp[[#This Row],[RAD/PACT]]="","",IF(IntComp[[#This Row],[RAD/PACT]]&lt;=2025,"Yes",""))</f>
        <v/>
      </c>
      <c r="J95" s="1" t="str">
        <f ca="1">IF(VLOOKUP(IntComp[[#This Row],[DEVELOPMENT]],Data[],10,FALSE)=0,"",DATEDIF(VLOOKUP(IntComp[[#This Row],[DEVELOPMENT]],Data[],12,FALSE),TODAY(),"Y"))</f>
        <v/>
      </c>
      <c r="K95" s="1">
        <f>IF(IntComp[[#This Row],[RAD/PACT]]="",VLOOKUP(IntComp[[#This Row],[DEVELOPMENT]],Data[],10,FALSE),IF(IntComp[[#This Row],[RAD/PACT by 2025]]="yes",0,VLOOKUP(IntComp[[#This Row],[DEVELOPMENT]],Data[],10,FALSE)))</f>
        <v>0</v>
      </c>
      <c r="L95" s="63">
        <f ca="1">IF(IntComp[[#This Row],[RAD/PACT by 2025]]="Yes",0,(IntComp[[#This Row],['# Int. Compactors to Replace]]*'Unit Costs'!$B$8)*(1+((IntComp[[#This Row],[est. Year]]-YEAR(TODAY()))*$L$2)))</f>
        <v>147306.78899999999</v>
      </c>
      <c r="M95" s="1">
        <f>SUM(INDEX(IntComp['# to Replace],1):IntComp[[#This Row],['# to Replace]])</f>
        <v>0</v>
      </c>
      <c r="N95" s="1">
        <f>ROUNDDOWN(IntComp[[#This Row],[Count]]/100,0)+$N$1</f>
        <v>2020</v>
      </c>
      <c r="O95" s="81">
        <f t="shared" ca="1" si="1"/>
        <v>39993793.213500015</v>
      </c>
      <c r="P95"/>
    </row>
    <row r="96" spans="1:16" x14ac:dyDescent="0.25">
      <c r="A96" s="13" t="s">
        <v>214</v>
      </c>
      <c r="B96" s="9" t="str">
        <f>VLOOKUP(A96,Data[],2,FALSE)</f>
        <v>BROOKLYN</v>
      </c>
      <c r="C96" s="9" t="s">
        <v>106</v>
      </c>
      <c r="D96" s="9">
        <f>VLOOKUP(IntComp[[#This Row],[DEVELOPMENT]],Data[],31,FALSE)</f>
        <v>0</v>
      </c>
      <c r="E96" s="66">
        <f>VLOOKUP(IntComp[[#This Row],[DEVELOPMENT]],Data[],8,FALSE)</f>
        <v>0</v>
      </c>
      <c r="F96" s="66">
        <f>VLOOKUP(IntComp[[#This Row],[DEVELOPMENT]],Data[],9,FALSE)</f>
        <v>0</v>
      </c>
      <c r="G96" s="66"/>
      <c r="H96" s="66">
        <f>IFERROR(VLOOKUP(IntComp[[#This Row],[DEVELOPMENT]],Data[],4,FALSE),"")</f>
        <v>2023</v>
      </c>
      <c r="I96" s="66" t="str">
        <f>IF(IntComp[[#This Row],[RAD/PACT]]="","",IF(IntComp[[#This Row],[RAD/PACT]]&lt;=2025,"Yes",""))</f>
        <v>Yes</v>
      </c>
      <c r="J96" s="67" t="str">
        <f ca="1">IF(VLOOKUP(IntComp[[#This Row],[DEVELOPMENT]],Data[],10,FALSE)=0,"",DATEDIF(VLOOKUP(IntComp[[#This Row],[DEVELOPMENT]],Data[],12,FALSE),TODAY(),"Y"))</f>
        <v/>
      </c>
      <c r="K96" s="67">
        <f>IF(IntComp[[#This Row],[RAD/PACT]]="",VLOOKUP(IntComp[[#This Row],[DEVELOPMENT]],Data[],10,FALSE),IF(IntComp[[#This Row],[RAD/PACT by 2025]]="yes",0,VLOOKUP(IntComp[[#This Row],[DEVELOPMENT]],Data[],10,FALSE)))</f>
        <v>0</v>
      </c>
      <c r="L96" s="63">
        <f ca="1">IF(IntComp[[#This Row],[RAD/PACT by 2025]]="Yes",0,(IntComp[[#This Row],['# Int. Compactors to Replace]]*'Unit Costs'!$B$8)*(1+((IntComp[[#This Row],[est. Year]]-YEAR(TODAY()))*$L$2)))</f>
        <v>0</v>
      </c>
      <c r="M96" s="67">
        <f>SUM(INDEX(IntComp['# to Replace],1):IntComp[[#This Row],['# to Replace]])</f>
        <v>0</v>
      </c>
      <c r="N96" s="67">
        <f>ROUNDDOWN(IntComp[[#This Row],[Count]]/100,0)+$N$1</f>
        <v>2020</v>
      </c>
      <c r="O96" s="86">
        <f t="shared" ca="1" si="1"/>
        <v>39993793.213500015</v>
      </c>
      <c r="P96"/>
    </row>
    <row r="97" spans="1:16" x14ac:dyDescent="0.25">
      <c r="A97" s="13" t="s">
        <v>78</v>
      </c>
      <c r="B97" s="1" t="str">
        <f>VLOOKUP(A97,Data[],2,FALSE)</f>
        <v>MANHATTAN</v>
      </c>
      <c r="C97" s="9" t="s">
        <v>106</v>
      </c>
      <c r="D97" s="9">
        <f>VLOOKUP(IntComp[[#This Row],[DEVELOPMENT]],Data[],31,FALSE)</f>
        <v>29</v>
      </c>
      <c r="E97" s="9" t="str">
        <f>VLOOKUP(IntComp[[#This Row],[DEVELOPMENT]],Data[],8,FALSE)</f>
        <v>Zone 2</v>
      </c>
      <c r="F97" s="9" t="str">
        <f>VLOOKUP(IntComp[[#This Row],[DEVELOPMENT]],Data[],9,FALSE)</f>
        <v>$</v>
      </c>
      <c r="G97" s="9"/>
      <c r="H97" s="9">
        <f>IFERROR(VLOOKUP(IntComp[[#This Row],[DEVELOPMENT]],Data[],4,FALSE),"")</f>
        <v>2024</v>
      </c>
      <c r="I97" s="9" t="str">
        <f>IF(IntComp[[#This Row],[RAD/PACT]]="","",IF(IntComp[[#This Row],[RAD/PACT]]&lt;=2025,"Yes",""))</f>
        <v>Yes</v>
      </c>
      <c r="J97" s="1" t="str">
        <f ca="1">IF(VLOOKUP(IntComp[[#This Row],[DEVELOPMENT]],Data[],10,FALSE)=0,"",DATEDIF(VLOOKUP(IntComp[[#This Row],[DEVELOPMENT]],Data[],12,FALSE),TODAY(),"Y"))</f>
        <v/>
      </c>
      <c r="K97" s="1">
        <f>IF(IntComp[[#This Row],[RAD/PACT]]="",VLOOKUP(IntComp[[#This Row],[DEVELOPMENT]],Data[],10,FALSE),IF(IntComp[[#This Row],[RAD/PACT by 2025]]="yes",0,VLOOKUP(IntComp[[#This Row],[DEVELOPMENT]],Data[],10,FALSE)))</f>
        <v>0</v>
      </c>
      <c r="L97" s="63">
        <f ca="1">IF(IntComp[[#This Row],[RAD/PACT by 2025]]="Yes",0,(IntComp[[#This Row],['# Int. Compactors to Replace]]*'Unit Costs'!$B$8)*(1+((IntComp[[#This Row],[est. Year]]-YEAR(TODAY()))*$L$2)))</f>
        <v>0</v>
      </c>
      <c r="M97" s="1">
        <f>SUM(INDEX(IntComp['# to Replace],1):IntComp[[#This Row],['# to Replace]])</f>
        <v>0</v>
      </c>
      <c r="N97" s="1">
        <f>ROUNDDOWN(IntComp[[#This Row],[Count]]/100,0)+$N$1</f>
        <v>2020</v>
      </c>
      <c r="O97" s="81">
        <f t="shared" ca="1" si="1"/>
        <v>39993793.213500015</v>
      </c>
      <c r="P97"/>
    </row>
    <row r="98" spans="1:16" x14ac:dyDescent="0.25">
      <c r="A98" s="13" t="s">
        <v>215</v>
      </c>
      <c r="B98" s="9" t="str">
        <f>VLOOKUP(A98,Data[],2,FALSE)</f>
        <v>BRONX</v>
      </c>
      <c r="C98" s="9" t="s">
        <v>106</v>
      </c>
      <c r="D98" s="9">
        <f>VLOOKUP(IntComp[[#This Row],[DEVELOPMENT]],Data[],31,FALSE)</f>
        <v>15</v>
      </c>
      <c r="E98" s="66">
        <f>VLOOKUP(IntComp[[#This Row],[DEVELOPMENT]],Data[],8,FALSE)</f>
        <v>0</v>
      </c>
      <c r="F98" s="66">
        <f>VLOOKUP(IntComp[[#This Row],[DEVELOPMENT]],Data[],9,FALSE)</f>
        <v>0</v>
      </c>
      <c r="G98" s="66"/>
      <c r="H98" s="66">
        <f>IFERROR(VLOOKUP(IntComp[[#This Row],[DEVELOPMENT]],Data[],4,FALSE),"")</f>
        <v>2026</v>
      </c>
      <c r="I98" s="66" t="str">
        <f>IF(IntComp[[#This Row],[RAD/PACT]]="","",IF(IntComp[[#This Row],[RAD/PACT]]&lt;=2025,"Yes",""))</f>
        <v/>
      </c>
      <c r="J98" s="67" t="str">
        <f ca="1">IF(VLOOKUP(IntComp[[#This Row],[DEVELOPMENT]],Data[],10,FALSE)=0,"",DATEDIF(VLOOKUP(IntComp[[#This Row],[DEVELOPMENT]],Data[],12,FALSE),TODAY(),"Y"))</f>
        <v/>
      </c>
      <c r="K98" s="67">
        <f>IF(IntComp[[#This Row],[RAD/PACT]]="",VLOOKUP(IntComp[[#This Row],[DEVELOPMENT]],Data[],10,FALSE),IF(IntComp[[#This Row],[RAD/PACT by 2025]]="yes",0,VLOOKUP(IntComp[[#This Row],[DEVELOPMENT]],Data[],10,FALSE)))</f>
        <v>0</v>
      </c>
      <c r="L98" s="63">
        <f ca="1">IF(IntComp[[#This Row],[RAD/PACT by 2025]]="Yes",0,(IntComp[[#This Row],['# Int. Compactors to Replace]]*'Unit Costs'!$B$8)*(1+((IntComp[[#This Row],[est. Year]]-YEAR(TODAY()))*$L$2)))</f>
        <v>1104800.9175</v>
      </c>
      <c r="M98" s="67">
        <f>SUM(INDEX(IntComp['# to Replace],1):IntComp[[#This Row],['# to Replace]])</f>
        <v>0</v>
      </c>
      <c r="N98" s="67">
        <f>ROUNDDOWN(IntComp[[#This Row],[Count]]/100,0)+$N$1</f>
        <v>2020</v>
      </c>
      <c r="O98" s="86">
        <f t="shared" ca="1" si="1"/>
        <v>41098594.131000012</v>
      </c>
      <c r="P98"/>
    </row>
    <row r="99" spans="1:16" x14ac:dyDescent="0.25">
      <c r="A99" s="13" t="s">
        <v>216</v>
      </c>
      <c r="B99" s="9" t="str">
        <f>VLOOKUP(A99,Data[],2,FALSE)</f>
        <v>BRONX</v>
      </c>
      <c r="C99" s="9" t="s">
        <v>106</v>
      </c>
      <c r="D99" s="9">
        <f>VLOOKUP(IntComp[[#This Row],[DEVELOPMENT]],Data[],31,FALSE)</f>
        <v>3</v>
      </c>
      <c r="E99" s="66">
        <f>VLOOKUP(IntComp[[#This Row],[DEVELOPMENT]],Data[],8,FALSE)</f>
        <v>0</v>
      </c>
      <c r="F99" s="66">
        <f>VLOOKUP(IntComp[[#This Row],[DEVELOPMENT]],Data[],9,FALSE)</f>
        <v>0</v>
      </c>
      <c r="G99" s="66"/>
      <c r="H99" s="66">
        <f>IFERROR(VLOOKUP(IntComp[[#This Row],[DEVELOPMENT]],Data[],4,FALSE),"")</f>
        <v>2022</v>
      </c>
      <c r="I99" s="66" t="str">
        <f>IF(IntComp[[#This Row],[RAD/PACT]]="","",IF(IntComp[[#This Row],[RAD/PACT]]&lt;=2025,"Yes",""))</f>
        <v>Yes</v>
      </c>
      <c r="J99" s="67" t="str">
        <f ca="1">IF(VLOOKUP(IntComp[[#This Row],[DEVELOPMENT]],Data[],10,FALSE)=0,"",DATEDIF(VLOOKUP(IntComp[[#This Row],[DEVELOPMENT]],Data[],12,FALSE),TODAY(),"Y"))</f>
        <v/>
      </c>
      <c r="K99" s="67">
        <f>IF(IntComp[[#This Row],[RAD/PACT]]="",VLOOKUP(IntComp[[#This Row],[DEVELOPMENT]],Data[],10,FALSE),IF(IntComp[[#This Row],[RAD/PACT by 2025]]="yes",0,VLOOKUP(IntComp[[#This Row],[DEVELOPMENT]],Data[],10,FALSE)))</f>
        <v>0</v>
      </c>
      <c r="L99" s="63">
        <f ca="1">IF(IntComp[[#This Row],[RAD/PACT by 2025]]="Yes",0,(IntComp[[#This Row],['# Int. Compactors to Replace]]*'Unit Costs'!$B$8)*(1+((IntComp[[#This Row],[est. Year]]-YEAR(TODAY()))*$L$2)))</f>
        <v>0</v>
      </c>
      <c r="M99" s="67">
        <f>SUM(INDEX(IntComp['# to Replace],1):IntComp[[#This Row],['# to Replace]])</f>
        <v>0</v>
      </c>
      <c r="N99" s="67">
        <f>ROUNDDOWN(IntComp[[#This Row],[Count]]/100,0)+$N$1</f>
        <v>2020</v>
      </c>
      <c r="O99" s="86">
        <f t="shared" ca="1" si="1"/>
        <v>41098594.131000012</v>
      </c>
      <c r="P99"/>
    </row>
    <row r="100" spans="1:16" x14ac:dyDescent="0.25">
      <c r="A100" s="13" t="s">
        <v>217</v>
      </c>
      <c r="B100" s="9" t="str">
        <f>VLOOKUP(A100,Data[],2,FALSE)</f>
        <v>MANHATTAN</v>
      </c>
      <c r="C100" s="9" t="s">
        <v>106</v>
      </c>
      <c r="D100" s="9">
        <f>VLOOKUP(IntComp[[#This Row],[DEVELOPMENT]],Data[],31,FALSE)</f>
        <v>8</v>
      </c>
      <c r="E100" s="66">
        <f>VLOOKUP(IntComp[[#This Row],[DEVELOPMENT]],Data[],8,FALSE)</f>
        <v>0</v>
      </c>
      <c r="F100" s="66">
        <f>VLOOKUP(IntComp[[#This Row],[DEVELOPMENT]],Data[],9,FALSE)</f>
        <v>0</v>
      </c>
      <c r="G100" s="66"/>
      <c r="H100" s="66" t="str">
        <f>IFERROR(VLOOKUP(IntComp[[#This Row],[DEVELOPMENT]],Data[],4,FALSE),"")</f>
        <v/>
      </c>
      <c r="I100" s="66" t="str">
        <f>IF(IntComp[[#This Row],[RAD/PACT]]="","",IF(IntComp[[#This Row],[RAD/PACT]]&lt;=2025,"Yes",""))</f>
        <v/>
      </c>
      <c r="J100" s="67" t="str">
        <f ca="1">IF(VLOOKUP(IntComp[[#This Row],[DEVELOPMENT]],Data[],10,FALSE)=0,"",DATEDIF(VLOOKUP(IntComp[[#This Row],[DEVELOPMENT]],Data[],12,FALSE),TODAY(),"Y"))</f>
        <v/>
      </c>
      <c r="K100" s="67">
        <f>IF(IntComp[[#This Row],[RAD/PACT]]="",VLOOKUP(IntComp[[#This Row],[DEVELOPMENT]],Data[],10,FALSE),IF(IntComp[[#This Row],[RAD/PACT by 2025]]="yes",0,VLOOKUP(IntComp[[#This Row],[DEVELOPMENT]],Data[],10,FALSE)))</f>
        <v>0</v>
      </c>
      <c r="L100" s="63">
        <f ca="1">IF(IntComp[[#This Row],[RAD/PACT by 2025]]="Yes",0,(IntComp[[#This Row],['# Int. Compactors to Replace]]*'Unit Costs'!$B$8)*(1+((IntComp[[#This Row],[est. Year]]-YEAR(TODAY()))*$L$2)))</f>
        <v>589227.15599999996</v>
      </c>
      <c r="M100" s="67">
        <f>SUM(INDEX(IntComp['# to Replace],1):IntComp[[#This Row],['# to Replace]])</f>
        <v>0</v>
      </c>
      <c r="N100" s="67">
        <f>ROUNDDOWN(IntComp[[#This Row],[Count]]/100,0)+$N$1</f>
        <v>2020</v>
      </c>
      <c r="O100" s="86">
        <f t="shared" ca="1" si="1"/>
        <v>41687821.287000015</v>
      </c>
      <c r="P100"/>
    </row>
    <row r="101" spans="1:16" x14ac:dyDescent="0.25">
      <c r="A101" s="13" t="s">
        <v>218</v>
      </c>
      <c r="B101" s="9" t="str">
        <f>VLOOKUP(A101,Data[],2,FALSE)</f>
        <v>BROOKLYN</v>
      </c>
      <c r="C101" s="9" t="s">
        <v>106</v>
      </c>
      <c r="D101" s="9">
        <f>VLOOKUP(IntComp[[#This Row],[DEVELOPMENT]],Data[],31,FALSE)</f>
        <v>10</v>
      </c>
      <c r="E101" s="66">
        <f>VLOOKUP(IntComp[[#This Row],[DEVELOPMENT]],Data[],8,FALSE)</f>
        <v>0</v>
      </c>
      <c r="F101" s="66">
        <f>VLOOKUP(IntComp[[#This Row],[DEVELOPMENT]],Data[],9,FALSE)</f>
        <v>0</v>
      </c>
      <c r="G101" s="66"/>
      <c r="H101" s="66">
        <f>IFERROR(VLOOKUP(IntComp[[#This Row],[DEVELOPMENT]],Data[],4,FALSE),"")</f>
        <v>2027</v>
      </c>
      <c r="I101" s="66" t="str">
        <f>IF(IntComp[[#This Row],[RAD/PACT]]="","",IF(IntComp[[#This Row],[RAD/PACT]]&lt;=2025,"Yes",""))</f>
        <v/>
      </c>
      <c r="J101" s="67" t="str">
        <f ca="1">IF(VLOOKUP(IntComp[[#This Row],[DEVELOPMENT]],Data[],10,FALSE)=0,"",DATEDIF(VLOOKUP(IntComp[[#This Row],[DEVELOPMENT]],Data[],12,FALSE),TODAY(),"Y"))</f>
        <v/>
      </c>
      <c r="K101" s="67">
        <f>IF(IntComp[[#This Row],[RAD/PACT]]="",VLOOKUP(IntComp[[#This Row],[DEVELOPMENT]],Data[],10,FALSE),IF(IntComp[[#This Row],[RAD/PACT by 2025]]="yes",0,VLOOKUP(IntComp[[#This Row],[DEVELOPMENT]],Data[],10,FALSE)))</f>
        <v>0</v>
      </c>
      <c r="L101" s="63">
        <f ca="1">IF(IntComp[[#This Row],[RAD/PACT by 2025]]="Yes",0,(IntComp[[#This Row],['# Int. Compactors to Replace]]*'Unit Costs'!$B$8)*(1+((IntComp[[#This Row],[est. Year]]-YEAR(TODAY()))*$L$2)))</f>
        <v>736533.94499999995</v>
      </c>
      <c r="M101" s="67">
        <f>SUM(INDEX(IntComp['# to Replace],1):IntComp[[#This Row],['# to Replace]])</f>
        <v>0</v>
      </c>
      <c r="N101" s="67">
        <f>ROUNDDOWN(IntComp[[#This Row],[Count]]/100,0)+$N$1</f>
        <v>2020</v>
      </c>
      <c r="O101" s="86">
        <f t="shared" ca="1" si="1"/>
        <v>42424355.232000016</v>
      </c>
      <c r="P101"/>
    </row>
    <row r="102" spans="1:16" x14ac:dyDescent="0.25">
      <c r="A102" s="13" t="s">
        <v>219</v>
      </c>
      <c r="B102" s="9" t="str">
        <f>VLOOKUP(A102,Data[],2,FALSE)</f>
        <v>BROOKLYN</v>
      </c>
      <c r="C102" s="9" t="s">
        <v>106</v>
      </c>
      <c r="D102" s="9">
        <f>VLOOKUP(IntComp[[#This Row],[DEVELOPMENT]],Data[],31,FALSE)</f>
        <v>0</v>
      </c>
      <c r="E102" s="66">
        <f>VLOOKUP(IntComp[[#This Row],[DEVELOPMENT]],Data[],8,FALSE)</f>
        <v>0</v>
      </c>
      <c r="F102" s="66">
        <f>VLOOKUP(IntComp[[#This Row],[DEVELOPMENT]],Data[],9,FALSE)</f>
        <v>0</v>
      </c>
      <c r="G102" s="66"/>
      <c r="H102" s="66">
        <f>IFERROR(VLOOKUP(IntComp[[#This Row],[DEVELOPMENT]],Data[],4,FALSE),"")</f>
        <v>2021</v>
      </c>
      <c r="I102" s="66" t="str">
        <f>IF(IntComp[[#This Row],[RAD/PACT]]="","",IF(IntComp[[#This Row],[RAD/PACT]]&lt;=2025,"Yes",""))</f>
        <v>Yes</v>
      </c>
      <c r="J102" s="67" t="str">
        <f ca="1">IF(VLOOKUP(IntComp[[#This Row],[DEVELOPMENT]],Data[],10,FALSE)=0,"",DATEDIF(VLOOKUP(IntComp[[#This Row],[DEVELOPMENT]],Data[],12,FALSE),TODAY(),"Y"))</f>
        <v/>
      </c>
      <c r="K102" s="67">
        <f>IF(IntComp[[#This Row],[RAD/PACT]]="",VLOOKUP(IntComp[[#This Row],[DEVELOPMENT]],Data[],10,FALSE),IF(IntComp[[#This Row],[RAD/PACT by 2025]]="yes",0,VLOOKUP(IntComp[[#This Row],[DEVELOPMENT]],Data[],10,FALSE)))</f>
        <v>0</v>
      </c>
      <c r="L102" s="63">
        <f ca="1">IF(IntComp[[#This Row],[RAD/PACT by 2025]]="Yes",0,(IntComp[[#This Row],['# Int. Compactors to Replace]]*'Unit Costs'!$B$8)*(1+((IntComp[[#This Row],[est. Year]]-YEAR(TODAY()))*$L$2)))</f>
        <v>0</v>
      </c>
      <c r="M102" s="67">
        <f>SUM(INDEX(IntComp['# to Replace],1):IntComp[[#This Row],['# to Replace]])</f>
        <v>0</v>
      </c>
      <c r="N102" s="67">
        <f>ROUNDDOWN(IntComp[[#This Row],[Count]]/100,0)+$N$1</f>
        <v>2020</v>
      </c>
      <c r="O102" s="86">
        <f t="shared" ca="1" si="1"/>
        <v>42424355.232000016</v>
      </c>
      <c r="P102"/>
    </row>
    <row r="103" spans="1:16" x14ac:dyDescent="0.25">
      <c r="A103" s="13" t="s">
        <v>220</v>
      </c>
      <c r="B103" s="9">
        <f>VLOOKUP(A103,Data[],2,FALSE)</f>
        <v>0</v>
      </c>
      <c r="C103" s="9" t="s">
        <v>106</v>
      </c>
      <c r="D103" s="9">
        <f>VLOOKUP(IntComp[[#This Row],[DEVELOPMENT]],Data[],31,FALSE)</f>
        <v>0</v>
      </c>
      <c r="E103" s="66">
        <f>VLOOKUP(IntComp[[#This Row],[DEVELOPMENT]],Data[],8,FALSE)</f>
        <v>0</v>
      </c>
      <c r="F103" s="66">
        <f>VLOOKUP(IntComp[[#This Row],[DEVELOPMENT]],Data[],9,FALSE)</f>
        <v>0</v>
      </c>
      <c r="G103" s="66"/>
      <c r="H103" s="66" t="str">
        <f>IFERROR(VLOOKUP(IntComp[[#This Row],[DEVELOPMENT]],Data[],4,FALSE),"")</f>
        <v/>
      </c>
      <c r="I103" s="66" t="str">
        <f>IF(IntComp[[#This Row],[RAD/PACT]]="","",IF(IntComp[[#This Row],[RAD/PACT]]&lt;=2025,"Yes",""))</f>
        <v/>
      </c>
      <c r="J103" s="67" t="str">
        <f ca="1">IF(VLOOKUP(IntComp[[#This Row],[DEVELOPMENT]],Data[],10,FALSE)=0,"",DATEDIF(VLOOKUP(IntComp[[#This Row],[DEVELOPMENT]],Data[],12,FALSE),TODAY(),"Y"))</f>
        <v/>
      </c>
      <c r="K103" s="67">
        <f>IF(IntComp[[#This Row],[RAD/PACT]]="",VLOOKUP(IntComp[[#This Row],[DEVELOPMENT]],Data[],10,FALSE),IF(IntComp[[#This Row],[RAD/PACT by 2025]]="yes",0,VLOOKUP(IntComp[[#This Row],[DEVELOPMENT]],Data[],10,FALSE)))</f>
        <v>0</v>
      </c>
      <c r="L103" s="63">
        <f ca="1">IF(IntComp[[#This Row],[RAD/PACT by 2025]]="Yes",0,(IntComp[[#This Row],['# Int. Compactors to Replace]]*'Unit Costs'!$B$8)*(1+((IntComp[[#This Row],[est. Year]]-YEAR(TODAY()))*$L$2)))</f>
        <v>0</v>
      </c>
      <c r="M103" s="67">
        <f>SUM(INDEX(IntComp['# to Replace],1):IntComp[[#This Row],['# to Replace]])</f>
        <v>0</v>
      </c>
      <c r="N103" s="67">
        <f>ROUNDDOWN(IntComp[[#This Row],[Count]]/100,0)+$N$1</f>
        <v>2020</v>
      </c>
      <c r="O103" s="86">
        <f t="shared" ca="1" si="1"/>
        <v>42424355.232000016</v>
      </c>
      <c r="P103"/>
    </row>
    <row r="104" spans="1:16" x14ac:dyDescent="0.25">
      <c r="A104" s="13" t="s">
        <v>221</v>
      </c>
      <c r="B104" s="9">
        <f>VLOOKUP(A104,Data[],2,FALSE)</f>
        <v>0</v>
      </c>
      <c r="C104" s="9" t="s">
        <v>106</v>
      </c>
      <c r="D104" s="9">
        <f>VLOOKUP(IntComp[[#This Row],[DEVELOPMENT]],Data[],31,FALSE)</f>
        <v>0</v>
      </c>
      <c r="E104" s="66">
        <f>VLOOKUP(IntComp[[#This Row],[DEVELOPMENT]],Data[],8,FALSE)</f>
        <v>0</v>
      </c>
      <c r="F104" s="66">
        <f>VLOOKUP(IntComp[[#This Row],[DEVELOPMENT]],Data[],9,FALSE)</f>
        <v>0</v>
      </c>
      <c r="G104" s="66"/>
      <c r="H104" s="66" t="str">
        <f>IFERROR(VLOOKUP(IntComp[[#This Row],[DEVELOPMENT]],Data[],4,FALSE),"")</f>
        <v/>
      </c>
      <c r="I104" s="66" t="str">
        <f>IF(IntComp[[#This Row],[RAD/PACT]]="","",IF(IntComp[[#This Row],[RAD/PACT]]&lt;=2025,"Yes",""))</f>
        <v/>
      </c>
      <c r="J104" s="67" t="str">
        <f ca="1">IF(VLOOKUP(IntComp[[#This Row],[DEVELOPMENT]],Data[],10,FALSE)=0,"",DATEDIF(VLOOKUP(IntComp[[#This Row],[DEVELOPMENT]],Data[],12,FALSE),TODAY(),"Y"))</f>
        <v/>
      </c>
      <c r="K104" s="67">
        <f>IF(IntComp[[#This Row],[RAD/PACT]]="",VLOOKUP(IntComp[[#This Row],[DEVELOPMENT]],Data[],10,FALSE),IF(IntComp[[#This Row],[RAD/PACT by 2025]]="yes",0,VLOOKUP(IntComp[[#This Row],[DEVELOPMENT]],Data[],10,FALSE)))</f>
        <v>0</v>
      </c>
      <c r="L104" s="63">
        <f ca="1">IF(IntComp[[#This Row],[RAD/PACT by 2025]]="Yes",0,(IntComp[[#This Row],['# Int. Compactors to Replace]]*'Unit Costs'!$B$8)*(1+((IntComp[[#This Row],[est. Year]]-YEAR(TODAY()))*$L$2)))</f>
        <v>0</v>
      </c>
      <c r="M104" s="67">
        <f>SUM(INDEX(IntComp['# to Replace],1):IntComp[[#This Row],['# to Replace]])</f>
        <v>0</v>
      </c>
      <c r="N104" s="67">
        <f>ROUNDDOWN(IntComp[[#This Row],[Count]]/100,0)+$N$1</f>
        <v>2020</v>
      </c>
      <c r="O104" s="86">
        <f t="shared" ca="1" si="1"/>
        <v>42424355.232000016</v>
      </c>
      <c r="P104"/>
    </row>
    <row r="105" spans="1:16" x14ac:dyDescent="0.25">
      <c r="A105" s="13" t="s">
        <v>222</v>
      </c>
      <c r="B105" s="9">
        <f>VLOOKUP(A105,Data[],2,FALSE)</f>
        <v>0</v>
      </c>
      <c r="C105" s="9" t="s">
        <v>106</v>
      </c>
      <c r="D105" s="9">
        <f>VLOOKUP(IntComp[[#This Row],[DEVELOPMENT]],Data[],31,FALSE)</f>
        <v>0</v>
      </c>
      <c r="E105" s="66">
        <f>VLOOKUP(IntComp[[#This Row],[DEVELOPMENT]],Data[],8,FALSE)</f>
        <v>0</v>
      </c>
      <c r="F105" s="66">
        <f>VLOOKUP(IntComp[[#This Row],[DEVELOPMENT]],Data[],9,FALSE)</f>
        <v>0</v>
      </c>
      <c r="G105" s="66"/>
      <c r="H105" s="66" t="str">
        <f>IFERROR(VLOOKUP(IntComp[[#This Row],[DEVELOPMENT]],Data[],4,FALSE),"")</f>
        <v/>
      </c>
      <c r="I105" s="66" t="str">
        <f>IF(IntComp[[#This Row],[RAD/PACT]]="","",IF(IntComp[[#This Row],[RAD/PACT]]&lt;=2025,"Yes",""))</f>
        <v/>
      </c>
      <c r="J105" s="67" t="str">
        <f ca="1">IF(VLOOKUP(IntComp[[#This Row],[DEVELOPMENT]],Data[],10,FALSE)=0,"",DATEDIF(VLOOKUP(IntComp[[#This Row],[DEVELOPMENT]],Data[],12,FALSE),TODAY(),"Y"))</f>
        <v/>
      </c>
      <c r="K105" s="67">
        <f>IF(IntComp[[#This Row],[RAD/PACT]]="",VLOOKUP(IntComp[[#This Row],[DEVELOPMENT]],Data[],10,FALSE),IF(IntComp[[#This Row],[RAD/PACT by 2025]]="yes",0,VLOOKUP(IntComp[[#This Row],[DEVELOPMENT]],Data[],10,FALSE)))</f>
        <v>0</v>
      </c>
      <c r="L105" s="63">
        <f ca="1">IF(IntComp[[#This Row],[RAD/PACT by 2025]]="Yes",0,(IntComp[[#This Row],['# Int. Compactors to Replace]]*'Unit Costs'!$B$8)*(1+((IntComp[[#This Row],[est. Year]]-YEAR(TODAY()))*$L$2)))</f>
        <v>0</v>
      </c>
      <c r="M105" s="67">
        <f>SUM(INDEX(IntComp['# to Replace],1):IntComp[[#This Row],['# to Replace]])</f>
        <v>0</v>
      </c>
      <c r="N105" s="67">
        <f>ROUNDDOWN(IntComp[[#This Row],[Count]]/100,0)+$N$1</f>
        <v>2020</v>
      </c>
      <c r="O105" s="86">
        <f t="shared" ca="1" si="1"/>
        <v>42424355.232000016</v>
      </c>
      <c r="P105"/>
    </row>
    <row r="106" spans="1:16" x14ac:dyDescent="0.25">
      <c r="A106" s="13" t="s">
        <v>223</v>
      </c>
      <c r="B106" s="9">
        <f>VLOOKUP(A106,Data[],2,FALSE)</f>
        <v>0</v>
      </c>
      <c r="C106" s="9" t="s">
        <v>106</v>
      </c>
      <c r="D106" s="9">
        <f>VLOOKUP(IntComp[[#This Row],[DEVELOPMENT]],Data[],31,FALSE)</f>
        <v>0</v>
      </c>
      <c r="E106" s="66">
        <f>VLOOKUP(IntComp[[#This Row],[DEVELOPMENT]],Data[],8,FALSE)</f>
        <v>0</v>
      </c>
      <c r="F106" s="66">
        <f>VLOOKUP(IntComp[[#This Row],[DEVELOPMENT]],Data[],9,FALSE)</f>
        <v>0</v>
      </c>
      <c r="G106" s="66"/>
      <c r="H106" s="66" t="str">
        <f>IFERROR(VLOOKUP(IntComp[[#This Row],[DEVELOPMENT]],Data[],4,FALSE),"")</f>
        <v/>
      </c>
      <c r="I106" s="66" t="str">
        <f>IF(IntComp[[#This Row],[RAD/PACT]]="","",IF(IntComp[[#This Row],[RAD/PACT]]&lt;=2025,"Yes",""))</f>
        <v/>
      </c>
      <c r="J106" s="67" t="str">
        <f ca="1">IF(VLOOKUP(IntComp[[#This Row],[DEVELOPMENT]],Data[],10,FALSE)=0,"",DATEDIF(VLOOKUP(IntComp[[#This Row],[DEVELOPMENT]],Data[],12,FALSE),TODAY(),"Y"))</f>
        <v/>
      </c>
      <c r="K106" s="67">
        <f>IF(IntComp[[#This Row],[RAD/PACT]]="",VLOOKUP(IntComp[[#This Row],[DEVELOPMENT]],Data[],10,FALSE),IF(IntComp[[#This Row],[RAD/PACT by 2025]]="yes",0,VLOOKUP(IntComp[[#This Row],[DEVELOPMENT]],Data[],10,FALSE)))</f>
        <v>0</v>
      </c>
      <c r="L106" s="63">
        <f ca="1">IF(IntComp[[#This Row],[RAD/PACT by 2025]]="Yes",0,(IntComp[[#This Row],['# Int. Compactors to Replace]]*'Unit Costs'!$B$8)*(1+((IntComp[[#This Row],[est. Year]]-YEAR(TODAY()))*$L$2)))</f>
        <v>0</v>
      </c>
      <c r="M106" s="67">
        <f>SUM(INDEX(IntComp['# to Replace],1):IntComp[[#This Row],['# to Replace]])</f>
        <v>0</v>
      </c>
      <c r="N106" s="67">
        <f>ROUNDDOWN(IntComp[[#This Row],[Count]]/100,0)+$N$1</f>
        <v>2020</v>
      </c>
      <c r="O106" s="86">
        <f t="shared" ca="1" si="1"/>
        <v>42424355.232000016</v>
      </c>
      <c r="P106"/>
    </row>
    <row r="107" spans="1:16" x14ac:dyDescent="0.25">
      <c r="A107" s="13" t="s">
        <v>224</v>
      </c>
      <c r="B107" s="9">
        <f>VLOOKUP(A107,Data[],2,FALSE)</f>
        <v>0</v>
      </c>
      <c r="C107" s="9" t="s">
        <v>106</v>
      </c>
      <c r="D107" s="9">
        <f>VLOOKUP(IntComp[[#This Row],[DEVELOPMENT]],Data[],31,FALSE)</f>
        <v>0</v>
      </c>
      <c r="E107" s="66" t="str">
        <f>VLOOKUP(IntComp[[#This Row],[DEVELOPMENT]],Data[],8,FALSE)</f>
        <v>Zone 4</v>
      </c>
      <c r="F107" s="66">
        <f>VLOOKUP(IntComp[[#This Row],[DEVELOPMENT]],Data[],9,FALSE)</f>
        <v>0</v>
      </c>
      <c r="G107" s="66"/>
      <c r="H107" s="66" t="str">
        <f>IFERROR(VLOOKUP(IntComp[[#This Row],[DEVELOPMENT]],Data[],4,FALSE),"")</f>
        <v/>
      </c>
      <c r="I107" s="66" t="str">
        <f>IF(IntComp[[#This Row],[RAD/PACT]]="","",IF(IntComp[[#This Row],[RAD/PACT]]&lt;=2025,"Yes",""))</f>
        <v/>
      </c>
      <c r="J107" s="67" t="str">
        <f ca="1">IF(VLOOKUP(IntComp[[#This Row],[DEVELOPMENT]],Data[],10,FALSE)=0,"",DATEDIF(VLOOKUP(IntComp[[#This Row],[DEVELOPMENT]],Data[],12,FALSE),TODAY(),"Y"))</f>
        <v/>
      </c>
      <c r="K107" s="67">
        <f>IF(IntComp[[#This Row],[RAD/PACT]]="",VLOOKUP(IntComp[[#This Row],[DEVELOPMENT]],Data[],10,FALSE),IF(IntComp[[#This Row],[RAD/PACT by 2025]]="yes",0,VLOOKUP(IntComp[[#This Row],[DEVELOPMENT]],Data[],10,FALSE)))</f>
        <v>0</v>
      </c>
      <c r="L107" s="63">
        <f ca="1">IF(IntComp[[#This Row],[RAD/PACT by 2025]]="Yes",0,(IntComp[[#This Row],['# Int. Compactors to Replace]]*'Unit Costs'!$B$8)*(1+((IntComp[[#This Row],[est. Year]]-YEAR(TODAY()))*$L$2)))</f>
        <v>0</v>
      </c>
      <c r="M107" s="67">
        <f>SUM(INDEX(IntComp['# to Replace],1):IntComp[[#This Row],['# to Replace]])</f>
        <v>0</v>
      </c>
      <c r="N107" s="67">
        <f>ROUNDDOWN(IntComp[[#This Row],[Count]]/100,0)+$N$1</f>
        <v>2020</v>
      </c>
      <c r="O107" s="86">
        <f t="shared" ca="1" si="1"/>
        <v>42424355.232000016</v>
      </c>
      <c r="P107"/>
    </row>
    <row r="108" spans="1:16" x14ac:dyDescent="0.25">
      <c r="A108" s="13" t="s">
        <v>225</v>
      </c>
      <c r="B108" s="9">
        <f>VLOOKUP(A108,Data[],2,FALSE)</f>
        <v>0</v>
      </c>
      <c r="C108" s="9" t="s">
        <v>106</v>
      </c>
      <c r="D108" s="9">
        <f>VLOOKUP(IntComp[[#This Row],[DEVELOPMENT]],Data[],31,FALSE)</f>
        <v>0</v>
      </c>
      <c r="E108" s="66">
        <f>VLOOKUP(IntComp[[#This Row],[DEVELOPMENT]],Data[],8,FALSE)</f>
        <v>0</v>
      </c>
      <c r="F108" s="66">
        <f>VLOOKUP(IntComp[[#This Row],[DEVELOPMENT]],Data[],9,FALSE)</f>
        <v>0</v>
      </c>
      <c r="G108" s="66"/>
      <c r="H108" s="66" t="str">
        <f>IFERROR(VLOOKUP(IntComp[[#This Row],[DEVELOPMENT]],Data[],4,FALSE),"")</f>
        <v/>
      </c>
      <c r="I108" s="66" t="str">
        <f>IF(IntComp[[#This Row],[RAD/PACT]]="","",IF(IntComp[[#This Row],[RAD/PACT]]&lt;=2025,"Yes",""))</f>
        <v/>
      </c>
      <c r="J108" s="67" t="str">
        <f ca="1">IF(VLOOKUP(IntComp[[#This Row],[DEVELOPMENT]],Data[],10,FALSE)=0,"",DATEDIF(VLOOKUP(IntComp[[#This Row],[DEVELOPMENT]],Data[],12,FALSE),TODAY(),"Y"))</f>
        <v/>
      </c>
      <c r="K108" s="67">
        <f>IF(IntComp[[#This Row],[RAD/PACT]]="",VLOOKUP(IntComp[[#This Row],[DEVELOPMENT]],Data[],10,FALSE),IF(IntComp[[#This Row],[RAD/PACT by 2025]]="yes",0,VLOOKUP(IntComp[[#This Row],[DEVELOPMENT]],Data[],10,FALSE)))</f>
        <v>0</v>
      </c>
      <c r="L108" s="63">
        <f ca="1">IF(IntComp[[#This Row],[RAD/PACT by 2025]]="Yes",0,(IntComp[[#This Row],['# Int. Compactors to Replace]]*'Unit Costs'!$B$8)*(1+((IntComp[[#This Row],[est. Year]]-YEAR(TODAY()))*$L$2)))</f>
        <v>0</v>
      </c>
      <c r="M108" s="67">
        <f>SUM(INDEX(IntComp['# to Replace],1):IntComp[[#This Row],['# to Replace]])</f>
        <v>0</v>
      </c>
      <c r="N108" s="67">
        <f>ROUNDDOWN(IntComp[[#This Row],[Count]]/100,0)+$N$1</f>
        <v>2020</v>
      </c>
      <c r="O108" s="86">
        <f t="shared" ca="1" si="1"/>
        <v>42424355.232000016</v>
      </c>
      <c r="P108"/>
    </row>
    <row r="109" spans="1:16" x14ac:dyDescent="0.25">
      <c r="A109" s="13" t="s">
        <v>226</v>
      </c>
      <c r="B109" s="9">
        <f>VLOOKUP(A109,Data[],2,FALSE)</f>
        <v>0</v>
      </c>
      <c r="C109" s="9" t="s">
        <v>106</v>
      </c>
      <c r="D109" s="9">
        <f>VLOOKUP(IntComp[[#This Row],[DEVELOPMENT]],Data[],31,FALSE)</f>
        <v>0</v>
      </c>
      <c r="E109" s="66">
        <f>VLOOKUP(IntComp[[#This Row],[DEVELOPMENT]],Data[],8,FALSE)</f>
        <v>0</v>
      </c>
      <c r="F109" s="66">
        <f>VLOOKUP(IntComp[[#This Row],[DEVELOPMENT]],Data[],9,FALSE)</f>
        <v>0</v>
      </c>
      <c r="G109" s="66"/>
      <c r="H109" s="66" t="str">
        <f>IFERROR(VLOOKUP(IntComp[[#This Row],[DEVELOPMENT]],Data[],4,FALSE),"")</f>
        <v/>
      </c>
      <c r="I109" s="66" t="str">
        <f>IF(IntComp[[#This Row],[RAD/PACT]]="","",IF(IntComp[[#This Row],[RAD/PACT]]&lt;=2025,"Yes",""))</f>
        <v/>
      </c>
      <c r="J109" s="67" t="str">
        <f ca="1">IF(VLOOKUP(IntComp[[#This Row],[DEVELOPMENT]],Data[],10,FALSE)=0,"",DATEDIF(VLOOKUP(IntComp[[#This Row],[DEVELOPMENT]],Data[],12,FALSE),TODAY(),"Y"))</f>
        <v/>
      </c>
      <c r="K109" s="67">
        <f>IF(IntComp[[#This Row],[RAD/PACT]]="",VLOOKUP(IntComp[[#This Row],[DEVELOPMENT]],Data[],10,FALSE),IF(IntComp[[#This Row],[RAD/PACT by 2025]]="yes",0,VLOOKUP(IntComp[[#This Row],[DEVELOPMENT]],Data[],10,FALSE)))</f>
        <v>0</v>
      </c>
      <c r="L109" s="63">
        <f ca="1">IF(IntComp[[#This Row],[RAD/PACT by 2025]]="Yes",0,(IntComp[[#This Row],['# Int. Compactors to Replace]]*'Unit Costs'!$B$8)*(1+((IntComp[[#This Row],[est. Year]]-YEAR(TODAY()))*$L$2)))</f>
        <v>0</v>
      </c>
      <c r="M109" s="67">
        <f>SUM(INDEX(IntComp['# to Replace],1):IntComp[[#This Row],['# to Replace]])</f>
        <v>0</v>
      </c>
      <c r="N109" s="67">
        <f>ROUNDDOWN(IntComp[[#This Row],[Count]]/100,0)+$N$1</f>
        <v>2020</v>
      </c>
      <c r="O109" s="86">
        <f t="shared" ca="1" si="1"/>
        <v>42424355.232000016</v>
      </c>
      <c r="P109"/>
    </row>
    <row r="110" spans="1:16" x14ac:dyDescent="0.25">
      <c r="A110" s="13" t="s">
        <v>227</v>
      </c>
      <c r="B110" s="9">
        <f>VLOOKUP(A110,Data[],2,FALSE)</f>
        <v>0</v>
      </c>
      <c r="C110" s="9" t="s">
        <v>106</v>
      </c>
      <c r="D110" s="9">
        <f>VLOOKUP(IntComp[[#This Row],[DEVELOPMENT]],Data[],31,FALSE)</f>
        <v>0</v>
      </c>
      <c r="E110" s="66">
        <f>VLOOKUP(IntComp[[#This Row],[DEVELOPMENT]],Data[],8,FALSE)</f>
        <v>0</v>
      </c>
      <c r="F110" s="66">
        <f>VLOOKUP(IntComp[[#This Row],[DEVELOPMENT]],Data[],9,FALSE)</f>
        <v>0</v>
      </c>
      <c r="G110" s="66"/>
      <c r="H110" s="66" t="str">
        <f>IFERROR(VLOOKUP(IntComp[[#This Row],[DEVELOPMENT]],Data[],4,FALSE),"")</f>
        <v/>
      </c>
      <c r="I110" s="66" t="str">
        <f>IF(IntComp[[#This Row],[RAD/PACT]]="","",IF(IntComp[[#This Row],[RAD/PACT]]&lt;=2025,"Yes",""))</f>
        <v/>
      </c>
      <c r="J110" s="67" t="str">
        <f ca="1">IF(VLOOKUP(IntComp[[#This Row],[DEVELOPMENT]],Data[],10,FALSE)=0,"",DATEDIF(VLOOKUP(IntComp[[#This Row],[DEVELOPMENT]],Data[],12,FALSE),TODAY(),"Y"))</f>
        <v/>
      </c>
      <c r="K110" s="67">
        <f>IF(IntComp[[#This Row],[RAD/PACT]]="",VLOOKUP(IntComp[[#This Row],[DEVELOPMENT]],Data[],10,FALSE),IF(IntComp[[#This Row],[RAD/PACT by 2025]]="yes",0,VLOOKUP(IntComp[[#This Row],[DEVELOPMENT]],Data[],10,FALSE)))</f>
        <v>0</v>
      </c>
      <c r="L110" s="63">
        <f ca="1">IF(IntComp[[#This Row],[RAD/PACT by 2025]]="Yes",0,(IntComp[[#This Row],['# Int. Compactors to Replace]]*'Unit Costs'!$B$8)*(1+((IntComp[[#This Row],[est. Year]]-YEAR(TODAY()))*$L$2)))</f>
        <v>0</v>
      </c>
      <c r="M110" s="67">
        <f>SUM(INDEX(IntComp['# to Replace],1):IntComp[[#This Row],['# to Replace]])</f>
        <v>0</v>
      </c>
      <c r="N110" s="67">
        <f>ROUNDDOWN(IntComp[[#This Row],[Count]]/100,0)+$N$1</f>
        <v>2020</v>
      </c>
      <c r="O110" s="86">
        <f t="shared" ca="1" si="1"/>
        <v>42424355.232000016</v>
      </c>
      <c r="P110"/>
    </row>
    <row r="111" spans="1:16" x14ac:dyDescent="0.25">
      <c r="A111" s="13" t="s">
        <v>228</v>
      </c>
      <c r="B111" s="9">
        <f>VLOOKUP(A111,Data[],2,FALSE)</f>
        <v>0</v>
      </c>
      <c r="C111" s="9" t="s">
        <v>106</v>
      </c>
      <c r="D111" s="9">
        <f>VLOOKUP(IntComp[[#This Row],[DEVELOPMENT]],Data[],31,FALSE)</f>
        <v>0</v>
      </c>
      <c r="E111" s="66">
        <f>VLOOKUP(IntComp[[#This Row],[DEVELOPMENT]],Data[],8,FALSE)</f>
        <v>0</v>
      </c>
      <c r="F111" s="66">
        <f>VLOOKUP(IntComp[[#This Row],[DEVELOPMENT]],Data[],9,FALSE)</f>
        <v>0</v>
      </c>
      <c r="G111" s="66"/>
      <c r="H111" s="66" t="str">
        <f>IFERROR(VLOOKUP(IntComp[[#This Row],[DEVELOPMENT]],Data[],4,FALSE),"")</f>
        <v/>
      </c>
      <c r="I111" s="66" t="str">
        <f>IF(IntComp[[#This Row],[RAD/PACT]]="","",IF(IntComp[[#This Row],[RAD/PACT]]&lt;=2025,"Yes",""))</f>
        <v/>
      </c>
      <c r="J111" s="67" t="str">
        <f ca="1">IF(VLOOKUP(IntComp[[#This Row],[DEVELOPMENT]],Data[],10,FALSE)=0,"",DATEDIF(VLOOKUP(IntComp[[#This Row],[DEVELOPMENT]],Data[],12,FALSE),TODAY(),"Y"))</f>
        <v/>
      </c>
      <c r="K111" s="67">
        <f>IF(IntComp[[#This Row],[RAD/PACT]]="",VLOOKUP(IntComp[[#This Row],[DEVELOPMENT]],Data[],10,FALSE),IF(IntComp[[#This Row],[RAD/PACT by 2025]]="yes",0,VLOOKUP(IntComp[[#This Row],[DEVELOPMENT]],Data[],10,FALSE)))</f>
        <v>0</v>
      </c>
      <c r="L111" s="63">
        <f ca="1">IF(IntComp[[#This Row],[RAD/PACT by 2025]]="Yes",0,(IntComp[[#This Row],['# Int. Compactors to Replace]]*'Unit Costs'!$B$8)*(1+((IntComp[[#This Row],[est. Year]]-YEAR(TODAY()))*$L$2)))</f>
        <v>0</v>
      </c>
      <c r="M111" s="67">
        <f>SUM(INDEX(IntComp['# to Replace],1):IntComp[[#This Row],['# to Replace]])</f>
        <v>0</v>
      </c>
      <c r="N111" s="67">
        <f>ROUNDDOWN(IntComp[[#This Row],[Count]]/100,0)+$N$1</f>
        <v>2020</v>
      </c>
      <c r="O111" s="86">
        <f t="shared" ca="1" si="1"/>
        <v>42424355.232000016</v>
      </c>
      <c r="P111"/>
    </row>
    <row r="112" spans="1:16" x14ac:dyDescent="0.25">
      <c r="A112" s="13" t="s">
        <v>229</v>
      </c>
      <c r="B112" s="9">
        <f>VLOOKUP(A112,Data[],2,FALSE)</f>
        <v>0</v>
      </c>
      <c r="C112" s="9" t="s">
        <v>106</v>
      </c>
      <c r="D112" s="9">
        <f>VLOOKUP(IntComp[[#This Row],[DEVELOPMENT]],Data[],31,FALSE)</f>
        <v>0</v>
      </c>
      <c r="E112" s="66">
        <f>VLOOKUP(IntComp[[#This Row],[DEVELOPMENT]],Data[],8,FALSE)</f>
        <v>0</v>
      </c>
      <c r="F112" s="66">
        <f>VLOOKUP(IntComp[[#This Row],[DEVELOPMENT]],Data[],9,FALSE)</f>
        <v>0</v>
      </c>
      <c r="G112" s="66"/>
      <c r="H112" s="66" t="str">
        <f>IFERROR(VLOOKUP(IntComp[[#This Row],[DEVELOPMENT]],Data[],4,FALSE),"")</f>
        <v/>
      </c>
      <c r="I112" s="66" t="str">
        <f>IF(IntComp[[#This Row],[RAD/PACT]]="","",IF(IntComp[[#This Row],[RAD/PACT]]&lt;=2025,"Yes",""))</f>
        <v/>
      </c>
      <c r="J112" s="67" t="str">
        <f ca="1">IF(VLOOKUP(IntComp[[#This Row],[DEVELOPMENT]],Data[],10,FALSE)=0,"",DATEDIF(VLOOKUP(IntComp[[#This Row],[DEVELOPMENT]],Data[],12,FALSE),TODAY(),"Y"))</f>
        <v/>
      </c>
      <c r="K112" s="67">
        <f>IF(IntComp[[#This Row],[RAD/PACT]]="",VLOOKUP(IntComp[[#This Row],[DEVELOPMENT]],Data[],10,FALSE),IF(IntComp[[#This Row],[RAD/PACT by 2025]]="yes",0,VLOOKUP(IntComp[[#This Row],[DEVELOPMENT]],Data[],10,FALSE)))</f>
        <v>0</v>
      </c>
      <c r="L112" s="63">
        <f ca="1">IF(IntComp[[#This Row],[RAD/PACT by 2025]]="Yes",0,(IntComp[[#This Row],['# Int. Compactors to Replace]]*'Unit Costs'!$B$8)*(1+((IntComp[[#This Row],[est. Year]]-YEAR(TODAY()))*$L$2)))</f>
        <v>0</v>
      </c>
      <c r="M112" s="67">
        <f>SUM(INDEX(IntComp['# to Replace],1):IntComp[[#This Row],['# to Replace]])</f>
        <v>0</v>
      </c>
      <c r="N112" s="67">
        <f>ROUNDDOWN(IntComp[[#This Row],[Count]]/100,0)+$N$1</f>
        <v>2020</v>
      </c>
      <c r="O112" s="86">
        <f t="shared" ca="1" si="1"/>
        <v>42424355.232000016</v>
      </c>
      <c r="P112"/>
    </row>
    <row r="113" spans="1:16" x14ac:dyDescent="0.25">
      <c r="A113" s="13" t="s">
        <v>230</v>
      </c>
      <c r="B113" s="9" t="str">
        <f>VLOOKUP(A113,Data[],2,FALSE)</f>
        <v>BROOKLYN</v>
      </c>
      <c r="C113" s="9" t="s">
        <v>106</v>
      </c>
      <c r="D113" s="9">
        <f>VLOOKUP(IntComp[[#This Row],[DEVELOPMENT]],Data[],31,FALSE)</f>
        <v>3</v>
      </c>
      <c r="E113" s="66">
        <f>VLOOKUP(IntComp[[#This Row],[DEVELOPMENT]],Data[],8,FALSE)</f>
        <v>0</v>
      </c>
      <c r="F113" s="66">
        <f>VLOOKUP(IntComp[[#This Row],[DEVELOPMENT]],Data[],9,FALSE)</f>
        <v>0</v>
      </c>
      <c r="G113" s="66"/>
      <c r="H113" s="66">
        <f>IFERROR(VLOOKUP(IntComp[[#This Row],[DEVELOPMENT]],Data[],4,FALSE),"")</f>
        <v>2026</v>
      </c>
      <c r="I113" s="66" t="str">
        <f>IF(IntComp[[#This Row],[RAD/PACT]]="","",IF(IntComp[[#This Row],[RAD/PACT]]&lt;=2025,"Yes",""))</f>
        <v/>
      </c>
      <c r="J113" s="67" t="str">
        <f ca="1">IF(VLOOKUP(IntComp[[#This Row],[DEVELOPMENT]],Data[],10,FALSE)=0,"",DATEDIF(VLOOKUP(IntComp[[#This Row],[DEVELOPMENT]],Data[],12,FALSE),TODAY(),"Y"))</f>
        <v/>
      </c>
      <c r="K113" s="67">
        <f>IF(IntComp[[#This Row],[RAD/PACT]]="",VLOOKUP(IntComp[[#This Row],[DEVELOPMENT]],Data[],10,FALSE),IF(IntComp[[#This Row],[RAD/PACT by 2025]]="yes",0,VLOOKUP(IntComp[[#This Row],[DEVELOPMENT]],Data[],10,FALSE)))</f>
        <v>0</v>
      </c>
      <c r="L113" s="63">
        <f ca="1">IF(IntComp[[#This Row],[RAD/PACT by 2025]]="Yes",0,(IntComp[[#This Row],['# Int. Compactors to Replace]]*'Unit Costs'!$B$8)*(1+((IntComp[[#This Row],[est. Year]]-YEAR(TODAY()))*$L$2)))</f>
        <v>220960.18349999996</v>
      </c>
      <c r="M113" s="67">
        <f>SUM(INDEX(IntComp['# to Replace],1):IntComp[[#This Row],['# to Replace]])</f>
        <v>0</v>
      </c>
      <c r="N113" s="67">
        <f>ROUNDDOWN(IntComp[[#This Row],[Count]]/100,0)+$N$1</f>
        <v>2020</v>
      </c>
      <c r="O113" s="86">
        <f t="shared" ca="1" si="1"/>
        <v>42645315.415500015</v>
      </c>
      <c r="P113"/>
    </row>
    <row r="114" spans="1:16" x14ac:dyDescent="0.25">
      <c r="A114" s="84" t="s">
        <v>231</v>
      </c>
      <c r="B114" s="1" t="str">
        <f>VLOOKUP(A114,Data[],2,FALSE)</f>
        <v>MANHATTAN</v>
      </c>
      <c r="C114" s="9" t="s">
        <v>106</v>
      </c>
      <c r="D114" s="9">
        <f>VLOOKUP(IntComp[[#This Row],[DEVELOPMENT]],Data[],31,FALSE)</f>
        <v>8</v>
      </c>
      <c r="E114" s="9" t="str">
        <f>VLOOKUP(IntComp[[#This Row],[DEVELOPMENT]],Data[],8,FALSE)</f>
        <v>Zone 1</v>
      </c>
      <c r="F114" s="9" t="str">
        <f>VLOOKUP(IntComp[[#This Row],[DEVELOPMENT]],Data[],9,FALSE)</f>
        <v>$</v>
      </c>
      <c r="G114" s="9"/>
      <c r="H114" s="9">
        <f>IFERROR(VLOOKUP(IntComp[[#This Row],[DEVELOPMENT]],Data[],4,FALSE),"")</f>
        <v>2026</v>
      </c>
      <c r="I114" s="9" t="str">
        <f>IF(IntComp[[#This Row],[RAD/PACT]]="","",IF(IntComp[[#This Row],[RAD/PACT]]&lt;=2025,"Yes",""))</f>
        <v/>
      </c>
      <c r="J114" s="1" t="str">
        <f ca="1">IF(VLOOKUP(IntComp[[#This Row],[DEVELOPMENT]],Data[],10,FALSE)=0,"",DATEDIF(VLOOKUP(IntComp[[#This Row],[DEVELOPMENT]],Data[],12,FALSE),TODAY(),"Y"))</f>
        <v/>
      </c>
      <c r="K114" s="1">
        <f>IF(IntComp[[#This Row],[RAD/PACT]]="",VLOOKUP(IntComp[[#This Row],[DEVELOPMENT]],Data[],10,FALSE),IF(IntComp[[#This Row],[RAD/PACT by 2025]]="yes",0,VLOOKUP(IntComp[[#This Row],[DEVELOPMENT]],Data[],10,FALSE)))</f>
        <v>0</v>
      </c>
      <c r="L114" s="63">
        <f ca="1">IF(IntComp[[#This Row],[RAD/PACT by 2025]]="Yes",0,(IntComp[[#This Row],['# Int. Compactors to Replace]]*'Unit Costs'!$B$8)*(1+((IntComp[[#This Row],[est. Year]]-YEAR(TODAY()))*$L$2)))</f>
        <v>589227.15599999996</v>
      </c>
      <c r="M114" s="1">
        <f>SUM(INDEX(IntComp['# to Replace],1):IntComp[[#This Row],['# to Replace]])</f>
        <v>0</v>
      </c>
      <c r="N114" s="1">
        <f>ROUNDDOWN(IntComp[[#This Row],[Count]]/100,0)+$N$1</f>
        <v>2020</v>
      </c>
      <c r="O114" s="81">
        <f t="shared" ca="1" si="1"/>
        <v>43234542.571500018</v>
      </c>
      <c r="P114"/>
    </row>
    <row r="115" spans="1:16" x14ac:dyDescent="0.25">
      <c r="A115" s="13" t="s">
        <v>232</v>
      </c>
      <c r="B115" s="9" t="str">
        <f>VLOOKUP(A115,Data[],2,FALSE)</f>
        <v>BRONX</v>
      </c>
      <c r="C115" s="9" t="s">
        <v>106</v>
      </c>
      <c r="D115" s="9">
        <f>VLOOKUP(IntComp[[#This Row],[DEVELOPMENT]],Data[],31,FALSE)</f>
        <v>15</v>
      </c>
      <c r="E115" s="66" t="str">
        <f>VLOOKUP(IntComp[[#This Row],[DEVELOPMENT]],Data[],8,FALSE)</f>
        <v>Zone 4</v>
      </c>
      <c r="F115" s="66">
        <f>VLOOKUP(IntComp[[#This Row],[DEVELOPMENT]],Data[],9,FALSE)</f>
        <v>0</v>
      </c>
      <c r="G115" s="66"/>
      <c r="H115" s="66" t="str">
        <f>IFERROR(VLOOKUP(IntComp[[#This Row],[DEVELOPMENT]],Data[],4,FALSE),"")</f>
        <v/>
      </c>
      <c r="I115" s="66" t="str">
        <f>IF(IntComp[[#This Row],[RAD/PACT]]="","",IF(IntComp[[#This Row],[RAD/PACT]]&lt;=2025,"Yes",""))</f>
        <v/>
      </c>
      <c r="J115" s="67" t="str">
        <f ca="1">IF(VLOOKUP(IntComp[[#This Row],[DEVELOPMENT]],Data[],10,FALSE)=0,"",DATEDIF(VLOOKUP(IntComp[[#This Row],[DEVELOPMENT]],Data[],12,FALSE),TODAY(),"Y"))</f>
        <v/>
      </c>
      <c r="K115" s="67">
        <f>IF(IntComp[[#This Row],[RAD/PACT]]="",VLOOKUP(IntComp[[#This Row],[DEVELOPMENT]],Data[],10,FALSE),IF(IntComp[[#This Row],[RAD/PACT by 2025]]="yes",0,VLOOKUP(IntComp[[#This Row],[DEVELOPMENT]],Data[],10,FALSE)))</f>
        <v>0</v>
      </c>
      <c r="L115" s="63">
        <f ca="1">IF(IntComp[[#This Row],[RAD/PACT by 2025]]="Yes",0,(IntComp[[#This Row],['# Int. Compactors to Replace]]*'Unit Costs'!$B$8)*(1+((IntComp[[#This Row],[est. Year]]-YEAR(TODAY()))*$L$2)))</f>
        <v>1104800.9175</v>
      </c>
      <c r="M115" s="67">
        <f>SUM(INDEX(IntComp['# to Replace],1):IntComp[[#This Row],['# to Replace]])</f>
        <v>0</v>
      </c>
      <c r="N115" s="67">
        <f>ROUNDDOWN(IntComp[[#This Row],[Count]]/100,0)+$N$1</f>
        <v>2020</v>
      </c>
      <c r="O115" s="86">
        <f t="shared" ca="1" si="1"/>
        <v>44339343.489000015</v>
      </c>
      <c r="P115"/>
    </row>
    <row r="116" spans="1:16" x14ac:dyDescent="0.25">
      <c r="A116" s="13" t="s">
        <v>233</v>
      </c>
      <c r="B116" s="9" t="str">
        <f>VLOOKUP(A116,Data[],2,FALSE)</f>
        <v>BRONX</v>
      </c>
      <c r="C116" s="9" t="s">
        <v>106</v>
      </c>
      <c r="D116" s="9">
        <f>VLOOKUP(IntComp[[#This Row],[DEVELOPMENT]],Data[],31,FALSE)</f>
        <v>2</v>
      </c>
      <c r="E116" s="66">
        <f>VLOOKUP(IntComp[[#This Row],[DEVELOPMENT]],Data[],8,FALSE)</f>
        <v>0</v>
      </c>
      <c r="F116" s="66">
        <f>VLOOKUP(IntComp[[#This Row],[DEVELOPMENT]],Data[],9,FALSE)</f>
        <v>0</v>
      </c>
      <c r="G116" s="66"/>
      <c r="H116" s="66" t="str">
        <f>IFERROR(VLOOKUP(IntComp[[#This Row],[DEVELOPMENT]],Data[],4,FALSE),"")</f>
        <v/>
      </c>
      <c r="I116" s="66" t="str">
        <f>IF(IntComp[[#This Row],[RAD/PACT]]="","",IF(IntComp[[#This Row],[RAD/PACT]]&lt;=2025,"Yes",""))</f>
        <v/>
      </c>
      <c r="J116" s="67" t="str">
        <f ca="1">IF(VLOOKUP(IntComp[[#This Row],[DEVELOPMENT]],Data[],10,FALSE)=0,"",DATEDIF(VLOOKUP(IntComp[[#This Row],[DEVELOPMENT]],Data[],12,FALSE),TODAY(),"Y"))</f>
        <v/>
      </c>
      <c r="K116" s="67">
        <f>IF(IntComp[[#This Row],[RAD/PACT]]="",VLOOKUP(IntComp[[#This Row],[DEVELOPMENT]],Data[],10,FALSE),IF(IntComp[[#This Row],[RAD/PACT by 2025]]="yes",0,VLOOKUP(IntComp[[#This Row],[DEVELOPMENT]],Data[],10,FALSE)))</f>
        <v>0</v>
      </c>
      <c r="L116" s="63">
        <f ca="1">IF(IntComp[[#This Row],[RAD/PACT by 2025]]="Yes",0,(IntComp[[#This Row],['# Int. Compactors to Replace]]*'Unit Costs'!$B$8)*(1+((IntComp[[#This Row],[est. Year]]-YEAR(TODAY()))*$L$2)))</f>
        <v>147306.78899999999</v>
      </c>
      <c r="M116" s="67">
        <f>SUM(INDEX(IntComp['# to Replace],1):IntComp[[#This Row],['# to Replace]])</f>
        <v>0</v>
      </c>
      <c r="N116" s="67">
        <f>ROUNDDOWN(IntComp[[#This Row],[Count]]/100,0)+$N$1</f>
        <v>2020</v>
      </c>
      <c r="O116" s="86">
        <f t="shared" ca="1" si="1"/>
        <v>44486650.278000012</v>
      </c>
      <c r="P116"/>
    </row>
    <row r="117" spans="1:16" x14ac:dyDescent="0.25">
      <c r="A117" s="13" t="s">
        <v>79</v>
      </c>
      <c r="B117" s="1" t="str">
        <f>VLOOKUP(A117,Data[],2,FALSE)</f>
        <v>MANHATTAN</v>
      </c>
      <c r="C117" s="9" t="s">
        <v>106</v>
      </c>
      <c r="D117" s="9">
        <f>VLOOKUP(IntComp[[#This Row],[DEVELOPMENT]],Data[],31,FALSE)</f>
        <v>2</v>
      </c>
      <c r="E117" s="9" t="str">
        <f>VLOOKUP(IntComp[[#This Row],[DEVELOPMENT]],Data[],8,FALSE)</f>
        <v>Zone 3</v>
      </c>
      <c r="F117" s="9" t="str">
        <f>VLOOKUP(IntComp[[#This Row],[DEVELOPMENT]],Data[],9,FALSE)</f>
        <v>$</v>
      </c>
      <c r="G117" s="9"/>
      <c r="H117" s="9">
        <f>IFERROR(VLOOKUP(IntComp[[#This Row],[DEVELOPMENT]],Data[],4,FALSE),"")</f>
        <v>2019</v>
      </c>
      <c r="I117" s="9" t="str">
        <f>IF(IntComp[[#This Row],[RAD/PACT]]="","",IF(IntComp[[#This Row],[RAD/PACT]]&lt;=2025,"Yes",""))</f>
        <v>Yes</v>
      </c>
      <c r="J117" s="1" t="str">
        <f ca="1">IF(VLOOKUP(IntComp[[#This Row],[DEVELOPMENT]],Data[],10,FALSE)=0,"",DATEDIF(VLOOKUP(IntComp[[#This Row],[DEVELOPMENT]],Data[],12,FALSE),TODAY(),"Y"))</f>
        <v/>
      </c>
      <c r="K117" s="1">
        <f>IF(IntComp[[#This Row],[RAD/PACT]]="",VLOOKUP(IntComp[[#This Row],[DEVELOPMENT]],Data[],10,FALSE),IF(IntComp[[#This Row],[RAD/PACT by 2025]]="yes",0,VLOOKUP(IntComp[[#This Row],[DEVELOPMENT]],Data[],10,FALSE)))</f>
        <v>0</v>
      </c>
      <c r="L117" s="63">
        <f ca="1">IF(IntComp[[#This Row],[RAD/PACT by 2025]]="Yes",0,(IntComp[[#This Row],['# Int. Compactors to Replace]]*'Unit Costs'!$B$8)*(1+((IntComp[[#This Row],[est. Year]]-YEAR(TODAY()))*$L$2)))</f>
        <v>0</v>
      </c>
      <c r="M117" s="1">
        <f>SUM(INDEX(IntComp['# to Replace],1):IntComp[[#This Row],['# to Replace]])</f>
        <v>0</v>
      </c>
      <c r="N117" s="1">
        <f>ROUNDDOWN(IntComp[[#This Row],[Count]]/100,0)+$N$1</f>
        <v>2020</v>
      </c>
      <c r="O117" s="81">
        <f t="shared" ca="1" si="1"/>
        <v>44486650.278000012</v>
      </c>
      <c r="P117"/>
    </row>
    <row r="118" spans="1:16" x14ac:dyDescent="0.25">
      <c r="A118" s="13" t="s">
        <v>111</v>
      </c>
      <c r="B118" s="1" t="str">
        <f>VLOOKUP(A118,Data[],2,FALSE)</f>
        <v>MANHATTAN</v>
      </c>
      <c r="C118" s="9" t="s">
        <v>106</v>
      </c>
      <c r="D118" s="9">
        <f>VLOOKUP(IntComp[[#This Row],[DEVELOPMENT]],Data[],31,FALSE)</f>
        <v>19</v>
      </c>
      <c r="E118" s="9" t="str">
        <f>VLOOKUP(IntComp[[#This Row],[DEVELOPMENT]],Data[],8,FALSE)</f>
        <v>Zone 3</v>
      </c>
      <c r="F118" s="9" t="str">
        <f>VLOOKUP(IntComp[[#This Row],[DEVELOPMENT]],Data[],9,FALSE)</f>
        <v>$</v>
      </c>
      <c r="G118" s="9"/>
      <c r="H118" s="9" t="str">
        <f>IFERROR(VLOOKUP(IntComp[[#This Row],[DEVELOPMENT]],Data[],4,FALSE),"")</f>
        <v/>
      </c>
      <c r="I118" s="9" t="str">
        <f>IF(IntComp[[#This Row],[RAD/PACT]]="","",IF(IntComp[[#This Row],[RAD/PACT]]&lt;=2025,"Yes",""))</f>
        <v/>
      </c>
      <c r="J118" s="1" t="str">
        <f ca="1">IF(VLOOKUP(IntComp[[#This Row],[DEVELOPMENT]],Data[],10,FALSE)=0,"",DATEDIF(VLOOKUP(IntComp[[#This Row],[DEVELOPMENT]],Data[],12,FALSE),TODAY(),"Y"))</f>
        <v/>
      </c>
      <c r="K118" s="1">
        <f>IF(IntComp[[#This Row],[RAD/PACT]]="",VLOOKUP(IntComp[[#This Row],[DEVELOPMENT]],Data[],10,FALSE),IF(IntComp[[#This Row],[RAD/PACT by 2025]]="yes",0,VLOOKUP(IntComp[[#This Row],[DEVELOPMENT]],Data[],10,FALSE)))</f>
        <v>0</v>
      </c>
      <c r="L118" s="63">
        <f ca="1">IF(IntComp[[#This Row],[RAD/PACT by 2025]]="Yes",0,(IntComp[[#This Row],['# Int. Compactors to Replace]]*'Unit Costs'!$B$8)*(1+((IntComp[[#This Row],[est. Year]]-YEAR(TODAY()))*$L$2)))</f>
        <v>1399414.4955</v>
      </c>
      <c r="M118" s="1">
        <f>SUM(INDEX(IntComp['# to Replace],1):IntComp[[#This Row],['# to Replace]])</f>
        <v>0</v>
      </c>
      <c r="N118" s="1">
        <f>ROUNDDOWN(IntComp[[#This Row],[Count]]/100,0)+$N$1</f>
        <v>2020</v>
      </c>
      <c r="O118" s="81">
        <f t="shared" ca="1" si="1"/>
        <v>45886064.77350001</v>
      </c>
      <c r="P118"/>
    </row>
    <row r="119" spans="1:16" x14ac:dyDescent="0.25">
      <c r="A119" s="13" t="s">
        <v>234</v>
      </c>
      <c r="B119" s="9" t="str">
        <f>VLOOKUP(A119,Data[],2,FALSE)</f>
        <v>BROOKLYN</v>
      </c>
      <c r="C119" s="9" t="s">
        <v>106</v>
      </c>
      <c r="D119" s="9">
        <f>VLOOKUP(IntComp[[#This Row],[DEVELOPMENT]],Data[],31,FALSE)</f>
        <v>5</v>
      </c>
      <c r="E119" s="66">
        <f>VLOOKUP(IntComp[[#This Row],[DEVELOPMENT]],Data[],8,FALSE)</f>
        <v>0</v>
      </c>
      <c r="F119" s="66">
        <f>VLOOKUP(IntComp[[#This Row],[DEVELOPMENT]],Data[],9,FALSE)</f>
        <v>0</v>
      </c>
      <c r="G119" s="66"/>
      <c r="H119" s="66" t="str">
        <f>IFERROR(VLOOKUP(IntComp[[#This Row],[DEVELOPMENT]],Data[],4,FALSE),"")</f>
        <v/>
      </c>
      <c r="I119" s="66" t="str">
        <f>IF(IntComp[[#This Row],[RAD/PACT]]="","",IF(IntComp[[#This Row],[RAD/PACT]]&lt;=2025,"Yes",""))</f>
        <v/>
      </c>
      <c r="J119" s="67" t="str">
        <f ca="1">IF(VLOOKUP(IntComp[[#This Row],[DEVELOPMENT]],Data[],10,FALSE)=0,"",DATEDIF(VLOOKUP(IntComp[[#This Row],[DEVELOPMENT]],Data[],12,FALSE),TODAY(),"Y"))</f>
        <v/>
      </c>
      <c r="K119" s="67">
        <f>IF(IntComp[[#This Row],[RAD/PACT]]="",VLOOKUP(IntComp[[#This Row],[DEVELOPMENT]],Data[],10,FALSE),IF(IntComp[[#This Row],[RAD/PACT by 2025]]="yes",0,VLOOKUP(IntComp[[#This Row],[DEVELOPMENT]],Data[],10,FALSE)))</f>
        <v>0</v>
      </c>
      <c r="L119" s="63">
        <f ca="1">IF(IntComp[[#This Row],[RAD/PACT by 2025]]="Yes",0,(IntComp[[#This Row],['# Int. Compactors to Replace]]*'Unit Costs'!$B$8)*(1+((IntComp[[#This Row],[est. Year]]-YEAR(TODAY()))*$L$2)))</f>
        <v>368266.97249999997</v>
      </c>
      <c r="M119" s="67">
        <f>SUM(INDEX(IntComp['# to Replace],1):IntComp[[#This Row],['# to Replace]])</f>
        <v>0</v>
      </c>
      <c r="N119" s="67">
        <f>ROUNDDOWN(IntComp[[#This Row],[Count]]/100,0)+$N$1</f>
        <v>2020</v>
      </c>
      <c r="O119" s="86">
        <f t="shared" ca="1" si="1"/>
        <v>46254331.746000007</v>
      </c>
      <c r="P119"/>
    </row>
    <row r="120" spans="1:16" x14ac:dyDescent="0.25">
      <c r="A120" s="13" t="s">
        <v>235</v>
      </c>
      <c r="B120" s="9" t="str">
        <f>VLOOKUP(A120,Data[],2,FALSE)</f>
        <v>BRONX</v>
      </c>
      <c r="C120" s="9" t="s">
        <v>106</v>
      </c>
      <c r="D120" s="9">
        <f>VLOOKUP(IntComp[[#This Row],[DEVELOPMENT]],Data[],31,FALSE)</f>
        <v>2</v>
      </c>
      <c r="E120" s="66">
        <f>VLOOKUP(IntComp[[#This Row],[DEVELOPMENT]],Data[],8,FALSE)</f>
        <v>0</v>
      </c>
      <c r="F120" s="66">
        <f>VLOOKUP(IntComp[[#This Row],[DEVELOPMENT]],Data[],9,FALSE)</f>
        <v>0</v>
      </c>
      <c r="G120" s="66"/>
      <c r="H120" s="66">
        <f>IFERROR(VLOOKUP(IntComp[[#This Row],[DEVELOPMENT]],Data[],4,FALSE),"")</f>
        <v>2021</v>
      </c>
      <c r="I120" s="66" t="str">
        <f>IF(IntComp[[#This Row],[RAD/PACT]]="","",IF(IntComp[[#This Row],[RAD/PACT]]&lt;=2025,"Yes",""))</f>
        <v>Yes</v>
      </c>
      <c r="J120" s="67" t="str">
        <f ca="1">IF(VLOOKUP(IntComp[[#This Row],[DEVELOPMENT]],Data[],10,FALSE)=0,"",DATEDIF(VLOOKUP(IntComp[[#This Row],[DEVELOPMENT]],Data[],12,FALSE),TODAY(),"Y"))</f>
        <v/>
      </c>
      <c r="K120" s="67">
        <f>IF(IntComp[[#This Row],[RAD/PACT]]="",VLOOKUP(IntComp[[#This Row],[DEVELOPMENT]],Data[],10,FALSE),IF(IntComp[[#This Row],[RAD/PACT by 2025]]="yes",0,VLOOKUP(IntComp[[#This Row],[DEVELOPMENT]],Data[],10,FALSE)))</f>
        <v>0</v>
      </c>
      <c r="L120" s="63">
        <f ca="1">IF(IntComp[[#This Row],[RAD/PACT by 2025]]="Yes",0,(IntComp[[#This Row],['# Int. Compactors to Replace]]*'Unit Costs'!$B$8)*(1+((IntComp[[#This Row],[est. Year]]-YEAR(TODAY()))*$L$2)))</f>
        <v>0</v>
      </c>
      <c r="M120" s="67">
        <f>SUM(INDEX(IntComp['# to Replace],1):IntComp[[#This Row],['# to Replace]])</f>
        <v>0</v>
      </c>
      <c r="N120" s="67">
        <f>ROUNDDOWN(IntComp[[#This Row],[Count]]/100,0)+$N$1</f>
        <v>2020</v>
      </c>
      <c r="O120" s="86">
        <f t="shared" ca="1" si="1"/>
        <v>46254331.746000007</v>
      </c>
      <c r="P120"/>
    </row>
    <row r="121" spans="1:16" x14ac:dyDescent="0.25">
      <c r="A121" s="13" t="s">
        <v>236</v>
      </c>
      <c r="B121" s="9" t="str">
        <f>VLOOKUP(A121,Data[],2,FALSE)</f>
        <v>BROOKLYN</v>
      </c>
      <c r="C121" s="9" t="s">
        <v>106</v>
      </c>
      <c r="D121" s="9">
        <f>VLOOKUP(IntComp[[#This Row],[DEVELOPMENT]],Data[],31,FALSE)</f>
        <v>4</v>
      </c>
      <c r="E121" s="66">
        <f>VLOOKUP(IntComp[[#This Row],[DEVELOPMENT]],Data[],8,FALSE)</f>
        <v>0</v>
      </c>
      <c r="F121" s="66">
        <f>VLOOKUP(IntComp[[#This Row],[DEVELOPMENT]],Data[],9,FALSE)</f>
        <v>0</v>
      </c>
      <c r="G121" s="66"/>
      <c r="H121" s="66" t="str">
        <f>IFERROR(VLOOKUP(IntComp[[#This Row],[DEVELOPMENT]],Data[],4,FALSE),"")</f>
        <v/>
      </c>
      <c r="I121" s="66" t="str">
        <f>IF(IntComp[[#This Row],[RAD/PACT]]="","",IF(IntComp[[#This Row],[RAD/PACT]]&lt;=2025,"Yes",""))</f>
        <v/>
      </c>
      <c r="J121" s="67" t="str">
        <f ca="1">IF(VLOOKUP(IntComp[[#This Row],[DEVELOPMENT]],Data[],10,FALSE)=0,"",DATEDIF(VLOOKUP(IntComp[[#This Row],[DEVELOPMENT]],Data[],12,FALSE),TODAY(),"Y"))</f>
        <v/>
      </c>
      <c r="K121" s="67">
        <f>IF(IntComp[[#This Row],[RAD/PACT]]="",VLOOKUP(IntComp[[#This Row],[DEVELOPMENT]],Data[],10,FALSE),IF(IntComp[[#This Row],[RAD/PACT by 2025]]="yes",0,VLOOKUP(IntComp[[#This Row],[DEVELOPMENT]],Data[],10,FALSE)))</f>
        <v>0</v>
      </c>
      <c r="L121" s="63">
        <f ca="1">IF(IntComp[[#This Row],[RAD/PACT by 2025]]="Yes",0,(IntComp[[#This Row],['# Int. Compactors to Replace]]*'Unit Costs'!$B$8)*(1+((IntComp[[#This Row],[est. Year]]-YEAR(TODAY()))*$L$2)))</f>
        <v>294613.57799999998</v>
      </c>
      <c r="M121" s="67">
        <f>SUM(INDEX(IntComp['# to Replace],1):IntComp[[#This Row],['# to Replace]])</f>
        <v>0</v>
      </c>
      <c r="N121" s="67">
        <f>ROUNDDOWN(IntComp[[#This Row],[Count]]/100,0)+$N$1</f>
        <v>2020</v>
      </c>
      <c r="O121" s="86">
        <f t="shared" ca="1" si="1"/>
        <v>46548945.324000008</v>
      </c>
    </row>
    <row r="122" spans="1:16" x14ac:dyDescent="0.25">
      <c r="A122" s="13" t="s">
        <v>237</v>
      </c>
      <c r="B122" s="9" t="str">
        <f>VLOOKUP(A122,Data[],2,FALSE)</f>
        <v>BROOKLYN</v>
      </c>
      <c r="C122" s="9" t="s">
        <v>106</v>
      </c>
      <c r="D122" s="9">
        <f>VLOOKUP(IntComp[[#This Row],[DEVELOPMENT]],Data[],31,FALSE)</f>
        <v>40</v>
      </c>
      <c r="E122" s="66">
        <f>VLOOKUP(IntComp[[#This Row],[DEVELOPMENT]],Data[],8,FALSE)</f>
        <v>0</v>
      </c>
      <c r="F122" s="66">
        <f>VLOOKUP(IntComp[[#This Row],[DEVELOPMENT]],Data[],9,FALSE)</f>
        <v>0</v>
      </c>
      <c r="G122" s="66"/>
      <c r="H122" s="66">
        <f>IFERROR(VLOOKUP(IntComp[[#This Row],[DEVELOPMENT]],Data[],4,FALSE),"")</f>
        <v>2028</v>
      </c>
      <c r="I122" s="66" t="str">
        <f>IF(IntComp[[#This Row],[RAD/PACT]]="","",IF(IntComp[[#This Row],[RAD/PACT]]&lt;=2025,"Yes",""))</f>
        <v/>
      </c>
      <c r="J122" s="67" t="str">
        <f ca="1">IF(VLOOKUP(IntComp[[#This Row],[DEVELOPMENT]],Data[],10,FALSE)=0,"",DATEDIF(VLOOKUP(IntComp[[#This Row],[DEVELOPMENT]],Data[],12,FALSE),TODAY(),"Y"))</f>
        <v/>
      </c>
      <c r="K122" s="67">
        <f>IF(IntComp[[#This Row],[RAD/PACT]]="",VLOOKUP(IntComp[[#This Row],[DEVELOPMENT]],Data[],10,FALSE),IF(IntComp[[#This Row],[RAD/PACT by 2025]]="yes",0,VLOOKUP(IntComp[[#This Row],[DEVELOPMENT]],Data[],10,FALSE)))</f>
        <v>0</v>
      </c>
      <c r="L122" s="63">
        <f ca="1">IF(IntComp[[#This Row],[RAD/PACT by 2025]]="Yes",0,(IntComp[[#This Row],['# Int. Compactors to Replace]]*'Unit Costs'!$B$8)*(1+((IntComp[[#This Row],[est. Year]]-YEAR(TODAY()))*$L$2)))</f>
        <v>2946135.78</v>
      </c>
      <c r="M122" s="67">
        <f>SUM(INDEX(IntComp['# to Replace],1):IntComp[[#This Row],['# to Replace]])</f>
        <v>0</v>
      </c>
      <c r="N122" s="67">
        <f>ROUNDDOWN(IntComp[[#This Row],[Count]]/100,0)+$N$1</f>
        <v>2020</v>
      </c>
      <c r="O122" s="86">
        <f t="shared" ca="1" si="1"/>
        <v>49495081.10400001</v>
      </c>
    </row>
    <row r="123" spans="1:16" x14ac:dyDescent="0.25">
      <c r="A123" s="82" t="s">
        <v>61</v>
      </c>
      <c r="B123" s="1" t="str">
        <f>VLOOKUP(A123,Data[],2,FALSE)</f>
        <v>MANHATTAN</v>
      </c>
      <c r="C123" s="9" t="s">
        <v>106</v>
      </c>
      <c r="D123" s="9">
        <f>VLOOKUP(IntComp[[#This Row],[DEVELOPMENT]],Data[],31,FALSE)</f>
        <v>4</v>
      </c>
      <c r="E123" s="9" t="str">
        <f>VLOOKUP(IntComp[[#This Row],[DEVELOPMENT]],Data[],8,FALSE)</f>
        <v>Zone 1</v>
      </c>
      <c r="F123" s="9" t="str">
        <f>VLOOKUP(IntComp[[#This Row],[DEVELOPMENT]],Data[],9,FALSE)</f>
        <v>$</v>
      </c>
      <c r="G123" s="9"/>
      <c r="H123" s="9" t="str">
        <f>IFERROR(VLOOKUP(IntComp[[#This Row],[DEVELOPMENT]],Data[],4,FALSE),"")</f>
        <v/>
      </c>
      <c r="I123" s="9" t="str">
        <f>IF(IntComp[[#This Row],[RAD/PACT]]="","",IF(IntComp[[#This Row],[RAD/PACT]]&lt;=2025,"Yes",""))</f>
        <v/>
      </c>
      <c r="J123" s="1" t="str">
        <f ca="1">IF(VLOOKUP(IntComp[[#This Row],[DEVELOPMENT]],Data[],10,FALSE)=0,"",DATEDIF(VLOOKUP(IntComp[[#This Row],[DEVELOPMENT]],Data[],12,FALSE),TODAY(),"Y"))</f>
        <v/>
      </c>
      <c r="K123" s="1">
        <f>IF(IntComp[[#This Row],[RAD/PACT]]="",VLOOKUP(IntComp[[#This Row],[DEVELOPMENT]],Data[],10,FALSE),IF(IntComp[[#This Row],[RAD/PACT by 2025]]="yes",0,VLOOKUP(IntComp[[#This Row],[DEVELOPMENT]],Data[],10,FALSE)))</f>
        <v>0</v>
      </c>
      <c r="L123" s="63">
        <f ca="1">IF(IntComp[[#This Row],[RAD/PACT by 2025]]="Yes",0,(IntComp[[#This Row],['# Int. Compactors to Replace]]*'Unit Costs'!$B$8)*(1+((IntComp[[#This Row],[est. Year]]-YEAR(TODAY()))*$L$2)))</f>
        <v>294613.57799999998</v>
      </c>
      <c r="M123" s="1">
        <f>SUM(INDEX(IntComp['# to Replace],1):IntComp[[#This Row],['# to Replace]])</f>
        <v>0</v>
      </c>
      <c r="N123" s="1">
        <f>ROUNDDOWN(IntComp[[#This Row],[Count]]/100,0)+$N$1</f>
        <v>2020</v>
      </c>
      <c r="O123" s="81">
        <f t="shared" ca="1" si="1"/>
        <v>49789694.682000011</v>
      </c>
    </row>
    <row r="124" spans="1:16" x14ac:dyDescent="0.25">
      <c r="A124" s="13" t="s">
        <v>238</v>
      </c>
      <c r="B124" s="9" t="str">
        <f>VLOOKUP(A124,Data[],2,FALSE)</f>
        <v>BROOKLYN</v>
      </c>
      <c r="C124" s="9" t="s">
        <v>106</v>
      </c>
      <c r="D124" s="9">
        <f>VLOOKUP(IntComp[[#This Row],[DEVELOPMENT]],Data[],31,FALSE)</f>
        <v>24</v>
      </c>
      <c r="E124" s="66">
        <f>VLOOKUP(IntComp[[#This Row],[DEVELOPMENT]],Data[],8,FALSE)</f>
        <v>0</v>
      </c>
      <c r="F124" s="66">
        <f>VLOOKUP(IntComp[[#This Row],[DEVELOPMENT]],Data[],9,FALSE)</f>
        <v>0</v>
      </c>
      <c r="G124" s="66"/>
      <c r="H124" s="66" t="str">
        <f>IFERROR(VLOOKUP(IntComp[[#This Row],[DEVELOPMENT]],Data[],4,FALSE),"")</f>
        <v/>
      </c>
      <c r="I124" s="66" t="str">
        <f>IF(IntComp[[#This Row],[RAD/PACT]]="","",IF(IntComp[[#This Row],[RAD/PACT]]&lt;=2025,"Yes",""))</f>
        <v/>
      </c>
      <c r="J124" s="67" t="str">
        <f ca="1">IF(VLOOKUP(IntComp[[#This Row],[DEVELOPMENT]],Data[],10,FALSE)=0,"",DATEDIF(VLOOKUP(IntComp[[#This Row],[DEVELOPMENT]],Data[],12,FALSE),TODAY(),"Y"))</f>
        <v/>
      </c>
      <c r="K124" s="67">
        <f>IF(IntComp[[#This Row],[RAD/PACT]]="",VLOOKUP(IntComp[[#This Row],[DEVELOPMENT]],Data[],10,FALSE),IF(IntComp[[#This Row],[RAD/PACT by 2025]]="yes",0,VLOOKUP(IntComp[[#This Row],[DEVELOPMENT]],Data[],10,FALSE)))</f>
        <v>0</v>
      </c>
      <c r="L124" s="63">
        <f ca="1">IF(IntComp[[#This Row],[RAD/PACT by 2025]]="Yes",0,(IntComp[[#This Row],['# Int. Compactors to Replace]]*'Unit Costs'!$B$8)*(1+((IntComp[[#This Row],[est. Year]]-YEAR(TODAY()))*$L$2)))</f>
        <v>1767681.4679999996</v>
      </c>
      <c r="M124" s="67">
        <f>SUM(INDEX(IntComp['# to Replace],1):IntComp[[#This Row],['# to Replace]])</f>
        <v>0</v>
      </c>
      <c r="N124" s="67">
        <f>ROUNDDOWN(IntComp[[#This Row],[Count]]/100,0)+$N$1</f>
        <v>2020</v>
      </c>
      <c r="O124" s="86">
        <f t="shared" ca="1" si="1"/>
        <v>51557376.150000013</v>
      </c>
    </row>
    <row r="125" spans="1:16" x14ac:dyDescent="0.25">
      <c r="A125" s="13" t="s">
        <v>80</v>
      </c>
      <c r="B125" s="1" t="str">
        <f>VLOOKUP(A125,Data[],2,FALSE)</f>
        <v>MANHATTAN</v>
      </c>
      <c r="C125" s="9" t="s">
        <v>106</v>
      </c>
      <c r="D125" s="9">
        <f>VLOOKUP(IntComp[[#This Row],[DEVELOPMENT]],Data[],31,FALSE)</f>
        <v>1</v>
      </c>
      <c r="E125" s="9" t="str">
        <f>VLOOKUP(IntComp[[#This Row],[DEVELOPMENT]],Data[],8,FALSE)</f>
        <v>Zone 3</v>
      </c>
      <c r="F125" s="9" t="str">
        <f>VLOOKUP(IntComp[[#This Row],[DEVELOPMENT]],Data[],9,FALSE)</f>
        <v>$</v>
      </c>
      <c r="G125" s="9"/>
      <c r="H125" s="9">
        <f>IFERROR(VLOOKUP(IntComp[[#This Row],[DEVELOPMENT]],Data[],4,FALSE),"")</f>
        <v>2019</v>
      </c>
      <c r="I125" s="9" t="str">
        <f>IF(IntComp[[#This Row],[RAD/PACT]]="","",IF(IntComp[[#This Row],[RAD/PACT]]&lt;=2025,"Yes",""))</f>
        <v>Yes</v>
      </c>
      <c r="J125" s="1" t="str">
        <f ca="1">IF(VLOOKUP(IntComp[[#This Row],[DEVELOPMENT]],Data[],10,FALSE)=0,"",DATEDIF(VLOOKUP(IntComp[[#This Row],[DEVELOPMENT]],Data[],12,FALSE),TODAY(),"Y"))</f>
        <v/>
      </c>
      <c r="K125" s="1">
        <f>IF(IntComp[[#This Row],[RAD/PACT]]="",VLOOKUP(IntComp[[#This Row],[DEVELOPMENT]],Data[],10,FALSE),IF(IntComp[[#This Row],[RAD/PACT by 2025]]="yes",0,VLOOKUP(IntComp[[#This Row],[DEVELOPMENT]],Data[],10,FALSE)))</f>
        <v>0</v>
      </c>
      <c r="L125" s="63">
        <f ca="1">IF(IntComp[[#This Row],[RAD/PACT by 2025]]="Yes",0,(IntComp[[#This Row],['# Int. Compactors to Replace]]*'Unit Costs'!$B$8)*(1+((IntComp[[#This Row],[est. Year]]-YEAR(TODAY()))*$L$2)))</f>
        <v>0</v>
      </c>
      <c r="M125" s="1">
        <f>SUM(INDEX(IntComp['# to Replace],1):IntComp[[#This Row],['# to Replace]])</f>
        <v>0</v>
      </c>
      <c r="N125" s="1">
        <f>ROUNDDOWN(IntComp[[#This Row],[Count]]/100,0)+$N$1</f>
        <v>2020</v>
      </c>
      <c r="O125" s="81">
        <f t="shared" ca="1" si="1"/>
        <v>51557376.150000013</v>
      </c>
    </row>
    <row r="126" spans="1:16" x14ac:dyDescent="0.25">
      <c r="A126" s="13" t="s">
        <v>81</v>
      </c>
      <c r="B126" s="1" t="str">
        <f>VLOOKUP(A126,Data[],2,FALSE)</f>
        <v>MANHATTAN</v>
      </c>
      <c r="C126" s="9" t="s">
        <v>106</v>
      </c>
      <c r="D126" s="9">
        <f>VLOOKUP(IntComp[[#This Row],[DEVELOPMENT]],Data[],31,FALSE)</f>
        <v>16</v>
      </c>
      <c r="E126" s="9" t="str">
        <f>VLOOKUP(IntComp[[#This Row],[DEVELOPMENT]],Data[],8,FALSE)</f>
        <v>Zone 2</v>
      </c>
      <c r="F126" s="9" t="str">
        <f>VLOOKUP(IntComp[[#This Row],[DEVELOPMENT]],Data[],9,FALSE)</f>
        <v>$$$$</v>
      </c>
      <c r="G126" s="9"/>
      <c r="H126" s="9" t="str">
        <f>IFERROR(VLOOKUP(IntComp[[#This Row],[DEVELOPMENT]],Data[],4,FALSE),"")</f>
        <v/>
      </c>
      <c r="I126" s="9" t="str">
        <f>IF(IntComp[[#This Row],[RAD/PACT]]="","",IF(IntComp[[#This Row],[RAD/PACT]]&lt;=2025,"Yes",""))</f>
        <v/>
      </c>
      <c r="J126" s="1" t="str">
        <f ca="1">IF(VLOOKUP(IntComp[[#This Row],[DEVELOPMENT]],Data[],10,FALSE)=0,"",DATEDIF(VLOOKUP(IntComp[[#This Row],[DEVELOPMENT]],Data[],12,FALSE),TODAY(),"Y"))</f>
        <v/>
      </c>
      <c r="K126" s="1">
        <f>IF(IntComp[[#This Row],[RAD/PACT]]="",VLOOKUP(IntComp[[#This Row],[DEVELOPMENT]],Data[],10,FALSE),IF(IntComp[[#This Row],[RAD/PACT by 2025]]="yes",0,VLOOKUP(IntComp[[#This Row],[DEVELOPMENT]],Data[],10,FALSE)))</f>
        <v>0</v>
      </c>
      <c r="L126" s="63">
        <f ca="1">IF(IntComp[[#This Row],[RAD/PACT by 2025]]="Yes",0,(IntComp[[#This Row],['# Int. Compactors to Replace]]*'Unit Costs'!$B$8)*(1+((IntComp[[#This Row],[est. Year]]-YEAR(TODAY()))*$L$2)))</f>
        <v>1178454.3119999999</v>
      </c>
      <c r="M126" s="1">
        <f>SUM(INDEX(IntComp['# to Replace],1):IntComp[[#This Row],['# to Replace]])</f>
        <v>0</v>
      </c>
      <c r="N126" s="1">
        <f>ROUNDDOWN(IntComp[[#This Row],[Count]]/100,0)+$N$1</f>
        <v>2020</v>
      </c>
      <c r="O126" s="81">
        <f t="shared" ca="1" si="1"/>
        <v>52735830.462000012</v>
      </c>
    </row>
    <row r="127" spans="1:16" x14ac:dyDescent="0.25">
      <c r="A127" s="13" t="s">
        <v>239</v>
      </c>
      <c r="B127" s="9" t="str">
        <f>VLOOKUP(A127,Data[],2,FALSE)</f>
        <v>BROOKLYN</v>
      </c>
      <c r="C127" s="9" t="s">
        <v>106</v>
      </c>
      <c r="D127" s="9">
        <f>VLOOKUP(IntComp[[#This Row],[DEVELOPMENT]],Data[],31,FALSE)</f>
        <v>2</v>
      </c>
      <c r="E127" s="66">
        <f>VLOOKUP(IntComp[[#This Row],[DEVELOPMENT]],Data[],8,FALSE)</f>
        <v>0</v>
      </c>
      <c r="F127" s="66">
        <f>VLOOKUP(IntComp[[#This Row],[DEVELOPMENT]],Data[],9,FALSE)</f>
        <v>0</v>
      </c>
      <c r="G127" s="66"/>
      <c r="H127" s="66" t="str">
        <f>IFERROR(VLOOKUP(IntComp[[#This Row],[DEVELOPMENT]],Data[],4,FALSE),"")</f>
        <v/>
      </c>
      <c r="I127" s="66" t="str">
        <f>IF(IntComp[[#This Row],[RAD/PACT]]="","",IF(IntComp[[#This Row],[RAD/PACT]]&lt;=2025,"Yes",""))</f>
        <v/>
      </c>
      <c r="J127" s="67" t="str">
        <f ca="1">IF(VLOOKUP(IntComp[[#This Row],[DEVELOPMENT]],Data[],10,FALSE)=0,"",DATEDIF(VLOOKUP(IntComp[[#This Row],[DEVELOPMENT]],Data[],12,FALSE),TODAY(),"Y"))</f>
        <v/>
      </c>
      <c r="K127" s="67">
        <f>IF(IntComp[[#This Row],[RAD/PACT]]="",VLOOKUP(IntComp[[#This Row],[DEVELOPMENT]],Data[],10,FALSE),IF(IntComp[[#This Row],[RAD/PACT by 2025]]="yes",0,VLOOKUP(IntComp[[#This Row],[DEVELOPMENT]],Data[],10,FALSE)))</f>
        <v>0</v>
      </c>
      <c r="L127" s="63">
        <f ca="1">IF(IntComp[[#This Row],[RAD/PACT by 2025]]="Yes",0,(IntComp[[#This Row],['# Int. Compactors to Replace]]*'Unit Costs'!$B$8)*(1+((IntComp[[#This Row],[est. Year]]-YEAR(TODAY()))*$L$2)))</f>
        <v>147306.78899999999</v>
      </c>
      <c r="M127" s="67">
        <f>SUM(INDEX(IntComp['# to Replace],1):IntComp[[#This Row],['# to Replace]])</f>
        <v>0</v>
      </c>
      <c r="N127" s="67">
        <f>ROUNDDOWN(IntComp[[#This Row],[Count]]/100,0)+$N$1</f>
        <v>2020</v>
      </c>
      <c r="O127" s="86">
        <f t="shared" ca="1" si="1"/>
        <v>52883137.251000009</v>
      </c>
    </row>
    <row r="128" spans="1:16" x14ac:dyDescent="0.25">
      <c r="A128" s="13" t="s">
        <v>240</v>
      </c>
      <c r="B128" s="9" t="str">
        <f>VLOOKUP(A128,Data[],2,FALSE)</f>
        <v>BRONX</v>
      </c>
      <c r="C128" s="9" t="s">
        <v>106</v>
      </c>
      <c r="D128" s="9">
        <f>VLOOKUP(IntComp[[#This Row],[DEVELOPMENT]],Data[],31,FALSE)</f>
        <v>6</v>
      </c>
      <c r="E128" s="66">
        <f>VLOOKUP(IntComp[[#This Row],[DEVELOPMENT]],Data[],8,FALSE)</f>
        <v>0</v>
      </c>
      <c r="F128" s="66">
        <f>VLOOKUP(IntComp[[#This Row],[DEVELOPMENT]],Data[],9,FALSE)</f>
        <v>0</v>
      </c>
      <c r="G128" s="66"/>
      <c r="H128" s="66" t="str">
        <f>IFERROR(VLOOKUP(IntComp[[#This Row],[DEVELOPMENT]],Data[],4,FALSE),"")</f>
        <v/>
      </c>
      <c r="I128" s="66" t="str">
        <f>IF(IntComp[[#This Row],[RAD/PACT]]="","",IF(IntComp[[#This Row],[RAD/PACT]]&lt;=2025,"Yes",""))</f>
        <v/>
      </c>
      <c r="J128" s="67" t="str">
        <f ca="1">IF(VLOOKUP(IntComp[[#This Row],[DEVELOPMENT]],Data[],10,FALSE)=0,"",DATEDIF(VLOOKUP(IntComp[[#This Row],[DEVELOPMENT]],Data[],12,FALSE),TODAY(),"Y"))</f>
        <v/>
      </c>
      <c r="K128" s="67">
        <f>IF(IntComp[[#This Row],[RAD/PACT]]="",VLOOKUP(IntComp[[#This Row],[DEVELOPMENT]],Data[],10,FALSE),IF(IntComp[[#This Row],[RAD/PACT by 2025]]="yes",0,VLOOKUP(IntComp[[#This Row],[DEVELOPMENT]],Data[],10,FALSE)))</f>
        <v>0</v>
      </c>
      <c r="L128" s="63">
        <f ca="1">IF(IntComp[[#This Row],[RAD/PACT by 2025]]="Yes",0,(IntComp[[#This Row],['# Int. Compactors to Replace]]*'Unit Costs'!$B$8)*(1+((IntComp[[#This Row],[est. Year]]-YEAR(TODAY()))*$L$2)))</f>
        <v>441920.36699999991</v>
      </c>
      <c r="M128" s="67">
        <f>SUM(INDEX(IntComp['# to Replace],1):IntComp[[#This Row],['# to Replace]])</f>
        <v>0</v>
      </c>
      <c r="N128" s="67">
        <f>ROUNDDOWN(IntComp[[#This Row],[Count]]/100,0)+$N$1</f>
        <v>2020</v>
      </c>
      <c r="O128" s="86">
        <f t="shared" ca="1" si="1"/>
        <v>53325057.618000008</v>
      </c>
    </row>
    <row r="129" spans="1:15" x14ac:dyDescent="0.25">
      <c r="A129" s="13" t="s">
        <v>241</v>
      </c>
      <c r="B129" s="9" t="str">
        <f>VLOOKUP(A129,Data[],2,FALSE)</f>
        <v>BROOKLYN</v>
      </c>
      <c r="C129" s="9" t="s">
        <v>106</v>
      </c>
      <c r="D129" s="9">
        <f>VLOOKUP(IntComp[[#This Row],[DEVELOPMENT]],Data[],31,FALSE)</f>
        <v>3</v>
      </c>
      <c r="E129" s="66">
        <f>VLOOKUP(IntComp[[#This Row],[DEVELOPMENT]],Data[],8,FALSE)</f>
        <v>0</v>
      </c>
      <c r="F129" s="66">
        <f>VLOOKUP(IntComp[[#This Row],[DEVELOPMENT]],Data[],9,FALSE)</f>
        <v>0</v>
      </c>
      <c r="G129" s="66"/>
      <c r="H129" s="66" t="str">
        <f>IFERROR(VLOOKUP(IntComp[[#This Row],[DEVELOPMENT]],Data[],4,FALSE),"")</f>
        <v/>
      </c>
      <c r="I129" s="66" t="str">
        <f>IF(IntComp[[#This Row],[RAD/PACT]]="","",IF(IntComp[[#This Row],[RAD/PACT]]&lt;=2025,"Yes",""))</f>
        <v/>
      </c>
      <c r="J129" s="67" t="str">
        <f ca="1">IF(VLOOKUP(IntComp[[#This Row],[DEVELOPMENT]],Data[],10,FALSE)=0,"",DATEDIF(VLOOKUP(IntComp[[#This Row],[DEVELOPMENT]],Data[],12,FALSE),TODAY(),"Y"))</f>
        <v/>
      </c>
      <c r="K129" s="67">
        <f>IF(IntComp[[#This Row],[RAD/PACT]]="",VLOOKUP(IntComp[[#This Row],[DEVELOPMENT]],Data[],10,FALSE),IF(IntComp[[#This Row],[RAD/PACT by 2025]]="yes",0,VLOOKUP(IntComp[[#This Row],[DEVELOPMENT]],Data[],10,FALSE)))</f>
        <v>0</v>
      </c>
      <c r="L129" s="63">
        <f ca="1">IF(IntComp[[#This Row],[RAD/PACT by 2025]]="Yes",0,(IntComp[[#This Row],['# Int. Compactors to Replace]]*'Unit Costs'!$B$8)*(1+((IntComp[[#This Row],[est. Year]]-YEAR(TODAY()))*$L$2)))</f>
        <v>220960.18349999996</v>
      </c>
      <c r="M129" s="67">
        <f>SUM(INDEX(IntComp['# to Replace],1):IntComp[[#This Row],['# to Replace]])</f>
        <v>0</v>
      </c>
      <c r="N129" s="67">
        <f>ROUNDDOWN(IntComp[[#This Row],[Count]]/100,0)+$N$1</f>
        <v>2020</v>
      </c>
      <c r="O129" s="86">
        <f t="shared" ca="1" si="1"/>
        <v>53546017.801500008</v>
      </c>
    </row>
    <row r="130" spans="1:15" x14ac:dyDescent="0.25">
      <c r="A130" s="13" t="s">
        <v>242</v>
      </c>
      <c r="B130" s="9" t="str">
        <f>VLOOKUP(A130,Data[],2,FALSE)</f>
        <v>QUEENS</v>
      </c>
      <c r="C130" s="9" t="s">
        <v>106</v>
      </c>
      <c r="D130" s="9">
        <f>VLOOKUP(IntComp[[#This Row],[DEVELOPMENT]],Data[],31,FALSE)</f>
        <v>14</v>
      </c>
      <c r="E130" s="66">
        <f>VLOOKUP(IntComp[[#This Row],[DEVELOPMENT]],Data[],8,FALSE)</f>
        <v>0</v>
      </c>
      <c r="F130" s="66">
        <f>VLOOKUP(IntComp[[#This Row],[DEVELOPMENT]],Data[],9,FALSE)</f>
        <v>0</v>
      </c>
      <c r="G130" s="66"/>
      <c r="H130" s="66" t="str">
        <f>IFERROR(VLOOKUP(IntComp[[#This Row],[DEVELOPMENT]],Data[],4,FALSE),"")</f>
        <v/>
      </c>
      <c r="I130" s="66" t="str">
        <f>IF(IntComp[[#This Row],[RAD/PACT]]="","",IF(IntComp[[#This Row],[RAD/PACT]]&lt;=2025,"Yes",""))</f>
        <v/>
      </c>
      <c r="J130" s="67" t="str">
        <f ca="1">IF(VLOOKUP(IntComp[[#This Row],[DEVELOPMENT]],Data[],10,FALSE)=0,"",DATEDIF(VLOOKUP(IntComp[[#This Row],[DEVELOPMENT]],Data[],12,FALSE),TODAY(),"Y"))</f>
        <v/>
      </c>
      <c r="K130" s="67">
        <f>IF(IntComp[[#This Row],[RAD/PACT]]="",VLOOKUP(IntComp[[#This Row],[DEVELOPMENT]],Data[],10,FALSE),IF(IntComp[[#This Row],[RAD/PACT by 2025]]="yes",0,VLOOKUP(IntComp[[#This Row],[DEVELOPMENT]],Data[],10,FALSE)))</f>
        <v>0</v>
      </c>
      <c r="L130" s="63">
        <f ca="1">IF(IntComp[[#This Row],[RAD/PACT by 2025]]="Yes",0,(IntComp[[#This Row],['# Int. Compactors to Replace]]*'Unit Costs'!$B$8)*(1+((IntComp[[#This Row],[est. Year]]-YEAR(TODAY()))*$L$2)))</f>
        <v>1031147.5229999998</v>
      </c>
      <c r="M130" s="67">
        <f>SUM(INDEX(IntComp['# to Replace],1):IntComp[[#This Row],['# to Replace]])</f>
        <v>0</v>
      </c>
      <c r="N130" s="67">
        <f>ROUNDDOWN(IntComp[[#This Row],[Count]]/100,0)+$N$1</f>
        <v>2020</v>
      </c>
      <c r="O130" s="86">
        <f t="shared" ca="1" si="1"/>
        <v>54577165.324500009</v>
      </c>
    </row>
    <row r="131" spans="1:15" x14ac:dyDescent="0.25">
      <c r="A131" s="13" t="s">
        <v>243</v>
      </c>
      <c r="B131" s="9" t="str">
        <f>VLOOKUP(A131,Data[],2,FALSE)</f>
        <v>MANHATTAN</v>
      </c>
      <c r="C131" s="9" t="s">
        <v>106</v>
      </c>
      <c r="D131" s="9">
        <f>VLOOKUP(IntComp[[#This Row],[DEVELOPMENT]],Data[],31,FALSE)</f>
        <v>2</v>
      </c>
      <c r="E131" s="66">
        <f>VLOOKUP(IntComp[[#This Row],[DEVELOPMENT]],Data[],8,FALSE)</f>
        <v>0</v>
      </c>
      <c r="F131" s="66">
        <f>VLOOKUP(IntComp[[#This Row],[DEVELOPMENT]],Data[],9,FALSE)</f>
        <v>0</v>
      </c>
      <c r="G131" s="66"/>
      <c r="H131" s="66" t="str">
        <f>IFERROR(VLOOKUP(IntComp[[#This Row],[DEVELOPMENT]],Data[],4,FALSE),"")</f>
        <v/>
      </c>
      <c r="I131" s="66" t="str">
        <f>IF(IntComp[[#This Row],[RAD/PACT]]="","",IF(IntComp[[#This Row],[RAD/PACT]]&lt;=2025,"Yes",""))</f>
        <v/>
      </c>
      <c r="J131" s="67" t="str">
        <f ca="1">IF(VLOOKUP(IntComp[[#This Row],[DEVELOPMENT]],Data[],10,FALSE)=0,"",DATEDIF(VLOOKUP(IntComp[[#This Row],[DEVELOPMENT]],Data[],12,FALSE),TODAY(),"Y"))</f>
        <v/>
      </c>
      <c r="K131" s="67">
        <f>IF(IntComp[[#This Row],[RAD/PACT]]="",VLOOKUP(IntComp[[#This Row],[DEVELOPMENT]],Data[],10,FALSE),IF(IntComp[[#This Row],[RAD/PACT by 2025]]="yes",0,VLOOKUP(IntComp[[#This Row],[DEVELOPMENT]],Data[],10,FALSE)))</f>
        <v>0</v>
      </c>
      <c r="L131" s="63">
        <f ca="1">IF(IntComp[[#This Row],[RAD/PACT by 2025]]="Yes",0,(IntComp[[#This Row],['# Int. Compactors to Replace]]*'Unit Costs'!$B$8)*(1+((IntComp[[#This Row],[est. Year]]-YEAR(TODAY()))*$L$2)))</f>
        <v>147306.78899999999</v>
      </c>
      <c r="M131" s="67">
        <f>SUM(INDEX(IntComp['# to Replace],1):IntComp[[#This Row],['# to Replace]])</f>
        <v>0</v>
      </c>
      <c r="N131" s="67">
        <f>ROUNDDOWN(IntComp[[#This Row],[Count]]/100,0)+$N$1</f>
        <v>2020</v>
      </c>
      <c r="O131" s="86">
        <f t="shared" ca="1" si="1"/>
        <v>54724472.113500006</v>
      </c>
    </row>
    <row r="132" spans="1:15" x14ac:dyDescent="0.25">
      <c r="A132" s="13" t="s">
        <v>117</v>
      </c>
      <c r="B132" s="1" t="str">
        <f>VLOOKUP(A132,Data[],2,FALSE)</f>
        <v>MANHATTAN</v>
      </c>
      <c r="C132" s="9" t="s">
        <v>106</v>
      </c>
      <c r="D132" s="9">
        <f>VLOOKUP(IntComp[[#This Row],[DEVELOPMENT]],Data[],31,FALSE)</f>
        <v>43</v>
      </c>
      <c r="E132" s="9" t="str">
        <f>VLOOKUP(IntComp[[#This Row],[DEVELOPMENT]],Data[],8,FALSE)</f>
        <v>Zone 3</v>
      </c>
      <c r="F132" s="9" t="str">
        <f>VLOOKUP(IntComp[[#This Row],[DEVELOPMENT]],Data[],9,FALSE)</f>
        <v>$</v>
      </c>
      <c r="G132" s="9"/>
      <c r="H132" s="9">
        <f>IFERROR(VLOOKUP(IntComp[[#This Row],[DEVELOPMENT]],Data[],4,FALSE),"")</f>
        <v>2020</v>
      </c>
      <c r="I132" s="9" t="str">
        <f>IF(IntComp[[#This Row],[RAD/PACT]]="","",IF(IntComp[[#This Row],[RAD/PACT]]&lt;=2025,"Yes",""))</f>
        <v>Yes</v>
      </c>
      <c r="J132" s="1" t="str">
        <f ca="1">IF(VLOOKUP(IntComp[[#This Row],[DEVELOPMENT]],Data[],10,FALSE)=0,"",DATEDIF(VLOOKUP(IntComp[[#This Row],[DEVELOPMENT]],Data[],12,FALSE),TODAY(),"Y"))</f>
        <v/>
      </c>
      <c r="K132" s="1">
        <f>IF(IntComp[[#This Row],[RAD/PACT]]="",VLOOKUP(IntComp[[#This Row],[DEVELOPMENT]],Data[],10,FALSE),IF(IntComp[[#This Row],[RAD/PACT by 2025]]="yes",0,VLOOKUP(IntComp[[#This Row],[DEVELOPMENT]],Data[],10,FALSE)))</f>
        <v>0</v>
      </c>
      <c r="L132" s="63">
        <f ca="1">IF(IntComp[[#This Row],[RAD/PACT by 2025]]="Yes",0,(IntComp[[#This Row],['# Int. Compactors to Replace]]*'Unit Costs'!$B$8)*(1+((IntComp[[#This Row],[est. Year]]-YEAR(TODAY()))*$L$2)))</f>
        <v>0</v>
      </c>
      <c r="M132" s="1">
        <f>SUM(INDEX(IntComp['# to Replace],1):IntComp[[#This Row],['# to Replace]])</f>
        <v>0</v>
      </c>
      <c r="N132" s="1">
        <f>ROUNDDOWN(IntComp[[#This Row],[Count]]/100,0)+$N$1</f>
        <v>2020</v>
      </c>
      <c r="O132" s="81">
        <f t="shared" ref="O132:O195" ca="1" si="2">IF(N132=N131,L132+O131,L132)</f>
        <v>54724472.113500006</v>
      </c>
    </row>
    <row r="133" spans="1:15" x14ac:dyDescent="0.25">
      <c r="A133" s="13" t="s">
        <v>82</v>
      </c>
      <c r="B133" s="1" t="str">
        <f>VLOOKUP(A133,Data[],2,FALSE)</f>
        <v>MANHATTAN</v>
      </c>
      <c r="C133" s="9" t="s">
        <v>106</v>
      </c>
      <c r="D133" s="9">
        <f>VLOOKUP(IntComp[[#This Row],[DEVELOPMENT]],Data[],31,FALSE)</f>
        <v>1</v>
      </c>
      <c r="E133" s="9" t="str">
        <f>VLOOKUP(IntComp[[#This Row],[DEVELOPMENT]],Data[],8,FALSE)</f>
        <v>Zone 3</v>
      </c>
      <c r="F133" s="9" t="str">
        <f>VLOOKUP(IntComp[[#This Row],[DEVELOPMENT]],Data[],9,FALSE)</f>
        <v>$$</v>
      </c>
      <c r="G133" s="9"/>
      <c r="H133" s="9">
        <f>IFERROR(VLOOKUP(IntComp[[#This Row],[DEVELOPMENT]],Data[],4,FALSE),"")</f>
        <v>2020</v>
      </c>
      <c r="I133" s="9" t="str">
        <f>IF(IntComp[[#This Row],[RAD/PACT]]="","",IF(IntComp[[#This Row],[RAD/PACT]]&lt;=2025,"Yes",""))</f>
        <v>Yes</v>
      </c>
      <c r="J133" s="1" t="str">
        <f ca="1">IF(VLOOKUP(IntComp[[#This Row],[DEVELOPMENT]],Data[],10,FALSE)=0,"",DATEDIF(VLOOKUP(IntComp[[#This Row],[DEVELOPMENT]],Data[],12,FALSE),TODAY(),"Y"))</f>
        <v/>
      </c>
      <c r="K133" s="1">
        <f>IF(IntComp[[#This Row],[RAD/PACT]]="",VLOOKUP(IntComp[[#This Row],[DEVELOPMENT]],Data[],10,FALSE),IF(IntComp[[#This Row],[RAD/PACT by 2025]]="yes",0,VLOOKUP(IntComp[[#This Row],[DEVELOPMENT]],Data[],10,FALSE)))</f>
        <v>0</v>
      </c>
      <c r="L133" s="63">
        <f ca="1">IF(IntComp[[#This Row],[RAD/PACT by 2025]]="Yes",0,(IntComp[[#This Row],['# Int. Compactors to Replace]]*'Unit Costs'!$B$8)*(1+((IntComp[[#This Row],[est. Year]]-YEAR(TODAY()))*$L$2)))</f>
        <v>0</v>
      </c>
      <c r="M133" s="1">
        <f>SUM(INDEX(IntComp['# to Replace],1):IntComp[[#This Row],['# to Replace]])</f>
        <v>0</v>
      </c>
      <c r="N133" s="1">
        <f>ROUNDDOWN(IntComp[[#This Row],[Count]]/100,0)+$N$1</f>
        <v>2020</v>
      </c>
      <c r="O133" s="81">
        <f t="shared" ca="1" si="2"/>
        <v>54724472.113500006</v>
      </c>
    </row>
    <row r="134" spans="1:15" x14ac:dyDescent="0.25">
      <c r="A134" s="13" t="s">
        <v>244</v>
      </c>
      <c r="B134" s="9" t="str">
        <f>VLOOKUP(A134,Data[],2,FALSE)</f>
        <v>BRONX</v>
      </c>
      <c r="C134" s="9" t="s">
        <v>106</v>
      </c>
      <c r="D134" s="9">
        <f>VLOOKUP(IntComp[[#This Row],[DEVELOPMENT]],Data[],31,FALSE)</f>
        <v>1</v>
      </c>
      <c r="E134" s="66">
        <f>VLOOKUP(IntComp[[#This Row],[DEVELOPMENT]],Data[],8,FALSE)</f>
        <v>0</v>
      </c>
      <c r="F134" s="66">
        <f>VLOOKUP(IntComp[[#This Row],[DEVELOPMENT]],Data[],9,FALSE)</f>
        <v>0</v>
      </c>
      <c r="G134" s="66"/>
      <c r="H134" s="66" t="str">
        <f>IFERROR(VLOOKUP(IntComp[[#This Row],[DEVELOPMENT]],Data[],4,FALSE),"")</f>
        <v/>
      </c>
      <c r="I134" s="66" t="str">
        <f>IF(IntComp[[#This Row],[RAD/PACT]]="","",IF(IntComp[[#This Row],[RAD/PACT]]&lt;=2025,"Yes",""))</f>
        <v/>
      </c>
      <c r="J134" s="67" t="str">
        <f ca="1">IF(VLOOKUP(IntComp[[#This Row],[DEVELOPMENT]],Data[],10,FALSE)=0,"",DATEDIF(VLOOKUP(IntComp[[#This Row],[DEVELOPMENT]],Data[],12,FALSE),TODAY(),"Y"))</f>
        <v/>
      </c>
      <c r="K134" s="67">
        <f>IF(IntComp[[#This Row],[RAD/PACT]]="",VLOOKUP(IntComp[[#This Row],[DEVELOPMENT]],Data[],10,FALSE),IF(IntComp[[#This Row],[RAD/PACT by 2025]]="yes",0,VLOOKUP(IntComp[[#This Row],[DEVELOPMENT]],Data[],10,FALSE)))</f>
        <v>0</v>
      </c>
      <c r="L134" s="63">
        <f ca="1">IF(IntComp[[#This Row],[RAD/PACT by 2025]]="Yes",0,(IntComp[[#This Row],['# Int. Compactors to Replace]]*'Unit Costs'!$B$8)*(1+((IntComp[[#This Row],[est. Year]]-YEAR(TODAY()))*$L$2)))</f>
        <v>73653.394499999995</v>
      </c>
      <c r="M134" s="67">
        <f>SUM(INDEX(IntComp['# to Replace],1):IntComp[[#This Row],['# to Replace]])</f>
        <v>0</v>
      </c>
      <c r="N134" s="67">
        <f>ROUNDDOWN(IntComp[[#This Row],[Count]]/100,0)+$N$1</f>
        <v>2020</v>
      </c>
      <c r="O134" s="86">
        <f t="shared" ca="1" si="2"/>
        <v>54798125.508000009</v>
      </c>
    </row>
    <row r="135" spans="1:15" x14ac:dyDescent="0.25">
      <c r="A135" s="13" t="s">
        <v>245</v>
      </c>
      <c r="B135" s="9" t="str">
        <f>VLOOKUP(A135,Data[],2,FALSE)</f>
        <v>BRONX</v>
      </c>
      <c r="C135" s="9" t="s">
        <v>106</v>
      </c>
      <c r="D135" s="9">
        <f>VLOOKUP(IntComp[[#This Row],[DEVELOPMENT]],Data[],31,FALSE)</f>
        <v>4</v>
      </c>
      <c r="E135" s="66">
        <f>VLOOKUP(IntComp[[#This Row],[DEVELOPMENT]],Data[],8,FALSE)</f>
        <v>0</v>
      </c>
      <c r="F135" s="66">
        <f>VLOOKUP(IntComp[[#This Row],[DEVELOPMENT]],Data[],9,FALSE)</f>
        <v>0</v>
      </c>
      <c r="G135" s="66"/>
      <c r="H135" s="66" t="str">
        <f>IFERROR(VLOOKUP(IntComp[[#This Row],[DEVELOPMENT]],Data[],4,FALSE),"")</f>
        <v/>
      </c>
      <c r="I135" s="66" t="str">
        <f>IF(IntComp[[#This Row],[RAD/PACT]]="","",IF(IntComp[[#This Row],[RAD/PACT]]&lt;=2025,"Yes",""))</f>
        <v/>
      </c>
      <c r="J135" s="67" t="str">
        <f ca="1">IF(VLOOKUP(IntComp[[#This Row],[DEVELOPMENT]],Data[],10,FALSE)=0,"",DATEDIF(VLOOKUP(IntComp[[#This Row],[DEVELOPMENT]],Data[],12,FALSE),TODAY(),"Y"))</f>
        <v/>
      </c>
      <c r="K135" s="67">
        <f>IF(IntComp[[#This Row],[RAD/PACT]]="",VLOOKUP(IntComp[[#This Row],[DEVELOPMENT]],Data[],10,FALSE),IF(IntComp[[#This Row],[RAD/PACT by 2025]]="yes",0,VLOOKUP(IntComp[[#This Row],[DEVELOPMENT]],Data[],10,FALSE)))</f>
        <v>0</v>
      </c>
      <c r="L135" s="63">
        <f ca="1">IF(IntComp[[#This Row],[RAD/PACT by 2025]]="Yes",0,(IntComp[[#This Row],['# Int. Compactors to Replace]]*'Unit Costs'!$B$8)*(1+((IntComp[[#This Row],[est. Year]]-YEAR(TODAY()))*$L$2)))</f>
        <v>294613.57799999998</v>
      </c>
      <c r="M135" s="67">
        <f>SUM(INDEX(IntComp['# to Replace],1):IntComp[[#This Row],['# to Replace]])</f>
        <v>0</v>
      </c>
      <c r="N135" s="67">
        <f>ROUNDDOWN(IntComp[[#This Row],[Count]]/100,0)+$N$1</f>
        <v>2020</v>
      </c>
      <c r="O135" s="86">
        <f t="shared" ca="1" si="2"/>
        <v>55092739.08600001</v>
      </c>
    </row>
    <row r="136" spans="1:15" x14ac:dyDescent="0.25">
      <c r="A136" s="13" t="s">
        <v>246</v>
      </c>
      <c r="B136" s="1" t="str">
        <f>VLOOKUP(A136,Data[],2,FALSE)</f>
        <v>MANHATTAN</v>
      </c>
      <c r="C136" s="9" t="s">
        <v>106</v>
      </c>
      <c r="D136" s="9">
        <f>VLOOKUP(IntComp[[#This Row],[DEVELOPMENT]],Data[],31,FALSE)</f>
        <v>1</v>
      </c>
      <c r="E136" s="66" t="str">
        <f>VLOOKUP(IntComp[[#This Row],[DEVELOPMENT]],Data[],8,FALSE)</f>
        <v>Zone 1</v>
      </c>
      <c r="F136" s="9" t="str">
        <f>VLOOKUP(IntComp[[#This Row],[DEVELOPMENT]],Data[],9,FALSE)</f>
        <v>$$</v>
      </c>
      <c r="G136" s="9"/>
      <c r="H136" s="66" t="str">
        <f>IFERROR(VLOOKUP(IntComp[[#This Row],[DEVELOPMENT]],Data[],4,FALSE),"")</f>
        <v/>
      </c>
      <c r="I136" s="66" t="str">
        <f>IF(IntComp[[#This Row],[RAD/PACT]]="","",IF(IntComp[[#This Row],[RAD/PACT]]&lt;=2025,"Yes",""))</f>
        <v/>
      </c>
      <c r="J136" s="67" t="str">
        <f ca="1">IF(VLOOKUP(IntComp[[#This Row],[DEVELOPMENT]],Data[],10,FALSE)=0,"",DATEDIF(VLOOKUP(IntComp[[#This Row],[DEVELOPMENT]],Data[],12,FALSE),TODAY(),"Y"))</f>
        <v/>
      </c>
      <c r="K136" s="67">
        <f>IF(IntComp[[#This Row],[RAD/PACT]]="",VLOOKUP(IntComp[[#This Row],[DEVELOPMENT]],Data[],10,FALSE),IF(IntComp[[#This Row],[RAD/PACT by 2025]]="yes",0,VLOOKUP(IntComp[[#This Row],[DEVELOPMENT]],Data[],10,FALSE)))</f>
        <v>0</v>
      </c>
      <c r="L136" s="63">
        <f ca="1">IF(IntComp[[#This Row],[RAD/PACT by 2025]]="Yes",0,(IntComp[[#This Row],['# Int. Compactors to Replace]]*'Unit Costs'!$B$8)*(1+((IntComp[[#This Row],[est. Year]]-YEAR(TODAY()))*$L$2)))</f>
        <v>73653.394499999995</v>
      </c>
      <c r="M136" s="67">
        <f>SUM(INDEX(IntComp['# to Replace],1):IntComp[[#This Row],['# to Replace]])</f>
        <v>0</v>
      </c>
      <c r="N136" s="67">
        <f>ROUNDDOWN(IntComp[[#This Row],[Count]]/100,0)+$N$1</f>
        <v>2020</v>
      </c>
      <c r="O136" s="81">
        <f t="shared" ca="1" si="2"/>
        <v>55166392.480500013</v>
      </c>
    </row>
    <row r="137" spans="1:15" x14ac:dyDescent="0.25">
      <c r="A137" s="13" t="s">
        <v>247</v>
      </c>
      <c r="B137" s="1" t="str">
        <f>VLOOKUP(A137,Data[],2,FALSE)</f>
        <v>BRONX</v>
      </c>
      <c r="C137" s="9" t="s">
        <v>106</v>
      </c>
      <c r="D137" s="9">
        <f>VLOOKUP(IntComp[[#This Row],[DEVELOPMENT]],Data[],31,FALSE)</f>
        <v>6</v>
      </c>
      <c r="E137" s="66" t="str">
        <f>VLOOKUP(IntComp[[#This Row],[DEVELOPMENT]],Data[],8,FALSE)</f>
        <v>Zone 1</v>
      </c>
      <c r="F137" s="9" t="str">
        <f>VLOOKUP(IntComp[[#This Row],[DEVELOPMENT]],Data[],9,FALSE)</f>
        <v>$</v>
      </c>
      <c r="G137" s="9"/>
      <c r="H137" s="66" t="str">
        <f>IFERROR(VLOOKUP(IntComp[[#This Row],[DEVELOPMENT]],Data[],4,FALSE),"")</f>
        <v/>
      </c>
      <c r="I137" s="66" t="str">
        <f>IF(IntComp[[#This Row],[RAD/PACT]]="","",IF(IntComp[[#This Row],[RAD/PACT]]&lt;=2025,"Yes",""))</f>
        <v/>
      </c>
      <c r="J137" s="67" t="str">
        <f ca="1">IF(VLOOKUP(IntComp[[#This Row],[DEVELOPMENT]],Data[],10,FALSE)=0,"",DATEDIF(VLOOKUP(IntComp[[#This Row],[DEVELOPMENT]],Data[],12,FALSE),TODAY(),"Y"))</f>
        <v/>
      </c>
      <c r="K137" s="67">
        <f>IF(IntComp[[#This Row],[RAD/PACT]]="",VLOOKUP(IntComp[[#This Row],[DEVELOPMENT]],Data[],10,FALSE),IF(IntComp[[#This Row],[RAD/PACT by 2025]]="yes",0,VLOOKUP(IntComp[[#This Row],[DEVELOPMENT]],Data[],10,FALSE)))</f>
        <v>0</v>
      </c>
      <c r="L137" s="63">
        <f ca="1">IF(IntComp[[#This Row],[RAD/PACT by 2025]]="Yes",0,(IntComp[[#This Row],['# Int. Compactors to Replace]]*'Unit Costs'!$B$8)*(1+((IntComp[[#This Row],[est. Year]]-YEAR(TODAY()))*$L$2)))</f>
        <v>441920.36699999991</v>
      </c>
      <c r="M137" s="67">
        <f>SUM(INDEX(IntComp['# to Replace],1):IntComp[[#This Row],['# to Replace]])</f>
        <v>0</v>
      </c>
      <c r="N137" s="67">
        <f>ROUNDDOWN(IntComp[[#This Row],[Count]]/100,0)+$N$1</f>
        <v>2020</v>
      </c>
      <c r="O137" s="81">
        <f t="shared" ca="1" si="2"/>
        <v>55608312.847500011</v>
      </c>
    </row>
    <row r="138" spans="1:15" x14ac:dyDescent="0.25">
      <c r="A138" s="13" t="s">
        <v>248</v>
      </c>
      <c r="B138" s="9" t="str">
        <f>VLOOKUP(A138,Data[],2,FALSE)</f>
        <v>BRONX</v>
      </c>
      <c r="C138" s="9" t="s">
        <v>106</v>
      </c>
      <c r="D138" s="9">
        <f>VLOOKUP(IntComp[[#This Row],[DEVELOPMENT]],Data[],31,FALSE)</f>
        <v>1</v>
      </c>
      <c r="E138" s="66">
        <f>VLOOKUP(IntComp[[#This Row],[DEVELOPMENT]],Data[],8,FALSE)</f>
        <v>0</v>
      </c>
      <c r="F138" s="66">
        <f>VLOOKUP(IntComp[[#This Row],[DEVELOPMENT]],Data[],9,FALSE)</f>
        <v>0</v>
      </c>
      <c r="G138" s="66"/>
      <c r="H138" s="66" t="str">
        <f>IFERROR(VLOOKUP(IntComp[[#This Row],[DEVELOPMENT]],Data[],4,FALSE),"")</f>
        <v/>
      </c>
      <c r="I138" s="66" t="str">
        <f>IF(IntComp[[#This Row],[RAD/PACT]]="","",IF(IntComp[[#This Row],[RAD/PACT]]&lt;=2025,"Yes",""))</f>
        <v/>
      </c>
      <c r="J138" s="67" t="str">
        <f ca="1">IF(VLOOKUP(IntComp[[#This Row],[DEVELOPMENT]],Data[],10,FALSE)=0,"",DATEDIF(VLOOKUP(IntComp[[#This Row],[DEVELOPMENT]],Data[],12,FALSE),TODAY(),"Y"))</f>
        <v/>
      </c>
      <c r="K138" s="67">
        <f>IF(IntComp[[#This Row],[RAD/PACT]]="",VLOOKUP(IntComp[[#This Row],[DEVELOPMENT]],Data[],10,FALSE),IF(IntComp[[#This Row],[RAD/PACT by 2025]]="yes",0,VLOOKUP(IntComp[[#This Row],[DEVELOPMENT]],Data[],10,FALSE)))</f>
        <v>0</v>
      </c>
      <c r="L138" s="63">
        <f ca="1">IF(IntComp[[#This Row],[RAD/PACT by 2025]]="Yes",0,(IntComp[[#This Row],['# Int. Compactors to Replace]]*'Unit Costs'!$B$8)*(1+((IntComp[[#This Row],[est. Year]]-YEAR(TODAY()))*$L$2)))</f>
        <v>73653.394499999995</v>
      </c>
      <c r="M138" s="67">
        <f>SUM(INDEX(IntComp['# to Replace],1):IntComp[[#This Row],['# to Replace]])</f>
        <v>0</v>
      </c>
      <c r="N138" s="67">
        <f>ROUNDDOWN(IntComp[[#This Row],[Count]]/100,0)+$N$1</f>
        <v>2020</v>
      </c>
      <c r="O138" s="86">
        <f t="shared" ca="1" si="2"/>
        <v>55681966.242000014</v>
      </c>
    </row>
    <row r="139" spans="1:15" x14ac:dyDescent="0.25">
      <c r="A139" s="13" t="s">
        <v>249</v>
      </c>
      <c r="B139" s="9" t="str">
        <f>VLOOKUP(A139,Data[],2,FALSE)</f>
        <v>MANHATTAN</v>
      </c>
      <c r="C139" s="9" t="s">
        <v>106</v>
      </c>
      <c r="D139" s="9">
        <f>VLOOKUP(IntComp[[#This Row],[DEVELOPMENT]],Data[],31,FALSE)</f>
        <v>2</v>
      </c>
      <c r="E139" s="66">
        <f>VLOOKUP(IntComp[[#This Row],[DEVELOPMENT]],Data[],8,FALSE)</f>
        <v>0</v>
      </c>
      <c r="F139" s="66">
        <f>VLOOKUP(IntComp[[#This Row],[DEVELOPMENT]],Data[],9,FALSE)</f>
        <v>0</v>
      </c>
      <c r="G139" s="66"/>
      <c r="H139" s="66" t="str">
        <f>IFERROR(VLOOKUP(IntComp[[#This Row],[DEVELOPMENT]],Data[],4,FALSE),"")</f>
        <v/>
      </c>
      <c r="I139" s="66" t="str">
        <f>IF(IntComp[[#This Row],[RAD/PACT]]="","",IF(IntComp[[#This Row],[RAD/PACT]]&lt;=2025,"Yes",""))</f>
        <v/>
      </c>
      <c r="J139" s="67" t="str">
        <f ca="1">IF(VLOOKUP(IntComp[[#This Row],[DEVELOPMENT]],Data[],10,FALSE)=0,"",DATEDIF(VLOOKUP(IntComp[[#This Row],[DEVELOPMENT]],Data[],12,FALSE),TODAY(),"Y"))</f>
        <v/>
      </c>
      <c r="K139" s="67">
        <f>IF(IntComp[[#This Row],[RAD/PACT]]="",VLOOKUP(IntComp[[#This Row],[DEVELOPMENT]],Data[],10,FALSE),IF(IntComp[[#This Row],[RAD/PACT by 2025]]="yes",0,VLOOKUP(IntComp[[#This Row],[DEVELOPMENT]],Data[],10,FALSE)))</f>
        <v>0</v>
      </c>
      <c r="L139" s="63">
        <f ca="1">IF(IntComp[[#This Row],[RAD/PACT by 2025]]="Yes",0,(IntComp[[#This Row],['# Int. Compactors to Replace]]*'Unit Costs'!$B$8)*(1+((IntComp[[#This Row],[est. Year]]-YEAR(TODAY()))*$L$2)))</f>
        <v>147306.78899999999</v>
      </c>
      <c r="M139" s="67">
        <f>SUM(INDEX(IntComp['# to Replace],1):IntComp[[#This Row],['# to Replace]])</f>
        <v>0</v>
      </c>
      <c r="N139" s="67">
        <f>ROUNDDOWN(IntComp[[#This Row],[Count]]/100,0)+$N$1</f>
        <v>2020</v>
      </c>
      <c r="O139" s="86">
        <f t="shared" ca="1" si="2"/>
        <v>55829273.031000011</v>
      </c>
    </row>
    <row r="140" spans="1:15" x14ac:dyDescent="0.25">
      <c r="A140" s="13" t="s">
        <v>381</v>
      </c>
      <c r="B140" s="1" t="str">
        <f>VLOOKUP(A140,Data[],2,FALSE)</f>
        <v>BROOKLYN</v>
      </c>
      <c r="C140" s="9" t="s">
        <v>106</v>
      </c>
      <c r="D140" s="9">
        <f>VLOOKUP(IntComp[[#This Row],[DEVELOPMENT]],Data[],31,FALSE)</f>
        <v>4</v>
      </c>
      <c r="E140" s="66" t="str">
        <f>VLOOKUP(IntComp[[#This Row],[DEVELOPMENT]],Data[],8,FALSE)</f>
        <v>Zone 1</v>
      </c>
      <c r="F140" s="9">
        <f>VLOOKUP(IntComp[[#This Row],[DEVELOPMENT]],Data[],9,FALSE)</f>
        <v>0</v>
      </c>
      <c r="G140" s="9"/>
      <c r="H140" s="66">
        <f>IFERROR(VLOOKUP(IntComp[[#This Row],[DEVELOPMENT]],Data[],4,FALSE),"")</f>
        <v>2019</v>
      </c>
      <c r="I140" s="66" t="str">
        <f>IF(IntComp[[#This Row],[RAD/PACT]]="","",IF(IntComp[[#This Row],[RAD/PACT]]&lt;=2025,"Yes",""))</f>
        <v>Yes</v>
      </c>
      <c r="J140" s="67" t="str">
        <f ca="1">IF(VLOOKUP(IntComp[[#This Row],[DEVELOPMENT]],Data[],10,FALSE)=0,"",DATEDIF(VLOOKUP(IntComp[[#This Row],[DEVELOPMENT]],Data[],12,FALSE),TODAY(),"Y"))</f>
        <v/>
      </c>
      <c r="K140" s="67">
        <f>IF(IntComp[[#This Row],[RAD/PACT]]="",VLOOKUP(IntComp[[#This Row],[DEVELOPMENT]],Data[],10,FALSE),IF(IntComp[[#This Row],[RAD/PACT by 2025]]="yes",0,VLOOKUP(IntComp[[#This Row],[DEVELOPMENT]],Data[],10,FALSE)))</f>
        <v>0</v>
      </c>
      <c r="L140" s="63">
        <f ca="1">IF(IntComp[[#This Row],[RAD/PACT by 2025]]="Yes",0,(IntComp[[#This Row],['# Int. Compactors to Replace]]*'Unit Costs'!$B$8)*(1+((IntComp[[#This Row],[est. Year]]-YEAR(TODAY()))*$L$2)))</f>
        <v>0</v>
      </c>
      <c r="M140" s="67">
        <f>SUM(INDEX(IntComp['# to Replace],1):IntComp[[#This Row],['# to Replace]])</f>
        <v>0</v>
      </c>
      <c r="N140" s="67">
        <f>ROUNDDOWN(IntComp[[#This Row],[Count]]/100,0)+$N$1</f>
        <v>2020</v>
      </c>
      <c r="O140" s="81">
        <f t="shared" ca="1" si="2"/>
        <v>55829273.031000011</v>
      </c>
    </row>
    <row r="141" spans="1:15" x14ac:dyDescent="0.25">
      <c r="A141" s="13" t="s">
        <v>250</v>
      </c>
      <c r="B141" s="9" t="str">
        <f>VLOOKUP(A141,Data[],2,FALSE)</f>
        <v>BROOKLYN</v>
      </c>
      <c r="C141" s="9" t="s">
        <v>106</v>
      </c>
      <c r="D141" s="9">
        <f>VLOOKUP(IntComp[[#This Row],[DEVELOPMENT]],Data[],31,FALSE)</f>
        <v>16</v>
      </c>
      <c r="E141" s="66">
        <f>VLOOKUP(IntComp[[#This Row],[DEVELOPMENT]],Data[],8,FALSE)</f>
        <v>0</v>
      </c>
      <c r="F141" s="66">
        <f>VLOOKUP(IntComp[[#This Row],[DEVELOPMENT]],Data[],9,FALSE)</f>
        <v>0</v>
      </c>
      <c r="G141" s="66"/>
      <c r="H141" s="66" t="str">
        <f>IFERROR(VLOOKUP(IntComp[[#This Row],[DEVELOPMENT]],Data[],4,FALSE),"")</f>
        <v/>
      </c>
      <c r="I141" s="66" t="str">
        <f>IF(IntComp[[#This Row],[RAD/PACT]]="","",IF(IntComp[[#This Row],[RAD/PACT]]&lt;=2025,"Yes",""))</f>
        <v/>
      </c>
      <c r="J141" s="67" t="str">
        <f ca="1">IF(VLOOKUP(IntComp[[#This Row],[DEVELOPMENT]],Data[],10,FALSE)=0,"",DATEDIF(VLOOKUP(IntComp[[#This Row],[DEVELOPMENT]],Data[],12,FALSE),TODAY(),"Y"))</f>
        <v/>
      </c>
      <c r="K141" s="67">
        <f>IF(IntComp[[#This Row],[RAD/PACT]]="",VLOOKUP(IntComp[[#This Row],[DEVELOPMENT]],Data[],10,FALSE),IF(IntComp[[#This Row],[RAD/PACT by 2025]]="yes",0,VLOOKUP(IntComp[[#This Row],[DEVELOPMENT]],Data[],10,FALSE)))</f>
        <v>0</v>
      </c>
      <c r="L141" s="63">
        <f ca="1">IF(IntComp[[#This Row],[RAD/PACT by 2025]]="Yes",0,(IntComp[[#This Row],['# Int. Compactors to Replace]]*'Unit Costs'!$B$8)*(1+((IntComp[[#This Row],[est. Year]]-YEAR(TODAY()))*$L$2)))</f>
        <v>1178454.3119999999</v>
      </c>
      <c r="M141" s="67">
        <f>SUM(INDEX(IntComp['# to Replace],1):IntComp[[#This Row],['# to Replace]])</f>
        <v>0</v>
      </c>
      <c r="N141" s="67">
        <f>ROUNDDOWN(IntComp[[#This Row],[Count]]/100,0)+$N$1</f>
        <v>2020</v>
      </c>
      <c r="O141" s="86">
        <f t="shared" ca="1" si="2"/>
        <v>57007727.34300001</v>
      </c>
    </row>
    <row r="142" spans="1:15" x14ac:dyDescent="0.25">
      <c r="A142" s="13" t="s">
        <v>251</v>
      </c>
      <c r="B142" s="9" t="str">
        <f>VLOOKUP(A142,Data[],2,FALSE)</f>
        <v>BROOKLYN</v>
      </c>
      <c r="C142" s="9" t="s">
        <v>106</v>
      </c>
      <c r="D142" s="9">
        <f>VLOOKUP(IntComp[[#This Row],[DEVELOPMENT]],Data[],31,FALSE)</f>
        <v>0</v>
      </c>
      <c r="E142" s="66">
        <f>VLOOKUP(IntComp[[#This Row],[DEVELOPMENT]],Data[],8,FALSE)</f>
        <v>0</v>
      </c>
      <c r="F142" s="66">
        <f>VLOOKUP(IntComp[[#This Row],[DEVELOPMENT]],Data[],9,FALSE)</f>
        <v>0</v>
      </c>
      <c r="G142" s="66"/>
      <c r="H142" s="66">
        <f>IFERROR(VLOOKUP(IntComp[[#This Row],[DEVELOPMENT]],Data[],4,FALSE),"")</f>
        <v>2025</v>
      </c>
      <c r="I142" s="66" t="str">
        <f>IF(IntComp[[#This Row],[RAD/PACT]]="","",IF(IntComp[[#This Row],[RAD/PACT]]&lt;=2025,"Yes",""))</f>
        <v>Yes</v>
      </c>
      <c r="J142" s="67" t="str">
        <f ca="1">IF(VLOOKUP(IntComp[[#This Row],[DEVELOPMENT]],Data[],10,FALSE)=0,"",DATEDIF(VLOOKUP(IntComp[[#This Row],[DEVELOPMENT]],Data[],12,FALSE),TODAY(),"Y"))</f>
        <v/>
      </c>
      <c r="K142" s="67">
        <f>IF(IntComp[[#This Row],[RAD/PACT]]="",VLOOKUP(IntComp[[#This Row],[DEVELOPMENT]],Data[],10,FALSE),IF(IntComp[[#This Row],[RAD/PACT by 2025]]="yes",0,VLOOKUP(IntComp[[#This Row],[DEVELOPMENT]],Data[],10,FALSE)))</f>
        <v>0</v>
      </c>
      <c r="L142" s="63">
        <f ca="1">IF(IntComp[[#This Row],[RAD/PACT by 2025]]="Yes",0,(IntComp[[#This Row],['# Int. Compactors to Replace]]*'Unit Costs'!$B$8)*(1+((IntComp[[#This Row],[est. Year]]-YEAR(TODAY()))*$L$2)))</f>
        <v>0</v>
      </c>
      <c r="M142" s="67">
        <f>SUM(INDEX(IntComp['# to Replace],1):IntComp[[#This Row],['# to Replace]])</f>
        <v>0</v>
      </c>
      <c r="N142" s="67">
        <f>ROUNDDOWN(IntComp[[#This Row],[Count]]/100,0)+$N$1</f>
        <v>2020</v>
      </c>
      <c r="O142" s="86">
        <f t="shared" ca="1" si="2"/>
        <v>57007727.34300001</v>
      </c>
    </row>
    <row r="143" spans="1:15" x14ac:dyDescent="0.25">
      <c r="A143" s="13" t="s">
        <v>252</v>
      </c>
      <c r="B143" s="9" t="str">
        <f>VLOOKUP(A143,Data[],2,FALSE)</f>
        <v>BROOKLYN</v>
      </c>
      <c r="C143" s="9" t="s">
        <v>106</v>
      </c>
      <c r="D143" s="9">
        <f>VLOOKUP(IntComp[[#This Row],[DEVELOPMENT]],Data[],31,FALSE)</f>
        <v>0</v>
      </c>
      <c r="E143" s="66" t="str">
        <f>VLOOKUP(IntComp[[#This Row],[DEVELOPMENT]],Data[],8,FALSE)</f>
        <v>Zone 4</v>
      </c>
      <c r="F143" s="66">
        <f>VLOOKUP(IntComp[[#This Row],[DEVELOPMENT]],Data[],9,FALSE)</f>
        <v>0</v>
      </c>
      <c r="G143" s="66"/>
      <c r="H143" s="66">
        <f>IFERROR(VLOOKUP(IntComp[[#This Row],[DEVELOPMENT]],Data[],4,FALSE),"")</f>
        <v>2025</v>
      </c>
      <c r="I143" s="66" t="str">
        <f>IF(IntComp[[#This Row],[RAD/PACT]]="","",IF(IntComp[[#This Row],[RAD/PACT]]&lt;=2025,"Yes",""))</f>
        <v>Yes</v>
      </c>
      <c r="J143" s="67" t="str">
        <f ca="1">IF(VLOOKUP(IntComp[[#This Row],[DEVELOPMENT]],Data[],10,FALSE)=0,"",DATEDIF(VLOOKUP(IntComp[[#This Row],[DEVELOPMENT]],Data[],12,FALSE),TODAY(),"Y"))</f>
        <v/>
      </c>
      <c r="K143" s="67">
        <f>IF(IntComp[[#This Row],[RAD/PACT]]="",VLOOKUP(IntComp[[#This Row],[DEVELOPMENT]],Data[],10,FALSE),IF(IntComp[[#This Row],[RAD/PACT by 2025]]="yes",0,VLOOKUP(IntComp[[#This Row],[DEVELOPMENT]],Data[],10,FALSE)))</f>
        <v>0</v>
      </c>
      <c r="L143" s="63">
        <f ca="1">IF(IntComp[[#This Row],[RAD/PACT by 2025]]="Yes",0,(IntComp[[#This Row],['# Int. Compactors to Replace]]*'Unit Costs'!$B$8)*(1+((IntComp[[#This Row],[est. Year]]-YEAR(TODAY()))*$L$2)))</f>
        <v>0</v>
      </c>
      <c r="M143" s="67">
        <f>SUM(INDEX(IntComp['# to Replace],1):IntComp[[#This Row],['# to Replace]])</f>
        <v>0</v>
      </c>
      <c r="N143" s="67">
        <f>ROUNDDOWN(IntComp[[#This Row],[Count]]/100,0)+$N$1</f>
        <v>2020</v>
      </c>
      <c r="O143" s="86">
        <f t="shared" ca="1" si="2"/>
        <v>57007727.34300001</v>
      </c>
    </row>
    <row r="144" spans="1:15" x14ac:dyDescent="0.25">
      <c r="A144" s="13" t="s">
        <v>253</v>
      </c>
      <c r="B144" s="9" t="str">
        <f>VLOOKUP(A144,Data[],2,FALSE)</f>
        <v>BROOKLYN</v>
      </c>
      <c r="C144" s="9" t="s">
        <v>106</v>
      </c>
      <c r="D144" s="9">
        <f>VLOOKUP(IntComp[[#This Row],[DEVELOPMENT]],Data[],31,FALSE)</f>
        <v>3</v>
      </c>
      <c r="E144" s="66">
        <f>VLOOKUP(IntComp[[#This Row],[DEVELOPMENT]],Data[],8,FALSE)</f>
        <v>0</v>
      </c>
      <c r="F144" s="66">
        <f>VLOOKUP(IntComp[[#This Row],[DEVELOPMENT]],Data[],9,FALSE)</f>
        <v>0</v>
      </c>
      <c r="G144" s="66"/>
      <c r="H144" s="66" t="str">
        <f>IFERROR(VLOOKUP(IntComp[[#This Row],[DEVELOPMENT]],Data[],4,FALSE),"")</f>
        <v/>
      </c>
      <c r="I144" s="66" t="str">
        <f>IF(IntComp[[#This Row],[RAD/PACT]]="","",IF(IntComp[[#This Row],[RAD/PACT]]&lt;=2025,"Yes",""))</f>
        <v/>
      </c>
      <c r="J144" s="67" t="str">
        <f ca="1">IF(VLOOKUP(IntComp[[#This Row],[DEVELOPMENT]],Data[],10,FALSE)=0,"",DATEDIF(VLOOKUP(IntComp[[#This Row],[DEVELOPMENT]],Data[],12,FALSE),TODAY(),"Y"))</f>
        <v/>
      </c>
      <c r="K144" s="67">
        <f>IF(IntComp[[#This Row],[RAD/PACT]]="",VLOOKUP(IntComp[[#This Row],[DEVELOPMENT]],Data[],10,FALSE),IF(IntComp[[#This Row],[RAD/PACT by 2025]]="yes",0,VLOOKUP(IntComp[[#This Row],[DEVELOPMENT]],Data[],10,FALSE)))</f>
        <v>0</v>
      </c>
      <c r="L144" s="63">
        <f ca="1">IF(IntComp[[#This Row],[RAD/PACT by 2025]]="Yes",0,(IntComp[[#This Row],['# Int. Compactors to Replace]]*'Unit Costs'!$B$8)*(1+((IntComp[[#This Row],[est. Year]]-YEAR(TODAY()))*$L$2)))</f>
        <v>220960.18349999996</v>
      </c>
      <c r="M144" s="67">
        <f>SUM(INDEX(IntComp['# to Replace],1):IntComp[[#This Row],['# to Replace]])</f>
        <v>0</v>
      </c>
      <c r="N144" s="67">
        <f>ROUNDDOWN(IntComp[[#This Row],[Count]]/100,0)+$N$1</f>
        <v>2020</v>
      </c>
      <c r="O144" s="86">
        <f t="shared" ca="1" si="2"/>
        <v>57228687.526500009</v>
      </c>
    </row>
    <row r="145" spans="1:15" x14ac:dyDescent="0.25">
      <c r="A145" s="13" t="s">
        <v>254</v>
      </c>
      <c r="B145" s="9" t="str">
        <f>VLOOKUP(A145,Data[],2,FALSE)</f>
        <v>BRONX</v>
      </c>
      <c r="C145" s="9" t="s">
        <v>106</v>
      </c>
      <c r="D145" s="9">
        <f>VLOOKUP(IntComp[[#This Row],[DEVELOPMENT]],Data[],31,FALSE)</f>
        <v>1</v>
      </c>
      <c r="E145" s="66">
        <f>VLOOKUP(IntComp[[#This Row],[DEVELOPMENT]],Data[],8,FALSE)</f>
        <v>0</v>
      </c>
      <c r="F145" s="66">
        <f>VLOOKUP(IntComp[[#This Row],[DEVELOPMENT]],Data[],9,FALSE)</f>
        <v>0</v>
      </c>
      <c r="G145" s="66"/>
      <c r="H145" s="66" t="str">
        <f>IFERROR(VLOOKUP(IntComp[[#This Row],[DEVELOPMENT]],Data[],4,FALSE),"")</f>
        <v/>
      </c>
      <c r="I145" s="66" t="str">
        <f>IF(IntComp[[#This Row],[RAD/PACT]]="","",IF(IntComp[[#This Row],[RAD/PACT]]&lt;=2025,"Yes",""))</f>
        <v/>
      </c>
      <c r="J145" s="67" t="str">
        <f ca="1">IF(VLOOKUP(IntComp[[#This Row],[DEVELOPMENT]],Data[],10,FALSE)=0,"",DATEDIF(VLOOKUP(IntComp[[#This Row],[DEVELOPMENT]],Data[],12,FALSE),TODAY(),"Y"))</f>
        <v/>
      </c>
      <c r="K145" s="67">
        <f>IF(IntComp[[#This Row],[RAD/PACT]]="",VLOOKUP(IntComp[[#This Row],[DEVELOPMENT]],Data[],10,FALSE),IF(IntComp[[#This Row],[RAD/PACT by 2025]]="yes",0,VLOOKUP(IntComp[[#This Row],[DEVELOPMENT]],Data[],10,FALSE)))</f>
        <v>0</v>
      </c>
      <c r="L145" s="63">
        <f ca="1">IF(IntComp[[#This Row],[RAD/PACT by 2025]]="Yes",0,(IntComp[[#This Row],['# Int. Compactors to Replace]]*'Unit Costs'!$B$8)*(1+((IntComp[[#This Row],[est. Year]]-YEAR(TODAY()))*$L$2)))</f>
        <v>73653.394499999995</v>
      </c>
      <c r="M145" s="67">
        <f>SUM(INDEX(IntComp['# to Replace],1):IntComp[[#This Row],['# to Replace]])</f>
        <v>0</v>
      </c>
      <c r="N145" s="67">
        <f>ROUNDDOWN(IntComp[[#This Row],[Count]]/100,0)+$N$1</f>
        <v>2020</v>
      </c>
      <c r="O145" s="86">
        <f t="shared" ca="1" si="2"/>
        <v>57302340.921000011</v>
      </c>
    </row>
    <row r="146" spans="1:15" x14ac:dyDescent="0.25">
      <c r="A146" s="82" t="s">
        <v>139</v>
      </c>
      <c r="B146" s="1" t="str">
        <f>VLOOKUP(A146,Data[],2,FALSE)</f>
        <v>BROOKLYN</v>
      </c>
      <c r="C146" s="9" t="s">
        <v>106</v>
      </c>
      <c r="D146" s="9">
        <f>VLOOKUP(IntComp[[#This Row],[DEVELOPMENT]],Data[],31,FALSE)</f>
        <v>1</v>
      </c>
      <c r="E146" s="9" t="str">
        <f>VLOOKUP(IntComp[[#This Row],[DEVELOPMENT]],Data[],8,FALSE)</f>
        <v>Zone 1</v>
      </c>
      <c r="F146" s="9" t="str">
        <f>VLOOKUP(IntComp[[#This Row],[DEVELOPMENT]],Data[],9,FALSE)</f>
        <v>$</v>
      </c>
      <c r="G146" s="9"/>
      <c r="H146" s="9" t="str">
        <f>IFERROR(VLOOKUP(IntComp[[#This Row],[DEVELOPMENT]],Data[],4,FALSE),"")</f>
        <v/>
      </c>
      <c r="I146" s="9" t="str">
        <f>IF(IntComp[[#This Row],[RAD/PACT]]="","",IF(IntComp[[#This Row],[RAD/PACT]]&lt;=2025,"Yes",""))</f>
        <v/>
      </c>
      <c r="J146" s="1" t="str">
        <f ca="1">IF(VLOOKUP(IntComp[[#This Row],[DEVELOPMENT]],Data[],10,FALSE)=0,"",DATEDIF(VLOOKUP(IntComp[[#This Row],[DEVELOPMENT]],Data[],12,FALSE),TODAY(),"Y"))</f>
        <v/>
      </c>
      <c r="K146" s="1">
        <f>IF(IntComp[[#This Row],[RAD/PACT]]="",VLOOKUP(IntComp[[#This Row],[DEVELOPMENT]],Data[],10,FALSE),IF(IntComp[[#This Row],[RAD/PACT by 2025]]="yes",0,VLOOKUP(IntComp[[#This Row],[DEVELOPMENT]],Data[],10,FALSE)))</f>
        <v>0</v>
      </c>
      <c r="L146" s="63">
        <f ca="1">IF(IntComp[[#This Row],[RAD/PACT by 2025]]="Yes",0,(IntComp[[#This Row],['# Int. Compactors to Replace]]*'Unit Costs'!$B$8)*(1+((IntComp[[#This Row],[est. Year]]-YEAR(TODAY()))*$L$2)))</f>
        <v>73653.394499999995</v>
      </c>
      <c r="M146" s="1">
        <f>SUM(INDEX(IntComp['# to Replace],1):IntComp[[#This Row],['# to Replace]])</f>
        <v>0</v>
      </c>
      <c r="N146" s="1">
        <f>ROUNDDOWN(IntComp[[#This Row],[Count]]/100,0)+$N$1</f>
        <v>2020</v>
      </c>
      <c r="O146" s="81">
        <f t="shared" ca="1" si="2"/>
        <v>57375994.315500014</v>
      </c>
    </row>
    <row r="147" spans="1:15" x14ac:dyDescent="0.25">
      <c r="A147" s="13" t="s">
        <v>255</v>
      </c>
      <c r="B147" s="9" t="str">
        <f>VLOOKUP(A147,Data[],2,FALSE)</f>
        <v>BROOKLYN</v>
      </c>
      <c r="C147" s="9" t="s">
        <v>106</v>
      </c>
      <c r="D147" s="9">
        <f>VLOOKUP(IntComp[[#This Row],[DEVELOPMENT]],Data[],31,FALSE)</f>
        <v>6</v>
      </c>
      <c r="E147" s="66">
        <f>VLOOKUP(IntComp[[#This Row],[DEVELOPMENT]],Data[],8,FALSE)</f>
        <v>0</v>
      </c>
      <c r="F147" s="66">
        <f>VLOOKUP(IntComp[[#This Row],[DEVELOPMENT]],Data[],9,FALSE)</f>
        <v>0</v>
      </c>
      <c r="G147" s="66"/>
      <c r="H147" s="66">
        <f>IFERROR(VLOOKUP(IntComp[[#This Row],[DEVELOPMENT]],Data[],4,FALSE),"")</f>
        <v>2019</v>
      </c>
      <c r="I147" s="66" t="str">
        <f>IF(IntComp[[#This Row],[RAD/PACT]]="","",IF(IntComp[[#This Row],[RAD/PACT]]&lt;=2025,"Yes",""))</f>
        <v>Yes</v>
      </c>
      <c r="J147" s="67" t="str">
        <f ca="1">IF(VLOOKUP(IntComp[[#This Row],[DEVELOPMENT]],Data[],10,FALSE)=0,"",DATEDIF(VLOOKUP(IntComp[[#This Row],[DEVELOPMENT]],Data[],12,FALSE),TODAY(),"Y"))</f>
        <v/>
      </c>
      <c r="K147" s="67">
        <f>IF(IntComp[[#This Row],[RAD/PACT]]="",VLOOKUP(IntComp[[#This Row],[DEVELOPMENT]],Data[],10,FALSE),IF(IntComp[[#This Row],[RAD/PACT by 2025]]="yes",0,VLOOKUP(IntComp[[#This Row],[DEVELOPMENT]],Data[],10,FALSE)))</f>
        <v>0</v>
      </c>
      <c r="L147" s="63">
        <f ca="1">IF(IntComp[[#This Row],[RAD/PACT by 2025]]="Yes",0,(IntComp[[#This Row],['# Int. Compactors to Replace]]*'Unit Costs'!$B$8)*(1+((IntComp[[#This Row],[est. Year]]-YEAR(TODAY()))*$L$2)))</f>
        <v>0</v>
      </c>
      <c r="M147" s="67">
        <f>SUM(INDEX(IntComp['# to Replace],1):IntComp[[#This Row],['# to Replace]])</f>
        <v>0</v>
      </c>
      <c r="N147" s="67">
        <f>ROUNDDOWN(IntComp[[#This Row],[Count]]/100,0)+$N$1</f>
        <v>2020</v>
      </c>
      <c r="O147" s="86">
        <f t="shared" ca="1" si="2"/>
        <v>57375994.315500014</v>
      </c>
    </row>
    <row r="148" spans="1:15" x14ac:dyDescent="0.25">
      <c r="A148" s="13" t="s">
        <v>256</v>
      </c>
      <c r="B148" s="9" t="str">
        <f>VLOOKUP(A148,Data[],2,FALSE)</f>
        <v>BROOKLYN</v>
      </c>
      <c r="C148" s="9" t="s">
        <v>106</v>
      </c>
      <c r="D148" s="9">
        <f>VLOOKUP(IntComp[[#This Row],[DEVELOPMENT]],Data[],31,FALSE)</f>
        <v>44</v>
      </c>
      <c r="E148" s="66">
        <f>VLOOKUP(IntComp[[#This Row],[DEVELOPMENT]],Data[],8,FALSE)</f>
        <v>0</v>
      </c>
      <c r="F148" s="66">
        <f>VLOOKUP(IntComp[[#This Row],[DEVELOPMENT]],Data[],9,FALSE)</f>
        <v>0</v>
      </c>
      <c r="G148" s="66"/>
      <c r="H148" s="66" t="str">
        <f>IFERROR(VLOOKUP(IntComp[[#This Row],[DEVELOPMENT]],Data[],4,FALSE),"")</f>
        <v/>
      </c>
      <c r="I148" s="66" t="str">
        <f>IF(IntComp[[#This Row],[RAD/PACT]]="","",IF(IntComp[[#This Row],[RAD/PACT]]&lt;=2025,"Yes",""))</f>
        <v/>
      </c>
      <c r="J148" s="67" t="str">
        <f ca="1">IF(VLOOKUP(IntComp[[#This Row],[DEVELOPMENT]],Data[],10,FALSE)=0,"",DATEDIF(VLOOKUP(IntComp[[#This Row],[DEVELOPMENT]],Data[],12,FALSE),TODAY(),"Y"))</f>
        <v/>
      </c>
      <c r="K148" s="67">
        <f>IF(IntComp[[#This Row],[RAD/PACT]]="",VLOOKUP(IntComp[[#This Row],[DEVELOPMENT]],Data[],10,FALSE),IF(IntComp[[#This Row],[RAD/PACT by 2025]]="yes",0,VLOOKUP(IntComp[[#This Row],[DEVELOPMENT]],Data[],10,FALSE)))</f>
        <v>0</v>
      </c>
      <c r="L148" s="63">
        <f ca="1">IF(IntComp[[#This Row],[RAD/PACT by 2025]]="Yes",0,(IntComp[[#This Row],['# Int. Compactors to Replace]]*'Unit Costs'!$B$8)*(1+((IntComp[[#This Row],[est. Year]]-YEAR(TODAY()))*$L$2)))</f>
        <v>3240749.3579999995</v>
      </c>
      <c r="M148" s="67">
        <f>SUM(INDEX(IntComp['# to Replace],1):IntComp[[#This Row],['# to Replace]])</f>
        <v>0</v>
      </c>
      <c r="N148" s="67">
        <f>ROUNDDOWN(IntComp[[#This Row],[Count]]/100,0)+$N$1</f>
        <v>2020</v>
      </c>
      <c r="O148" s="86">
        <f t="shared" ca="1" si="2"/>
        <v>60616743.673500016</v>
      </c>
    </row>
    <row r="149" spans="1:15" x14ac:dyDescent="0.25">
      <c r="A149" s="13" t="s">
        <v>257</v>
      </c>
      <c r="B149" s="9" t="str">
        <f>VLOOKUP(A149,Data[],2,FALSE)</f>
        <v>QUEENS</v>
      </c>
      <c r="C149" s="9" t="s">
        <v>106</v>
      </c>
      <c r="D149" s="9">
        <f>VLOOKUP(IntComp[[#This Row],[DEVELOPMENT]],Data[],31,FALSE)</f>
        <v>2</v>
      </c>
      <c r="E149" s="66">
        <f>VLOOKUP(IntComp[[#This Row],[DEVELOPMENT]],Data[],8,FALSE)</f>
        <v>0</v>
      </c>
      <c r="F149" s="66">
        <f>VLOOKUP(IntComp[[#This Row],[DEVELOPMENT]],Data[],9,FALSE)</f>
        <v>0</v>
      </c>
      <c r="G149" s="66"/>
      <c r="H149" s="66" t="str">
        <f>IFERROR(VLOOKUP(IntComp[[#This Row],[DEVELOPMENT]],Data[],4,FALSE),"")</f>
        <v/>
      </c>
      <c r="I149" s="66" t="str">
        <f>IF(IntComp[[#This Row],[RAD/PACT]]="","",IF(IntComp[[#This Row],[RAD/PACT]]&lt;=2025,"Yes",""))</f>
        <v/>
      </c>
      <c r="J149" s="67" t="str">
        <f ca="1">IF(VLOOKUP(IntComp[[#This Row],[DEVELOPMENT]],Data[],10,FALSE)=0,"",DATEDIF(VLOOKUP(IntComp[[#This Row],[DEVELOPMENT]],Data[],12,FALSE),TODAY(),"Y"))</f>
        <v/>
      </c>
      <c r="K149" s="67">
        <f>IF(IntComp[[#This Row],[RAD/PACT]]="",VLOOKUP(IntComp[[#This Row],[DEVELOPMENT]],Data[],10,FALSE),IF(IntComp[[#This Row],[RAD/PACT by 2025]]="yes",0,VLOOKUP(IntComp[[#This Row],[DEVELOPMENT]],Data[],10,FALSE)))</f>
        <v>0</v>
      </c>
      <c r="L149" s="63">
        <f ca="1">IF(IntComp[[#This Row],[RAD/PACT by 2025]]="Yes",0,(IntComp[[#This Row],['# Int. Compactors to Replace]]*'Unit Costs'!$B$8)*(1+((IntComp[[#This Row],[est. Year]]-YEAR(TODAY()))*$L$2)))</f>
        <v>147306.78899999999</v>
      </c>
      <c r="M149" s="67">
        <f>SUM(INDEX(IntComp['# to Replace],1):IntComp[[#This Row],['# to Replace]])</f>
        <v>0</v>
      </c>
      <c r="N149" s="67">
        <f>ROUNDDOWN(IntComp[[#This Row],[Count]]/100,0)+$N$1</f>
        <v>2020</v>
      </c>
      <c r="O149" s="86">
        <f t="shared" ca="1" si="2"/>
        <v>60764050.462500013</v>
      </c>
    </row>
    <row r="150" spans="1:15" x14ac:dyDescent="0.25">
      <c r="A150" s="13" t="s">
        <v>258</v>
      </c>
      <c r="B150" s="9" t="str">
        <f>VLOOKUP(A150,Data[],2,FALSE)</f>
        <v>MANHATTAN</v>
      </c>
      <c r="C150" s="9" t="s">
        <v>106</v>
      </c>
      <c r="D150" s="9">
        <f>VLOOKUP(IntComp[[#This Row],[DEVELOPMENT]],Data[],31,FALSE)</f>
        <v>6</v>
      </c>
      <c r="E150" s="66">
        <f>VLOOKUP(IntComp[[#This Row],[DEVELOPMENT]],Data[],8,FALSE)</f>
        <v>0</v>
      </c>
      <c r="F150" s="66">
        <f>VLOOKUP(IntComp[[#This Row],[DEVELOPMENT]],Data[],9,FALSE)</f>
        <v>0</v>
      </c>
      <c r="G150" s="66"/>
      <c r="H150" s="66" t="str">
        <f>IFERROR(VLOOKUP(IntComp[[#This Row],[DEVELOPMENT]],Data[],4,FALSE),"")</f>
        <v/>
      </c>
      <c r="I150" s="66" t="str">
        <f>IF(IntComp[[#This Row],[RAD/PACT]]="","",IF(IntComp[[#This Row],[RAD/PACT]]&lt;=2025,"Yes",""))</f>
        <v/>
      </c>
      <c r="J150" s="67" t="str">
        <f ca="1">IF(VLOOKUP(IntComp[[#This Row],[DEVELOPMENT]],Data[],10,FALSE)=0,"",DATEDIF(VLOOKUP(IntComp[[#This Row],[DEVELOPMENT]],Data[],12,FALSE),TODAY(),"Y"))</f>
        <v/>
      </c>
      <c r="K150" s="67">
        <f>IF(IntComp[[#This Row],[RAD/PACT]]="",VLOOKUP(IntComp[[#This Row],[DEVELOPMENT]],Data[],10,FALSE),IF(IntComp[[#This Row],[RAD/PACT by 2025]]="yes",0,VLOOKUP(IntComp[[#This Row],[DEVELOPMENT]],Data[],10,FALSE)))</f>
        <v>0</v>
      </c>
      <c r="L150" s="63">
        <f ca="1">IF(IntComp[[#This Row],[RAD/PACT by 2025]]="Yes",0,(IntComp[[#This Row],['# Int. Compactors to Replace]]*'Unit Costs'!$B$8)*(1+((IntComp[[#This Row],[est. Year]]-YEAR(TODAY()))*$L$2)))</f>
        <v>441920.36699999991</v>
      </c>
      <c r="M150" s="67">
        <f>SUM(INDEX(IntComp['# to Replace],1):IntComp[[#This Row],['# to Replace]])</f>
        <v>0</v>
      </c>
      <c r="N150" s="67">
        <f>ROUNDDOWN(IntComp[[#This Row],[Count]]/100,0)+$N$1</f>
        <v>2020</v>
      </c>
      <c r="O150" s="86">
        <f t="shared" ca="1" si="2"/>
        <v>61205970.829500012</v>
      </c>
    </row>
    <row r="151" spans="1:15" x14ac:dyDescent="0.25">
      <c r="A151" s="82" t="s">
        <v>35</v>
      </c>
      <c r="B151" s="1" t="str">
        <f>VLOOKUP(A151,Data[],2,FALSE)</f>
        <v>BRONX</v>
      </c>
      <c r="C151" s="9" t="s">
        <v>106</v>
      </c>
      <c r="D151" s="9">
        <f>VLOOKUP(IntComp[[#This Row],[DEVELOPMENT]],Data[],31,FALSE)</f>
        <v>7</v>
      </c>
      <c r="E151" s="9" t="str">
        <f>VLOOKUP(IntComp[[#This Row],[DEVELOPMENT]],Data[],8,FALSE)</f>
        <v>Zone 1</v>
      </c>
      <c r="F151" s="9" t="str">
        <f>VLOOKUP(IntComp[[#This Row],[DEVELOPMENT]],Data[],9,FALSE)</f>
        <v>$</v>
      </c>
      <c r="G151" s="9"/>
      <c r="H151" s="9" t="str">
        <f>IFERROR(VLOOKUP(IntComp[[#This Row],[DEVELOPMENT]],Data[],4,FALSE),"")</f>
        <v/>
      </c>
      <c r="I151" s="9" t="str">
        <f>IF(IntComp[[#This Row],[RAD/PACT]]="","",IF(IntComp[[#This Row],[RAD/PACT]]&lt;=2025,"Yes",""))</f>
        <v/>
      </c>
      <c r="J151" s="1" t="str">
        <f ca="1">IF(VLOOKUP(IntComp[[#This Row],[DEVELOPMENT]],Data[],10,FALSE)=0,"",DATEDIF(VLOOKUP(IntComp[[#This Row],[DEVELOPMENT]],Data[],12,FALSE),TODAY(),"Y"))</f>
        <v/>
      </c>
      <c r="K151" s="1">
        <f>IF(IntComp[[#This Row],[RAD/PACT]]="",VLOOKUP(IntComp[[#This Row],[DEVELOPMENT]],Data[],10,FALSE),IF(IntComp[[#This Row],[RAD/PACT by 2025]]="yes",0,VLOOKUP(IntComp[[#This Row],[DEVELOPMENT]],Data[],10,FALSE)))</f>
        <v>0</v>
      </c>
      <c r="L151" s="63">
        <f ca="1">IF(IntComp[[#This Row],[RAD/PACT by 2025]]="Yes",0,(IntComp[[#This Row],['# Int. Compactors to Replace]]*'Unit Costs'!$B$8)*(1+((IntComp[[#This Row],[est. Year]]-YEAR(TODAY()))*$L$2)))</f>
        <v>515573.76149999991</v>
      </c>
      <c r="M151" s="1">
        <f>SUM(INDEX(IntComp['# to Replace],1):IntComp[[#This Row],['# to Replace]])</f>
        <v>0</v>
      </c>
      <c r="N151" s="1">
        <f>ROUNDDOWN(IntComp[[#This Row],[Count]]/100,0)+$N$1</f>
        <v>2020</v>
      </c>
      <c r="O151" s="81">
        <f t="shared" ca="1" si="2"/>
        <v>61721544.591000013</v>
      </c>
    </row>
    <row r="152" spans="1:15" x14ac:dyDescent="0.25">
      <c r="A152" s="13" t="s">
        <v>112</v>
      </c>
      <c r="B152" s="1" t="str">
        <f>VLOOKUP(A152,Data[],2,FALSE)</f>
        <v>MANHATTAN</v>
      </c>
      <c r="C152" s="9" t="s">
        <v>106</v>
      </c>
      <c r="D152" s="9">
        <f>VLOOKUP(IntComp[[#This Row],[DEVELOPMENT]],Data[],31,FALSE)</f>
        <v>34</v>
      </c>
      <c r="E152" s="9" t="str">
        <f>VLOOKUP(IntComp[[#This Row],[DEVELOPMENT]],Data[],8,FALSE)</f>
        <v>Zone 2</v>
      </c>
      <c r="F152" s="9" t="str">
        <f>VLOOKUP(IntComp[[#This Row],[DEVELOPMENT]],Data[],9,FALSE)</f>
        <v>$$</v>
      </c>
      <c r="G152" s="9"/>
      <c r="H152" s="9">
        <f>IFERROR(VLOOKUP(IntComp[[#This Row],[DEVELOPMENT]],Data[],4,FALSE),"")</f>
        <v>2026</v>
      </c>
      <c r="I152" s="9" t="str">
        <f>IF(IntComp[[#This Row],[RAD/PACT]]="","",IF(IntComp[[#This Row],[RAD/PACT]]&lt;=2025,"Yes",""))</f>
        <v/>
      </c>
      <c r="J152" s="1" t="str">
        <f ca="1">IF(VLOOKUP(IntComp[[#This Row],[DEVELOPMENT]],Data[],10,FALSE)=0,"",DATEDIF(VLOOKUP(IntComp[[#This Row],[DEVELOPMENT]],Data[],12,FALSE),TODAY(),"Y"))</f>
        <v/>
      </c>
      <c r="K152" s="1">
        <f>IF(IntComp[[#This Row],[RAD/PACT]]="",VLOOKUP(IntComp[[#This Row],[DEVELOPMENT]],Data[],10,FALSE),IF(IntComp[[#This Row],[RAD/PACT by 2025]]="yes",0,VLOOKUP(IntComp[[#This Row],[DEVELOPMENT]],Data[],10,FALSE)))</f>
        <v>0</v>
      </c>
      <c r="L152" s="63">
        <f ca="1">IF(IntComp[[#This Row],[RAD/PACT by 2025]]="Yes",0,(IntComp[[#This Row],['# Int. Compactors to Replace]]*'Unit Costs'!$B$8)*(1+((IntComp[[#This Row],[est. Year]]-YEAR(TODAY()))*$L$2)))</f>
        <v>2504215.4129999997</v>
      </c>
      <c r="M152" s="1">
        <f>SUM(INDEX(IntComp['# to Replace],1):IntComp[[#This Row],['# to Replace]])</f>
        <v>0</v>
      </c>
      <c r="N152" s="1">
        <f>ROUNDDOWN(IntComp[[#This Row],[Count]]/100,0)+$N$1</f>
        <v>2020</v>
      </c>
      <c r="O152" s="81">
        <f t="shared" ca="1" si="2"/>
        <v>64225760.004000016</v>
      </c>
    </row>
    <row r="153" spans="1:15" x14ac:dyDescent="0.25">
      <c r="A153" s="13" t="s">
        <v>83</v>
      </c>
      <c r="B153" s="1" t="str">
        <f>VLOOKUP(A153,Data[],2,FALSE)</f>
        <v>MANHATTAN</v>
      </c>
      <c r="C153" s="9" t="s">
        <v>106</v>
      </c>
      <c r="D153" s="9">
        <f>VLOOKUP(IntComp[[#This Row],[DEVELOPMENT]],Data[],31,FALSE)</f>
        <v>17</v>
      </c>
      <c r="E153" s="9" t="str">
        <f>VLOOKUP(IntComp[[#This Row],[DEVELOPMENT]],Data[],8,FALSE)</f>
        <v>Zone 2</v>
      </c>
      <c r="F153" s="9" t="str">
        <f>VLOOKUP(IntComp[[#This Row],[DEVELOPMENT]],Data[],9,FALSE)</f>
        <v>$$$</v>
      </c>
      <c r="G153" s="9"/>
      <c r="H153" s="9">
        <f>IFERROR(VLOOKUP(IntComp[[#This Row],[DEVELOPMENT]],Data[],4,FALSE),"")</f>
        <v>2028</v>
      </c>
      <c r="I153" s="9" t="str">
        <f>IF(IntComp[[#This Row],[RAD/PACT]]="","",IF(IntComp[[#This Row],[RAD/PACT]]&lt;=2025,"Yes",""))</f>
        <v/>
      </c>
      <c r="J153" s="1" t="str">
        <f ca="1">IF(VLOOKUP(IntComp[[#This Row],[DEVELOPMENT]],Data[],10,FALSE)=0,"",DATEDIF(VLOOKUP(IntComp[[#This Row],[DEVELOPMENT]],Data[],12,FALSE),TODAY(),"Y"))</f>
        <v/>
      </c>
      <c r="K153" s="1">
        <f>IF(IntComp[[#This Row],[RAD/PACT]]="",VLOOKUP(IntComp[[#This Row],[DEVELOPMENT]],Data[],10,FALSE),IF(IntComp[[#This Row],[RAD/PACT by 2025]]="yes",0,VLOOKUP(IntComp[[#This Row],[DEVELOPMENT]],Data[],10,FALSE)))</f>
        <v>0</v>
      </c>
      <c r="L153" s="63">
        <f ca="1">IF(IntComp[[#This Row],[RAD/PACT by 2025]]="Yes",0,(IntComp[[#This Row],['# Int. Compactors to Replace]]*'Unit Costs'!$B$8)*(1+((IntComp[[#This Row],[est. Year]]-YEAR(TODAY()))*$L$2)))</f>
        <v>1252107.7064999999</v>
      </c>
      <c r="M153" s="1">
        <f>SUM(INDEX(IntComp['# to Replace],1):IntComp[[#This Row],['# to Replace]])</f>
        <v>0</v>
      </c>
      <c r="N153" s="1">
        <f>ROUNDDOWN(IntComp[[#This Row],[Count]]/100,0)+$N$1</f>
        <v>2020</v>
      </c>
      <c r="O153" s="81">
        <f t="shared" ca="1" si="2"/>
        <v>65477867.710500017</v>
      </c>
    </row>
    <row r="154" spans="1:15" x14ac:dyDescent="0.25">
      <c r="A154" s="13" t="s">
        <v>131</v>
      </c>
      <c r="B154" s="1" t="str">
        <f>VLOOKUP(A154,Data[],2,FALSE)</f>
        <v>MANHATTAN</v>
      </c>
      <c r="C154" s="9" t="s">
        <v>106</v>
      </c>
      <c r="D154" s="9">
        <f>VLOOKUP(IntComp[[#This Row],[DEVELOPMENT]],Data[],31,FALSE)</f>
        <v>10</v>
      </c>
      <c r="E154" s="9" t="str">
        <f>VLOOKUP(IntComp[[#This Row],[DEVELOPMENT]],Data[],8,FALSE)</f>
        <v>Zone 2</v>
      </c>
      <c r="F154" s="9" t="str">
        <f>VLOOKUP(IntComp[[#This Row],[DEVELOPMENT]],Data[],9,FALSE)</f>
        <v>$$$</v>
      </c>
      <c r="G154" s="9"/>
      <c r="H154" s="9" t="str">
        <f>IFERROR(VLOOKUP(IntComp[[#This Row],[DEVELOPMENT]],Data[],4,FALSE),"")</f>
        <v/>
      </c>
      <c r="I154" s="9" t="str">
        <f>IF(IntComp[[#This Row],[RAD/PACT]]="","",IF(IntComp[[#This Row],[RAD/PACT]]&lt;=2025,"Yes",""))</f>
        <v/>
      </c>
      <c r="J154" s="1" t="str">
        <f ca="1">IF(VLOOKUP(IntComp[[#This Row],[DEVELOPMENT]],Data[],10,FALSE)=0,"",DATEDIF(VLOOKUP(IntComp[[#This Row],[DEVELOPMENT]],Data[],12,FALSE),TODAY(),"Y"))</f>
        <v/>
      </c>
      <c r="K154" s="1">
        <f>IF(IntComp[[#This Row],[RAD/PACT]]="",VLOOKUP(IntComp[[#This Row],[DEVELOPMENT]],Data[],10,FALSE),IF(IntComp[[#This Row],[RAD/PACT by 2025]]="yes",0,VLOOKUP(IntComp[[#This Row],[DEVELOPMENT]],Data[],10,FALSE)))</f>
        <v>0</v>
      </c>
      <c r="L154" s="63">
        <f ca="1">IF(IntComp[[#This Row],[RAD/PACT by 2025]]="Yes",0,(IntComp[[#This Row],['# Int. Compactors to Replace]]*'Unit Costs'!$B$8)*(1+((IntComp[[#This Row],[est. Year]]-YEAR(TODAY()))*$L$2)))</f>
        <v>736533.94499999995</v>
      </c>
      <c r="M154" s="1">
        <f>SUM(INDEX(IntComp['# to Replace],1):IntComp[[#This Row],['# to Replace]])</f>
        <v>0</v>
      </c>
      <c r="N154" s="1">
        <f>ROUNDDOWN(IntComp[[#This Row],[Count]]/100,0)+$N$1</f>
        <v>2020</v>
      </c>
      <c r="O154" s="81">
        <f t="shared" ca="1" si="2"/>
        <v>66214401.655500017</v>
      </c>
    </row>
    <row r="155" spans="1:15" x14ac:dyDescent="0.25">
      <c r="A155" s="13" t="s">
        <v>84</v>
      </c>
      <c r="B155" s="1" t="str">
        <f>VLOOKUP(A155,Data[],2,FALSE)</f>
        <v>BROOKLYN</v>
      </c>
      <c r="C155" s="9" t="s">
        <v>106</v>
      </c>
      <c r="D155" s="9">
        <f>VLOOKUP(IntComp[[#This Row],[DEVELOPMENT]],Data[],31,FALSE)</f>
        <v>35</v>
      </c>
      <c r="E155" s="9" t="str">
        <f>VLOOKUP(IntComp[[#This Row],[DEVELOPMENT]],Data[],8,FALSE)</f>
        <v>Zone 3</v>
      </c>
      <c r="F155" s="9" t="str">
        <f>VLOOKUP(IntComp[[#This Row],[DEVELOPMENT]],Data[],9,FALSE)</f>
        <v>$</v>
      </c>
      <c r="G155" s="9"/>
      <c r="H155" s="9" t="str">
        <f>IFERROR(VLOOKUP(IntComp[[#This Row],[DEVELOPMENT]],Data[],4,FALSE),"")</f>
        <v/>
      </c>
      <c r="I155" s="9" t="str">
        <f>IF(IntComp[[#This Row],[RAD/PACT]]="","",IF(IntComp[[#This Row],[RAD/PACT]]&lt;=2025,"Yes",""))</f>
        <v/>
      </c>
      <c r="J155" s="1" t="str">
        <f ca="1">IF(VLOOKUP(IntComp[[#This Row],[DEVELOPMENT]],Data[],10,FALSE)=0,"",DATEDIF(VLOOKUP(IntComp[[#This Row],[DEVELOPMENT]],Data[],12,FALSE),TODAY(),"Y"))</f>
        <v/>
      </c>
      <c r="K155" s="1">
        <f>IF(IntComp[[#This Row],[RAD/PACT]]="",VLOOKUP(IntComp[[#This Row],[DEVELOPMENT]],Data[],10,FALSE),IF(IntComp[[#This Row],[RAD/PACT by 2025]]="yes",0,VLOOKUP(IntComp[[#This Row],[DEVELOPMENT]],Data[],10,FALSE)))</f>
        <v>0</v>
      </c>
      <c r="L155" s="63">
        <f ca="1">IF(IntComp[[#This Row],[RAD/PACT by 2025]]="Yes",0,(IntComp[[#This Row],['# Int. Compactors to Replace]]*'Unit Costs'!$B$8)*(1+((IntComp[[#This Row],[est. Year]]-YEAR(TODAY()))*$L$2)))</f>
        <v>2577868.8074999996</v>
      </c>
      <c r="M155" s="1">
        <f>SUM(INDEX(IntComp['# to Replace],1):IntComp[[#This Row],['# to Replace]])</f>
        <v>0</v>
      </c>
      <c r="N155" s="1">
        <f>ROUNDDOWN(IntComp[[#This Row],[Count]]/100,0)+$N$1</f>
        <v>2020</v>
      </c>
      <c r="O155" s="81">
        <f t="shared" ca="1" si="2"/>
        <v>68792270.463000014</v>
      </c>
    </row>
    <row r="156" spans="1:15" x14ac:dyDescent="0.25">
      <c r="A156" s="13" t="s">
        <v>259</v>
      </c>
      <c r="B156" s="9" t="str">
        <f>VLOOKUP(A156,Data[],2,FALSE)</f>
        <v>BROOKLYN</v>
      </c>
      <c r="C156" s="9" t="s">
        <v>106</v>
      </c>
      <c r="D156" s="9">
        <f>VLOOKUP(IntComp[[#This Row],[DEVELOPMENT]],Data[],31,FALSE)</f>
        <v>2</v>
      </c>
      <c r="E156" s="66" t="str">
        <f>VLOOKUP(IntComp[[#This Row],[DEVELOPMENT]],Data[],8,FALSE)</f>
        <v>Zone 4</v>
      </c>
      <c r="F156" s="66">
        <f>VLOOKUP(IntComp[[#This Row],[DEVELOPMENT]],Data[],9,FALSE)</f>
        <v>0</v>
      </c>
      <c r="G156" s="66"/>
      <c r="H156" s="66" t="str">
        <f>IFERROR(VLOOKUP(IntComp[[#This Row],[DEVELOPMENT]],Data[],4,FALSE),"")</f>
        <v/>
      </c>
      <c r="I156" s="66" t="str">
        <f>IF(IntComp[[#This Row],[RAD/PACT]]="","",IF(IntComp[[#This Row],[RAD/PACT]]&lt;=2025,"Yes",""))</f>
        <v/>
      </c>
      <c r="J156" s="67" t="str">
        <f ca="1">IF(VLOOKUP(IntComp[[#This Row],[DEVELOPMENT]],Data[],10,FALSE)=0,"",DATEDIF(VLOOKUP(IntComp[[#This Row],[DEVELOPMENT]],Data[],12,FALSE),TODAY(),"Y"))</f>
        <v/>
      </c>
      <c r="K156" s="67">
        <f>IF(IntComp[[#This Row],[RAD/PACT]]="",VLOOKUP(IntComp[[#This Row],[DEVELOPMENT]],Data[],10,FALSE),IF(IntComp[[#This Row],[RAD/PACT by 2025]]="yes",0,VLOOKUP(IntComp[[#This Row],[DEVELOPMENT]],Data[],10,FALSE)))</f>
        <v>0</v>
      </c>
      <c r="L156" s="63">
        <f ca="1">IF(IntComp[[#This Row],[RAD/PACT by 2025]]="Yes",0,(IntComp[[#This Row],['# Int. Compactors to Replace]]*'Unit Costs'!$B$8)*(1+((IntComp[[#This Row],[est. Year]]-YEAR(TODAY()))*$L$2)))</f>
        <v>147306.78899999999</v>
      </c>
      <c r="M156" s="67">
        <f>SUM(INDEX(IntComp['# to Replace],1):IntComp[[#This Row],['# to Replace]])</f>
        <v>0</v>
      </c>
      <c r="N156" s="67">
        <f>ROUNDDOWN(IntComp[[#This Row],[Count]]/100,0)+$N$1</f>
        <v>2020</v>
      </c>
      <c r="O156" s="86">
        <f t="shared" ca="1" si="2"/>
        <v>68939577.252000019</v>
      </c>
    </row>
    <row r="157" spans="1:15" x14ac:dyDescent="0.25">
      <c r="A157" s="13" t="s">
        <v>36</v>
      </c>
      <c r="B157" s="1" t="str">
        <f>VLOOKUP(A157,Data[],2,FALSE)</f>
        <v>MANHATTAN</v>
      </c>
      <c r="C157" s="9" t="s">
        <v>106</v>
      </c>
      <c r="D157" s="9">
        <f>VLOOKUP(IntComp[[#This Row],[DEVELOPMENT]],Data[],31,FALSE)</f>
        <v>9</v>
      </c>
      <c r="E157" s="9" t="str">
        <f>VLOOKUP(IntComp[[#This Row],[DEVELOPMENT]],Data[],8,FALSE)</f>
        <v>Zone 1</v>
      </c>
      <c r="F157" s="9" t="str">
        <f>VLOOKUP(IntComp[[#This Row],[DEVELOPMENT]],Data[],9,FALSE)</f>
        <v>$$</v>
      </c>
      <c r="G157" s="9"/>
      <c r="H157" s="9" t="str">
        <f>IFERROR(VLOOKUP(IntComp[[#This Row],[DEVELOPMENT]],Data[],4,FALSE),"")</f>
        <v/>
      </c>
      <c r="I157" s="9" t="str">
        <f>IF(IntComp[[#This Row],[RAD/PACT]]="","",IF(IntComp[[#This Row],[RAD/PACT]]&lt;=2025,"Yes",""))</f>
        <v/>
      </c>
      <c r="J157" s="1" t="str">
        <f ca="1">IF(VLOOKUP(IntComp[[#This Row],[DEVELOPMENT]],Data[],10,FALSE)=0,"",DATEDIF(VLOOKUP(IntComp[[#This Row],[DEVELOPMENT]],Data[],12,FALSE),TODAY(),"Y"))</f>
        <v/>
      </c>
      <c r="K157" s="1">
        <f>IF(IntComp[[#This Row],[RAD/PACT]]="",VLOOKUP(IntComp[[#This Row],[DEVELOPMENT]],Data[],10,FALSE),IF(IntComp[[#This Row],[RAD/PACT by 2025]]="yes",0,VLOOKUP(IntComp[[#This Row],[DEVELOPMENT]],Data[],10,FALSE)))</f>
        <v>0</v>
      </c>
      <c r="L157" s="63">
        <f ca="1">IF(IntComp[[#This Row],[RAD/PACT by 2025]]="Yes",0,(IntComp[[#This Row],['# Int. Compactors to Replace]]*'Unit Costs'!$B$8)*(1+((IntComp[[#This Row],[est. Year]]-YEAR(TODAY()))*$L$2)))</f>
        <v>662880.5504999999</v>
      </c>
      <c r="M157" s="1">
        <f>SUM(INDEX(IntComp['# to Replace],1):IntComp[[#This Row],['# to Replace]])</f>
        <v>0</v>
      </c>
      <c r="N157" s="1">
        <f>ROUNDDOWN(IntComp[[#This Row],[Count]]/100,0)+$N$1</f>
        <v>2020</v>
      </c>
      <c r="O157" s="81">
        <f t="shared" ca="1" si="2"/>
        <v>69602457.802500024</v>
      </c>
    </row>
    <row r="158" spans="1:15" x14ac:dyDescent="0.25">
      <c r="A158" s="82" t="s">
        <v>103</v>
      </c>
      <c r="B158" s="1" t="str">
        <f>VLOOKUP(A158,Data[],2,FALSE)</f>
        <v>MANHATTAN</v>
      </c>
      <c r="C158" s="9" t="s">
        <v>106</v>
      </c>
      <c r="D158" s="9">
        <f>VLOOKUP(IntComp[[#This Row],[DEVELOPMENT]],Data[],31,FALSE)</f>
        <v>1</v>
      </c>
      <c r="E158" s="9" t="str">
        <f>VLOOKUP(IntComp[[#This Row],[DEVELOPMENT]],Data[],8,FALSE)</f>
        <v>Zone 1</v>
      </c>
      <c r="F158" s="9" t="str">
        <f>VLOOKUP(IntComp[[#This Row],[DEVELOPMENT]],Data[],9,FALSE)</f>
        <v>$</v>
      </c>
      <c r="G158" s="9"/>
      <c r="H158" s="9" t="str">
        <f>IFERROR(VLOOKUP(IntComp[[#This Row],[DEVELOPMENT]],Data[],4,FALSE),"")</f>
        <v/>
      </c>
      <c r="I158" s="9" t="str">
        <f>IF(IntComp[[#This Row],[RAD/PACT]]="","",IF(IntComp[[#This Row],[RAD/PACT]]&lt;=2025,"Yes",""))</f>
        <v/>
      </c>
      <c r="J158" s="1" t="str">
        <f ca="1">IF(VLOOKUP(IntComp[[#This Row],[DEVELOPMENT]],Data[],10,FALSE)=0,"",DATEDIF(VLOOKUP(IntComp[[#This Row],[DEVELOPMENT]],Data[],12,FALSE),TODAY(),"Y"))</f>
        <v/>
      </c>
      <c r="K158" s="1">
        <f>IF(IntComp[[#This Row],[RAD/PACT]]="",VLOOKUP(IntComp[[#This Row],[DEVELOPMENT]],Data[],10,FALSE),IF(IntComp[[#This Row],[RAD/PACT by 2025]]="yes",0,VLOOKUP(IntComp[[#This Row],[DEVELOPMENT]],Data[],10,FALSE)))</f>
        <v>0</v>
      </c>
      <c r="L158" s="63">
        <f ca="1">IF(IntComp[[#This Row],[RAD/PACT by 2025]]="Yes",0,(IntComp[[#This Row],['# Int. Compactors to Replace]]*'Unit Costs'!$B$8)*(1+((IntComp[[#This Row],[est. Year]]-YEAR(TODAY()))*$L$2)))</f>
        <v>73653.394499999995</v>
      </c>
      <c r="M158" s="1">
        <f>SUM(INDEX(IntComp['# to Replace],1):IntComp[[#This Row],['# to Replace]])</f>
        <v>0</v>
      </c>
      <c r="N158" s="1">
        <f>ROUNDDOWN(IntComp[[#This Row],[Count]]/100,0)+$N$1</f>
        <v>2020</v>
      </c>
      <c r="O158" s="81">
        <f t="shared" ca="1" si="2"/>
        <v>69676111.197000027</v>
      </c>
    </row>
    <row r="159" spans="1:15" x14ac:dyDescent="0.25">
      <c r="A159" s="82" t="s">
        <v>37</v>
      </c>
      <c r="B159" s="1" t="str">
        <f>VLOOKUP(A159,Data[],2,FALSE)</f>
        <v>BROOKLYN</v>
      </c>
      <c r="C159" s="9" t="s">
        <v>106</v>
      </c>
      <c r="D159" s="9">
        <f>VLOOKUP(IntComp[[#This Row],[DEVELOPMENT]],Data[],31,FALSE)</f>
        <v>7</v>
      </c>
      <c r="E159" s="9" t="str">
        <f>VLOOKUP(IntComp[[#This Row],[DEVELOPMENT]],Data[],8,FALSE)</f>
        <v>Zone 1</v>
      </c>
      <c r="F159" s="9" t="str">
        <f>VLOOKUP(IntComp[[#This Row],[DEVELOPMENT]],Data[],9,FALSE)</f>
        <v>$$$</v>
      </c>
      <c r="G159" s="9"/>
      <c r="H159" s="9" t="str">
        <f>IFERROR(VLOOKUP(IntComp[[#This Row],[DEVELOPMENT]],Data[],4,FALSE),"")</f>
        <v/>
      </c>
      <c r="I159" s="9" t="str">
        <f>IF(IntComp[[#This Row],[RAD/PACT]]="","",IF(IntComp[[#This Row],[RAD/PACT]]&lt;=2025,"Yes",""))</f>
        <v/>
      </c>
      <c r="J159" s="1" t="str">
        <f ca="1">IF(VLOOKUP(IntComp[[#This Row],[DEVELOPMENT]],Data[],10,FALSE)=0,"",DATEDIF(VLOOKUP(IntComp[[#This Row],[DEVELOPMENT]],Data[],12,FALSE),TODAY(),"Y"))</f>
        <v/>
      </c>
      <c r="K159" s="1">
        <f>IF(IntComp[[#This Row],[RAD/PACT]]="",VLOOKUP(IntComp[[#This Row],[DEVELOPMENT]],Data[],10,FALSE),IF(IntComp[[#This Row],[RAD/PACT by 2025]]="yes",0,VLOOKUP(IntComp[[#This Row],[DEVELOPMENT]],Data[],10,FALSE)))</f>
        <v>0</v>
      </c>
      <c r="L159" s="63">
        <f ca="1">IF(IntComp[[#This Row],[RAD/PACT by 2025]]="Yes",0,(IntComp[[#This Row],['# Int. Compactors to Replace]]*'Unit Costs'!$B$8)*(1+((IntComp[[#This Row],[est. Year]]-YEAR(TODAY()))*$L$2)))</f>
        <v>515573.76149999991</v>
      </c>
      <c r="M159" s="1">
        <f>SUM(INDEX(IntComp['# to Replace],1):IntComp[[#This Row],['# to Replace]])</f>
        <v>0</v>
      </c>
      <c r="N159" s="1">
        <f>ROUNDDOWN(IntComp[[#This Row],[Count]]/100,0)+$N$1</f>
        <v>2020</v>
      </c>
      <c r="O159" s="81">
        <f t="shared" ca="1" si="2"/>
        <v>70191684.958500028</v>
      </c>
    </row>
    <row r="160" spans="1:15" x14ac:dyDescent="0.25">
      <c r="A160" s="13" t="s">
        <v>260</v>
      </c>
      <c r="B160" s="9" t="str">
        <f>VLOOKUP(A160,Data[],2,FALSE)</f>
        <v>QUEENS</v>
      </c>
      <c r="C160" s="9" t="s">
        <v>106</v>
      </c>
      <c r="D160" s="9">
        <f>VLOOKUP(IntComp[[#This Row],[DEVELOPMENT]],Data[],31,FALSE)</f>
        <v>4</v>
      </c>
      <c r="E160" s="66">
        <f>VLOOKUP(IntComp[[#This Row],[DEVELOPMENT]],Data[],8,FALSE)</f>
        <v>0</v>
      </c>
      <c r="F160" s="66">
        <f>VLOOKUP(IntComp[[#This Row],[DEVELOPMENT]],Data[],9,FALSE)</f>
        <v>0</v>
      </c>
      <c r="G160" s="66"/>
      <c r="H160" s="66" t="str">
        <f>IFERROR(VLOOKUP(IntComp[[#This Row],[DEVELOPMENT]],Data[],4,FALSE),"")</f>
        <v/>
      </c>
      <c r="I160" s="66" t="str">
        <f>IF(IntComp[[#This Row],[RAD/PACT]]="","",IF(IntComp[[#This Row],[RAD/PACT]]&lt;=2025,"Yes",""))</f>
        <v/>
      </c>
      <c r="J160" s="67" t="str">
        <f ca="1">IF(VLOOKUP(IntComp[[#This Row],[DEVELOPMENT]],Data[],10,FALSE)=0,"",DATEDIF(VLOOKUP(IntComp[[#This Row],[DEVELOPMENT]],Data[],12,FALSE),TODAY(),"Y"))</f>
        <v/>
      </c>
      <c r="K160" s="67">
        <f>IF(IntComp[[#This Row],[RAD/PACT]]="",VLOOKUP(IntComp[[#This Row],[DEVELOPMENT]],Data[],10,FALSE),IF(IntComp[[#This Row],[RAD/PACT by 2025]]="yes",0,VLOOKUP(IntComp[[#This Row],[DEVELOPMENT]],Data[],10,FALSE)))</f>
        <v>0</v>
      </c>
      <c r="L160" s="63">
        <f ca="1">IF(IntComp[[#This Row],[RAD/PACT by 2025]]="Yes",0,(IntComp[[#This Row],['# Int. Compactors to Replace]]*'Unit Costs'!$B$8)*(1+((IntComp[[#This Row],[est. Year]]-YEAR(TODAY()))*$L$2)))</f>
        <v>294613.57799999998</v>
      </c>
      <c r="M160" s="67">
        <f>SUM(INDEX(IntComp['# to Replace],1):IntComp[[#This Row],['# to Replace]])</f>
        <v>0</v>
      </c>
      <c r="N160" s="67">
        <f>ROUNDDOWN(IntComp[[#This Row],[Count]]/100,0)+$N$1</f>
        <v>2020</v>
      </c>
      <c r="O160" s="86">
        <f t="shared" ca="1" si="2"/>
        <v>70486298.536500022</v>
      </c>
    </row>
    <row r="161" spans="1:15" x14ac:dyDescent="0.25">
      <c r="A161" s="13" t="s">
        <v>382</v>
      </c>
      <c r="B161" s="9" t="str">
        <f>VLOOKUP(A161,Data[],2,FALSE)</f>
        <v>MANHATTAN</v>
      </c>
      <c r="C161" s="9" t="s">
        <v>106</v>
      </c>
      <c r="D161" s="9">
        <f>VLOOKUP(IntComp[[#This Row],[DEVELOPMENT]],Data[],31,FALSE)</f>
        <v>0</v>
      </c>
      <c r="E161" s="66">
        <f>VLOOKUP(IntComp[[#This Row],[DEVELOPMENT]],Data[],8,FALSE)</f>
        <v>0</v>
      </c>
      <c r="F161" s="66">
        <f>VLOOKUP(IntComp[[#This Row],[DEVELOPMENT]],Data[],9,FALSE)</f>
        <v>0</v>
      </c>
      <c r="G161" s="66"/>
      <c r="H161" s="66" t="str">
        <f>IFERROR(VLOOKUP(IntComp[[#This Row],[DEVELOPMENT]],Data[],4,FALSE),"")</f>
        <v/>
      </c>
      <c r="I161" s="66" t="str">
        <f>IF(IntComp[[#This Row],[RAD/PACT]]="","",IF(IntComp[[#This Row],[RAD/PACT]]&lt;=2025,"Yes",""))</f>
        <v/>
      </c>
      <c r="J161" s="67" t="str">
        <f ca="1">IF(VLOOKUP(IntComp[[#This Row],[DEVELOPMENT]],Data[],10,FALSE)=0,"",DATEDIF(VLOOKUP(IntComp[[#This Row],[DEVELOPMENT]],Data[],12,FALSE),TODAY(),"Y"))</f>
        <v/>
      </c>
      <c r="K161" s="67">
        <f>IF(IntComp[[#This Row],[RAD/PACT]]="",VLOOKUP(IntComp[[#This Row],[DEVELOPMENT]],Data[],10,FALSE),IF(IntComp[[#This Row],[RAD/PACT by 2025]]="yes",0,VLOOKUP(IntComp[[#This Row],[DEVELOPMENT]],Data[],10,FALSE)))</f>
        <v>0</v>
      </c>
      <c r="L161" s="63">
        <f ca="1">IF(IntComp[[#This Row],[RAD/PACT by 2025]]="Yes",0,(IntComp[[#This Row],['# Int. Compactors to Replace]]*'Unit Costs'!$B$8)*(1+((IntComp[[#This Row],[est. Year]]-YEAR(TODAY()))*$L$2)))</f>
        <v>0</v>
      </c>
      <c r="M161" s="67">
        <f>SUM(INDEX(IntComp['# to Replace],1):IntComp[[#This Row],['# to Replace]])</f>
        <v>0</v>
      </c>
      <c r="N161" s="67">
        <f>ROUNDDOWN(IntComp[[#This Row],[Count]]/100,0)+$N$1</f>
        <v>2020</v>
      </c>
      <c r="O161" s="86">
        <f t="shared" ca="1" si="2"/>
        <v>70486298.536500022</v>
      </c>
    </row>
    <row r="162" spans="1:15" x14ac:dyDescent="0.25">
      <c r="A162" s="13" t="s">
        <v>261</v>
      </c>
      <c r="B162" s="9" t="str">
        <f>VLOOKUP(A162,Data[],2,FALSE)</f>
        <v>QUEENS</v>
      </c>
      <c r="C162" s="9" t="s">
        <v>106</v>
      </c>
      <c r="D162" s="9">
        <f>VLOOKUP(IntComp[[#This Row],[DEVELOPMENT]],Data[],31,FALSE)</f>
        <v>1</v>
      </c>
      <c r="E162" s="66">
        <f>VLOOKUP(IntComp[[#This Row],[DEVELOPMENT]],Data[],8,FALSE)</f>
        <v>0</v>
      </c>
      <c r="F162" s="66">
        <f>VLOOKUP(IntComp[[#This Row],[DEVELOPMENT]],Data[],9,FALSE)</f>
        <v>0</v>
      </c>
      <c r="G162" s="66"/>
      <c r="H162" s="66" t="str">
        <f>IFERROR(VLOOKUP(IntComp[[#This Row],[DEVELOPMENT]],Data[],4,FALSE),"")</f>
        <v/>
      </c>
      <c r="I162" s="66" t="str">
        <f>IF(IntComp[[#This Row],[RAD/PACT]]="","",IF(IntComp[[#This Row],[RAD/PACT]]&lt;=2025,"Yes",""))</f>
        <v/>
      </c>
      <c r="J162" s="67" t="str">
        <f ca="1">IF(VLOOKUP(IntComp[[#This Row],[DEVELOPMENT]],Data[],10,FALSE)=0,"",DATEDIF(VLOOKUP(IntComp[[#This Row],[DEVELOPMENT]],Data[],12,FALSE),TODAY(),"Y"))</f>
        <v/>
      </c>
      <c r="K162" s="67">
        <f>IF(IntComp[[#This Row],[RAD/PACT]]="",VLOOKUP(IntComp[[#This Row],[DEVELOPMENT]],Data[],10,FALSE),IF(IntComp[[#This Row],[RAD/PACT by 2025]]="yes",0,VLOOKUP(IntComp[[#This Row],[DEVELOPMENT]],Data[],10,FALSE)))</f>
        <v>0</v>
      </c>
      <c r="L162" s="63">
        <f ca="1">IF(IntComp[[#This Row],[RAD/PACT by 2025]]="Yes",0,(IntComp[[#This Row],['# Int. Compactors to Replace]]*'Unit Costs'!$B$8)*(1+((IntComp[[#This Row],[est. Year]]-YEAR(TODAY()))*$L$2)))</f>
        <v>73653.394499999995</v>
      </c>
      <c r="M162" s="67">
        <f>SUM(INDEX(IntComp['# to Replace],1):IntComp[[#This Row],['# to Replace]])</f>
        <v>0</v>
      </c>
      <c r="N162" s="67">
        <f>ROUNDDOWN(IntComp[[#This Row],[Count]]/100,0)+$N$1</f>
        <v>2020</v>
      </c>
      <c r="O162" s="86">
        <f t="shared" ca="1" si="2"/>
        <v>70559951.931000024</v>
      </c>
    </row>
    <row r="163" spans="1:15" x14ac:dyDescent="0.25">
      <c r="A163" s="13" t="s">
        <v>146</v>
      </c>
      <c r="B163" s="9" t="str">
        <f>VLOOKUP(A163,Data[],2,FALSE)</f>
        <v>MANHATTAN</v>
      </c>
      <c r="C163" s="9" t="s">
        <v>106</v>
      </c>
      <c r="D163" s="9">
        <f>VLOOKUP(IntComp[[#This Row],[DEVELOPMENT]],Data[],31,FALSE)</f>
        <v>4</v>
      </c>
      <c r="E163" s="66">
        <f>VLOOKUP(IntComp[[#This Row],[DEVELOPMENT]],Data[],8,FALSE)</f>
        <v>0</v>
      </c>
      <c r="F163" s="66">
        <f>VLOOKUP(IntComp[[#This Row],[DEVELOPMENT]],Data[],9,FALSE)</f>
        <v>0</v>
      </c>
      <c r="G163" s="66"/>
      <c r="H163" s="66" t="str">
        <f>IFERROR(VLOOKUP(IntComp[[#This Row],[DEVELOPMENT]],Data[],4,FALSE),"")</f>
        <v/>
      </c>
      <c r="I163" s="66" t="str">
        <f>IF(IntComp[[#This Row],[RAD/PACT]]="","",IF(IntComp[[#This Row],[RAD/PACT]]&lt;=2025,"Yes",""))</f>
        <v/>
      </c>
      <c r="J163" s="67" t="str">
        <f ca="1">IF(VLOOKUP(IntComp[[#This Row],[DEVELOPMENT]],Data[],10,FALSE)=0,"",DATEDIF(VLOOKUP(IntComp[[#This Row],[DEVELOPMENT]],Data[],12,FALSE),TODAY(),"Y"))</f>
        <v/>
      </c>
      <c r="K163" s="67">
        <f>IF(IntComp[[#This Row],[RAD/PACT]]="",VLOOKUP(IntComp[[#This Row],[DEVELOPMENT]],Data[],10,FALSE),IF(IntComp[[#This Row],[RAD/PACT by 2025]]="yes",0,VLOOKUP(IntComp[[#This Row],[DEVELOPMENT]],Data[],10,FALSE)))</f>
        <v>0</v>
      </c>
      <c r="L163" s="63">
        <f ca="1">IF(IntComp[[#This Row],[RAD/PACT by 2025]]="Yes",0,(IntComp[[#This Row],['# Int. Compactors to Replace]]*'Unit Costs'!$B$8)*(1+((IntComp[[#This Row],[est. Year]]-YEAR(TODAY()))*$L$2)))</f>
        <v>294613.57799999998</v>
      </c>
      <c r="M163" s="67">
        <f>SUM(INDEX(IntComp['# to Replace],1):IntComp[[#This Row],['# to Replace]])</f>
        <v>0</v>
      </c>
      <c r="N163" s="67">
        <f>ROUNDDOWN(IntComp[[#This Row],[Count]]/100,0)+$N$1</f>
        <v>2020</v>
      </c>
      <c r="O163" s="86">
        <f t="shared" ca="1" si="2"/>
        <v>70854565.509000018</v>
      </c>
    </row>
    <row r="164" spans="1:15" x14ac:dyDescent="0.25">
      <c r="A164" s="13" t="s">
        <v>262</v>
      </c>
      <c r="B164" s="9" t="str">
        <f>VLOOKUP(A164,Data[],2,FALSE)</f>
        <v>BROOKLYN</v>
      </c>
      <c r="C164" s="9" t="s">
        <v>106</v>
      </c>
      <c r="D164" s="9">
        <f>VLOOKUP(IntComp[[#This Row],[DEVELOPMENT]],Data[],31,FALSE)</f>
        <v>5</v>
      </c>
      <c r="E164" s="66">
        <f>VLOOKUP(IntComp[[#This Row],[DEVELOPMENT]],Data[],8,FALSE)</f>
        <v>0</v>
      </c>
      <c r="F164" s="66">
        <f>VLOOKUP(IntComp[[#This Row],[DEVELOPMENT]],Data[],9,FALSE)</f>
        <v>0</v>
      </c>
      <c r="G164" s="66"/>
      <c r="H164" s="66">
        <f>IFERROR(VLOOKUP(IntComp[[#This Row],[DEVELOPMENT]],Data[],4,FALSE),"")</f>
        <v>2021</v>
      </c>
      <c r="I164" s="66" t="str">
        <f>IF(IntComp[[#This Row],[RAD/PACT]]="","",IF(IntComp[[#This Row],[RAD/PACT]]&lt;=2025,"Yes",""))</f>
        <v>Yes</v>
      </c>
      <c r="J164" s="67" t="str">
        <f ca="1">IF(VLOOKUP(IntComp[[#This Row],[DEVELOPMENT]],Data[],10,FALSE)=0,"",DATEDIF(VLOOKUP(IntComp[[#This Row],[DEVELOPMENT]],Data[],12,FALSE),TODAY(),"Y"))</f>
        <v/>
      </c>
      <c r="K164" s="67">
        <f>IF(IntComp[[#This Row],[RAD/PACT]]="",VLOOKUP(IntComp[[#This Row],[DEVELOPMENT]],Data[],10,FALSE),IF(IntComp[[#This Row],[RAD/PACT by 2025]]="yes",0,VLOOKUP(IntComp[[#This Row],[DEVELOPMENT]],Data[],10,FALSE)))</f>
        <v>0</v>
      </c>
      <c r="L164" s="63">
        <f ca="1">IF(IntComp[[#This Row],[RAD/PACT by 2025]]="Yes",0,(IntComp[[#This Row],['# Int. Compactors to Replace]]*'Unit Costs'!$B$8)*(1+((IntComp[[#This Row],[est. Year]]-YEAR(TODAY()))*$L$2)))</f>
        <v>0</v>
      </c>
      <c r="M164" s="67">
        <f>SUM(INDEX(IntComp['# to Replace],1):IntComp[[#This Row],['# to Replace]])</f>
        <v>0</v>
      </c>
      <c r="N164" s="67">
        <f>ROUNDDOWN(IntComp[[#This Row],[Count]]/100,0)+$N$1</f>
        <v>2020</v>
      </c>
      <c r="O164" s="86">
        <f t="shared" ca="1" si="2"/>
        <v>70854565.509000018</v>
      </c>
    </row>
    <row r="165" spans="1:15" x14ac:dyDescent="0.25">
      <c r="A165" s="13" t="s">
        <v>125</v>
      </c>
      <c r="B165" s="1" t="str">
        <f>VLOOKUP(A165,Data[],2,FALSE)</f>
        <v>MANHATTAN</v>
      </c>
      <c r="C165" s="9" t="s">
        <v>106</v>
      </c>
      <c r="D165" s="9">
        <f>VLOOKUP(IntComp[[#This Row],[DEVELOPMENT]],Data[],31,FALSE)</f>
        <v>4</v>
      </c>
      <c r="E165" s="9" t="str">
        <f>VLOOKUP(IntComp[[#This Row],[DEVELOPMENT]],Data[],8,FALSE)</f>
        <v>Zone 2</v>
      </c>
      <c r="F165" s="9" t="str">
        <f>VLOOKUP(IntComp[[#This Row],[DEVELOPMENT]],Data[],9,FALSE)</f>
        <v>$</v>
      </c>
      <c r="G165" s="9"/>
      <c r="H165" s="9">
        <f>IFERROR(VLOOKUP(IntComp[[#This Row],[DEVELOPMENT]],Data[],4,FALSE),"")</f>
        <v>2023</v>
      </c>
      <c r="I165" s="9" t="str">
        <f>IF(IntComp[[#This Row],[RAD/PACT]]="","",IF(IntComp[[#This Row],[RAD/PACT]]&lt;=2025,"Yes",""))</f>
        <v>Yes</v>
      </c>
      <c r="J165" s="1" t="str">
        <f ca="1">IF(VLOOKUP(IntComp[[#This Row],[DEVELOPMENT]],Data[],10,FALSE)=0,"",DATEDIF(VLOOKUP(IntComp[[#This Row],[DEVELOPMENT]],Data[],12,FALSE),TODAY(),"Y"))</f>
        <v/>
      </c>
      <c r="K165" s="1">
        <f>IF(IntComp[[#This Row],[RAD/PACT]]="",VLOOKUP(IntComp[[#This Row],[DEVELOPMENT]],Data[],10,FALSE),IF(IntComp[[#This Row],[RAD/PACT by 2025]]="yes",0,VLOOKUP(IntComp[[#This Row],[DEVELOPMENT]],Data[],10,FALSE)))</f>
        <v>0</v>
      </c>
      <c r="L165" s="63">
        <f ca="1">IF(IntComp[[#This Row],[RAD/PACT by 2025]]="Yes",0,(IntComp[[#This Row],['# Int. Compactors to Replace]]*'Unit Costs'!$B$8)*(1+((IntComp[[#This Row],[est. Year]]-YEAR(TODAY()))*$L$2)))</f>
        <v>0</v>
      </c>
      <c r="M165" s="1">
        <f>SUM(INDEX(IntComp['# to Replace],1):IntComp[[#This Row],['# to Replace]])</f>
        <v>0</v>
      </c>
      <c r="N165" s="1">
        <f>ROUNDDOWN(IntComp[[#This Row],[Count]]/100,0)+$N$1</f>
        <v>2020</v>
      </c>
      <c r="O165" s="81">
        <f t="shared" ca="1" si="2"/>
        <v>70854565.509000018</v>
      </c>
    </row>
    <row r="166" spans="1:15" x14ac:dyDescent="0.25">
      <c r="A166" s="13" t="s">
        <v>113</v>
      </c>
      <c r="B166" s="1" t="str">
        <f>VLOOKUP(A166,Data[],2,FALSE)</f>
        <v>MANHATTAN</v>
      </c>
      <c r="C166" s="9" t="s">
        <v>106</v>
      </c>
      <c r="D166" s="9">
        <f>VLOOKUP(IntComp[[#This Row],[DEVELOPMENT]],Data[],31,FALSE)</f>
        <v>20</v>
      </c>
      <c r="E166" s="9" t="str">
        <f>VLOOKUP(IntComp[[#This Row],[DEVELOPMENT]],Data[],8,FALSE)</f>
        <v>Zone 2</v>
      </c>
      <c r="F166" s="9" t="str">
        <f>VLOOKUP(IntComp[[#This Row],[DEVELOPMENT]],Data[],9,FALSE)</f>
        <v>$$$$</v>
      </c>
      <c r="G166" s="9"/>
      <c r="H166" s="9" t="str">
        <f>IFERROR(VLOOKUP(IntComp[[#This Row],[DEVELOPMENT]],Data[],4,FALSE),"")</f>
        <v/>
      </c>
      <c r="I166" s="9" t="str">
        <f>IF(IntComp[[#This Row],[RAD/PACT]]="","",IF(IntComp[[#This Row],[RAD/PACT]]&lt;=2025,"Yes",""))</f>
        <v/>
      </c>
      <c r="J166" s="1" t="str">
        <f ca="1">IF(VLOOKUP(IntComp[[#This Row],[DEVELOPMENT]],Data[],10,FALSE)=0,"",DATEDIF(VLOOKUP(IntComp[[#This Row],[DEVELOPMENT]],Data[],12,FALSE),TODAY(),"Y"))</f>
        <v/>
      </c>
      <c r="K166" s="1">
        <f>IF(IntComp[[#This Row],[RAD/PACT]]="",VLOOKUP(IntComp[[#This Row],[DEVELOPMENT]],Data[],10,FALSE),IF(IntComp[[#This Row],[RAD/PACT by 2025]]="yes",0,VLOOKUP(IntComp[[#This Row],[DEVELOPMENT]],Data[],10,FALSE)))</f>
        <v>0</v>
      </c>
      <c r="L166" s="63">
        <f ca="1">IF(IntComp[[#This Row],[RAD/PACT by 2025]]="Yes",0,(IntComp[[#This Row],['# Int. Compactors to Replace]]*'Unit Costs'!$B$8)*(1+((IntComp[[#This Row],[est. Year]]-YEAR(TODAY()))*$L$2)))</f>
        <v>1473067.89</v>
      </c>
      <c r="M166" s="1">
        <f>SUM(INDEX(IntComp['# to Replace],1):IntComp[[#This Row],['# to Replace]])</f>
        <v>0</v>
      </c>
      <c r="N166" s="1">
        <f>ROUNDDOWN(IntComp[[#This Row],[Count]]/100,0)+$N$1</f>
        <v>2020</v>
      </c>
      <c r="O166" s="81">
        <f t="shared" ca="1" si="2"/>
        <v>72327633.399000019</v>
      </c>
    </row>
    <row r="167" spans="1:15" x14ac:dyDescent="0.25">
      <c r="A167" s="13" t="s">
        <v>263</v>
      </c>
      <c r="B167" s="9" t="str">
        <f>VLOOKUP(A167,Data[],2,FALSE)</f>
        <v>BROOKLYN</v>
      </c>
      <c r="C167" s="9" t="s">
        <v>106</v>
      </c>
      <c r="D167" s="9">
        <f>VLOOKUP(IntComp[[#This Row],[DEVELOPMENT]],Data[],31,FALSE)</f>
        <v>19</v>
      </c>
      <c r="E167" s="66">
        <f>VLOOKUP(IntComp[[#This Row],[DEVELOPMENT]],Data[],8,FALSE)</f>
        <v>0</v>
      </c>
      <c r="F167" s="66">
        <f>VLOOKUP(IntComp[[#This Row],[DEVELOPMENT]],Data[],9,FALSE)</f>
        <v>0</v>
      </c>
      <c r="G167" s="66"/>
      <c r="H167" s="66">
        <f>IFERROR(VLOOKUP(IntComp[[#This Row],[DEVELOPMENT]],Data[],4,FALSE),"")</f>
        <v>2020</v>
      </c>
      <c r="I167" s="66" t="str">
        <f>IF(IntComp[[#This Row],[RAD/PACT]]="","",IF(IntComp[[#This Row],[RAD/PACT]]&lt;=2025,"Yes",""))</f>
        <v>Yes</v>
      </c>
      <c r="J167" s="67" t="str">
        <f ca="1">IF(VLOOKUP(IntComp[[#This Row],[DEVELOPMENT]],Data[],10,FALSE)=0,"",DATEDIF(VLOOKUP(IntComp[[#This Row],[DEVELOPMENT]],Data[],12,FALSE),TODAY(),"Y"))</f>
        <v/>
      </c>
      <c r="K167" s="67">
        <f>IF(IntComp[[#This Row],[RAD/PACT]]="",VLOOKUP(IntComp[[#This Row],[DEVELOPMENT]],Data[],10,FALSE),IF(IntComp[[#This Row],[RAD/PACT by 2025]]="yes",0,VLOOKUP(IntComp[[#This Row],[DEVELOPMENT]],Data[],10,FALSE)))</f>
        <v>0</v>
      </c>
      <c r="L167" s="63">
        <f ca="1">IF(IntComp[[#This Row],[RAD/PACT by 2025]]="Yes",0,(IntComp[[#This Row],['# Int. Compactors to Replace]]*'Unit Costs'!$B$8)*(1+((IntComp[[#This Row],[est. Year]]-YEAR(TODAY()))*$L$2)))</f>
        <v>0</v>
      </c>
      <c r="M167" s="67">
        <f>SUM(INDEX(IntComp['# to Replace],1):IntComp[[#This Row],['# to Replace]])</f>
        <v>0</v>
      </c>
      <c r="N167" s="67">
        <f>ROUNDDOWN(IntComp[[#This Row],[Count]]/100,0)+$N$1</f>
        <v>2020</v>
      </c>
      <c r="O167" s="86">
        <f t="shared" ca="1" si="2"/>
        <v>72327633.399000019</v>
      </c>
    </row>
    <row r="168" spans="1:15" x14ac:dyDescent="0.25">
      <c r="A168" s="13" t="s">
        <v>264</v>
      </c>
      <c r="B168" s="9" t="str">
        <f>VLOOKUP(A168,Data[],2,FALSE)</f>
        <v>BROOKLYN</v>
      </c>
      <c r="C168" s="9" t="s">
        <v>106</v>
      </c>
      <c r="D168" s="9">
        <f>VLOOKUP(IntComp[[#This Row],[DEVELOPMENT]],Data[],31,FALSE)</f>
        <v>4</v>
      </c>
      <c r="E168" s="66">
        <f>VLOOKUP(IntComp[[#This Row],[DEVELOPMENT]],Data[],8,FALSE)</f>
        <v>0</v>
      </c>
      <c r="F168" s="66">
        <f>VLOOKUP(IntComp[[#This Row],[DEVELOPMENT]],Data[],9,FALSE)</f>
        <v>0</v>
      </c>
      <c r="G168" s="66"/>
      <c r="H168" s="66">
        <f>IFERROR(VLOOKUP(IntComp[[#This Row],[DEVELOPMENT]],Data[],4,FALSE),"")</f>
        <v>2026</v>
      </c>
      <c r="I168" s="66" t="str">
        <f>IF(IntComp[[#This Row],[RAD/PACT]]="","",IF(IntComp[[#This Row],[RAD/PACT]]&lt;=2025,"Yes",""))</f>
        <v/>
      </c>
      <c r="J168" s="67" t="str">
        <f ca="1">IF(VLOOKUP(IntComp[[#This Row],[DEVELOPMENT]],Data[],10,FALSE)=0,"",DATEDIF(VLOOKUP(IntComp[[#This Row],[DEVELOPMENT]],Data[],12,FALSE),TODAY(),"Y"))</f>
        <v/>
      </c>
      <c r="K168" s="67">
        <f>IF(IntComp[[#This Row],[RAD/PACT]]="",VLOOKUP(IntComp[[#This Row],[DEVELOPMENT]],Data[],10,FALSE),IF(IntComp[[#This Row],[RAD/PACT by 2025]]="yes",0,VLOOKUP(IntComp[[#This Row],[DEVELOPMENT]],Data[],10,FALSE)))</f>
        <v>0</v>
      </c>
      <c r="L168" s="63">
        <f ca="1">IF(IntComp[[#This Row],[RAD/PACT by 2025]]="Yes",0,(IntComp[[#This Row],['# Int. Compactors to Replace]]*'Unit Costs'!$B$8)*(1+((IntComp[[#This Row],[est. Year]]-YEAR(TODAY()))*$L$2)))</f>
        <v>294613.57799999998</v>
      </c>
      <c r="M168" s="67">
        <f>SUM(INDEX(IntComp['# to Replace],1):IntComp[[#This Row],['# to Replace]])</f>
        <v>0</v>
      </c>
      <c r="N168" s="67">
        <f>ROUNDDOWN(IntComp[[#This Row],[Count]]/100,0)+$N$1</f>
        <v>2020</v>
      </c>
      <c r="O168" s="86">
        <f t="shared" ca="1" si="2"/>
        <v>72622246.977000013</v>
      </c>
    </row>
    <row r="169" spans="1:15" x14ac:dyDescent="0.25">
      <c r="A169" s="13" t="s">
        <v>265</v>
      </c>
      <c r="B169" s="9" t="str">
        <f>VLOOKUP(A169,Data[],2,FALSE)</f>
        <v>BRONX</v>
      </c>
      <c r="C169" s="9" t="s">
        <v>106</v>
      </c>
      <c r="D169" s="9">
        <f>VLOOKUP(IntComp[[#This Row],[DEVELOPMENT]],Data[],31,FALSE)</f>
        <v>5</v>
      </c>
      <c r="E169" s="66">
        <f>VLOOKUP(IntComp[[#This Row],[DEVELOPMENT]],Data[],8,FALSE)</f>
        <v>0</v>
      </c>
      <c r="F169" s="66">
        <f>VLOOKUP(IntComp[[#This Row],[DEVELOPMENT]],Data[],9,FALSE)</f>
        <v>0</v>
      </c>
      <c r="G169" s="66"/>
      <c r="H169" s="66" t="str">
        <f>IFERROR(VLOOKUP(IntComp[[#This Row],[DEVELOPMENT]],Data[],4,FALSE),"")</f>
        <v/>
      </c>
      <c r="I169" s="66" t="str">
        <f>IF(IntComp[[#This Row],[RAD/PACT]]="","",IF(IntComp[[#This Row],[RAD/PACT]]&lt;=2025,"Yes",""))</f>
        <v/>
      </c>
      <c r="J169" s="67" t="str">
        <f ca="1">IF(VLOOKUP(IntComp[[#This Row],[DEVELOPMENT]],Data[],10,FALSE)=0,"",DATEDIF(VLOOKUP(IntComp[[#This Row],[DEVELOPMENT]],Data[],12,FALSE),TODAY(),"Y"))</f>
        <v/>
      </c>
      <c r="K169" s="67">
        <f>IF(IntComp[[#This Row],[RAD/PACT]]="",VLOOKUP(IntComp[[#This Row],[DEVELOPMENT]],Data[],10,FALSE),IF(IntComp[[#This Row],[RAD/PACT by 2025]]="yes",0,VLOOKUP(IntComp[[#This Row],[DEVELOPMENT]],Data[],10,FALSE)))</f>
        <v>0</v>
      </c>
      <c r="L169" s="63">
        <f ca="1">IF(IntComp[[#This Row],[RAD/PACT by 2025]]="Yes",0,(IntComp[[#This Row],['# Int. Compactors to Replace]]*'Unit Costs'!$B$8)*(1+((IntComp[[#This Row],[est. Year]]-YEAR(TODAY()))*$L$2)))</f>
        <v>368266.97249999997</v>
      </c>
      <c r="M169" s="67">
        <f>SUM(INDEX(IntComp['# to Replace],1):IntComp[[#This Row],['# to Replace]])</f>
        <v>0</v>
      </c>
      <c r="N169" s="67">
        <f>ROUNDDOWN(IntComp[[#This Row],[Count]]/100,0)+$N$1</f>
        <v>2020</v>
      </c>
      <c r="O169" s="86">
        <f t="shared" ca="1" si="2"/>
        <v>72990513.949500009</v>
      </c>
    </row>
    <row r="170" spans="1:15" x14ac:dyDescent="0.25">
      <c r="A170" s="13" t="s">
        <v>266</v>
      </c>
      <c r="B170" s="9" t="str">
        <f>VLOOKUP(A170,Data[],2,FALSE)</f>
        <v>BROOKLYN</v>
      </c>
      <c r="C170" s="9" t="s">
        <v>106</v>
      </c>
      <c r="D170" s="9">
        <f>VLOOKUP(IntComp[[#This Row],[DEVELOPMENT]],Data[],31,FALSE)</f>
        <v>3</v>
      </c>
      <c r="E170" s="66">
        <f>VLOOKUP(IntComp[[#This Row],[DEVELOPMENT]],Data[],8,FALSE)</f>
        <v>0</v>
      </c>
      <c r="F170" s="66">
        <f>VLOOKUP(IntComp[[#This Row],[DEVELOPMENT]],Data[],9,FALSE)</f>
        <v>0</v>
      </c>
      <c r="G170" s="66"/>
      <c r="H170" s="66" t="str">
        <f>IFERROR(VLOOKUP(IntComp[[#This Row],[DEVELOPMENT]],Data[],4,FALSE),"")</f>
        <v/>
      </c>
      <c r="I170" s="66" t="str">
        <f>IF(IntComp[[#This Row],[RAD/PACT]]="","",IF(IntComp[[#This Row],[RAD/PACT]]&lt;=2025,"Yes",""))</f>
        <v/>
      </c>
      <c r="J170" s="67" t="str">
        <f ca="1">IF(VLOOKUP(IntComp[[#This Row],[DEVELOPMENT]],Data[],10,FALSE)=0,"",DATEDIF(VLOOKUP(IntComp[[#This Row],[DEVELOPMENT]],Data[],12,FALSE),TODAY(),"Y"))</f>
        <v/>
      </c>
      <c r="K170" s="67">
        <f>IF(IntComp[[#This Row],[RAD/PACT]]="",VLOOKUP(IntComp[[#This Row],[DEVELOPMENT]],Data[],10,FALSE),IF(IntComp[[#This Row],[RAD/PACT by 2025]]="yes",0,VLOOKUP(IntComp[[#This Row],[DEVELOPMENT]],Data[],10,FALSE)))</f>
        <v>0</v>
      </c>
      <c r="L170" s="63">
        <f ca="1">IF(IntComp[[#This Row],[RAD/PACT by 2025]]="Yes",0,(IntComp[[#This Row],['# Int. Compactors to Replace]]*'Unit Costs'!$B$8)*(1+((IntComp[[#This Row],[est. Year]]-YEAR(TODAY()))*$L$2)))</f>
        <v>220960.18349999996</v>
      </c>
      <c r="M170" s="67">
        <f>SUM(INDEX(IntComp['# to Replace],1):IntComp[[#This Row],['# to Replace]])</f>
        <v>0</v>
      </c>
      <c r="N170" s="67">
        <f>ROUNDDOWN(IntComp[[#This Row],[Count]]/100,0)+$N$1</f>
        <v>2020</v>
      </c>
      <c r="O170" s="86">
        <f t="shared" ca="1" si="2"/>
        <v>73211474.133000016</v>
      </c>
    </row>
    <row r="171" spans="1:15" x14ac:dyDescent="0.25">
      <c r="A171" s="82" t="s">
        <v>62</v>
      </c>
      <c r="B171" s="1" t="str">
        <f>VLOOKUP(A171,Data[],2,FALSE)</f>
        <v>MANHATTAN</v>
      </c>
      <c r="C171" s="9" t="s">
        <v>106</v>
      </c>
      <c r="D171" s="9">
        <f>VLOOKUP(IntComp[[#This Row],[DEVELOPMENT]],Data[],31,FALSE)</f>
        <v>0</v>
      </c>
      <c r="E171" s="9" t="str">
        <f>VLOOKUP(IntComp[[#This Row],[DEVELOPMENT]],Data[],8,FALSE)</f>
        <v>Zone 1</v>
      </c>
      <c r="F171" s="9" t="str">
        <f>VLOOKUP(IntComp[[#This Row],[DEVELOPMENT]],Data[],9,FALSE)</f>
        <v>$$</v>
      </c>
      <c r="G171" s="9"/>
      <c r="H171" s="9" t="str">
        <f>IFERROR(VLOOKUP(IntComp[[#This Row],[DEVELOPMENT]],Data[],4,FALSE),"")</f>
        <v/>
      </c>
      <c r="I171" s="9" t="str">
        <f>IF(IntComp[[#This Row],[RAD/PACT]]="","",IF(IntComp[[#This Row],[RAD/PACT]]&lt;=2025,"Yes",""))</f>
        <v/>
      </c>
      <c r="J171" s="1" t="str">
        <f ca="1">IF(VLOOKUP(IntComp[[#This Row],[DEVELOPMENT]],Data[],10,FALSE)=0,"",DATEDIF(VLOOKUP(IntComp[[#This Row],[DEVELOPMENT]],Data[],12,FALSE),TODAY(),"Y"))</f>
        <v/>
      </c>
      <c r="K171" s="1">
        <f>IF(IntComp[[#This Row],[RAD/PACT]]="",VLOOKUP(IntComp[[#This Row],[DEVELOPMENT]],Data[],10,FALSE),IF(IntComp[[#This Row],[RAD/PACT by 2025]]="yes",0,VLOOKUP(IntComp[[#This Row],[DEVELOPMENT]],Data[],10,FALSE)))</f>
        <v>0</v>
      </c>
      <c r="L171" s="63">
        <f ca="1">IF(IntComp[[#This Row],[RAD/PACT by 2025]]="Yes",0,(IntComp[[#This Row],['# Int. Compactors to Replace]]*'Unit Costs'!$B$8)*(1+((IntComp[[#This Row],[est. Year]]-YEAR(TODAY()))*$L$2)))</f>
        <v>0</v>
      </c>
      <c r="M171" s="1">
        <f>SUM(INDEX(IntComp['# to Replace],1):IntComp[[#This Row],['# to Replace]])</f>
        <v>0</v>
      </c>
      <c r="N171" s="1">
        <f>ROUNDDOWN(IntComp[[#This Row],[Count]]/100,0)+$N$1</f>
        <v>2020</v>
      </c>
      <c r="O171" s="81">
        <f t="shared" ca="1" si="2"/>
        <v>73211474.133000016</v>
      </c>
    </row>
    <row r="172" spans="1:15" x14ac:dyDescent="0.25">
      <c r="A172" s="82" t="s">
        <v>63</v>
      </c>
      <c r="B172" s="1" t="str">
        <f>VLOOKUP(A172,Data[],2,FALSE)</f>
        <v>MANHATTAN</v>
      </c>
      <c r="C172" s="9" t="s">
        <v>106</v>
      </c>
      <c r="D172" s="9">
        <f>VLOOKUP(IntComp[[#This Row],[DEVELOPMENT]],Data[],31,FALSE)</f>
        <v>0</v>
      </c>
      <c r="E172" s="9" t="str">
        <f>VLOOKUP(IntComp[[#This Row],[DEVELOPMENT]],Data[],8,FALSE)</f>
        <v>Zone 1</v>
      </c>
      <c r="F172" s="9" t="str">
        <f>VLOOKUP(IntComp[[#This Row],[DEVELOPMENT]],Data[],9,FALSE)</f>
        <v>$</v>
      </c>
      <c r="G172" s="9"/>
      <c r="H172" s="9">
        <f>IFERROR(VLOOKUP(IntComp[[#This Row],[DEVELOPMENT]],Data[],4,FALSE),"")</f>
        <v>2026</v>
      </c>
      <c r="I172" s="9" t="str">
        <f>IF(IntComp[[#This Row],[RAD/PACT]]="","",IF(IntComp[[#This Row],[RAD/PACT]]&lt;=2025,"Yes",""))</f>
        <v/>
      </c>
      <c r="J172" s="1" t="str">
        <f ca="1">IF(VLOOKUP(IntComp[[#This Row],[DEVELOPMENT]],Data[],10,FALSE)=0,"",DATEDIF(VLOOKUP(IntComp[[#This Row],[DEVELOPMENT]],Data[],12,FALSE),TODAY(),"Y"))</f>
        <v/>
      </c>
      <c r="K172" s="1">
        <f>IF(IntComp[[#This Row],[RAD/PACT]]="",VLOOKUP(IntComp[[#This Row],[DEVELOPMENT]],Data[],10,FALSE),IF(IntComp[[#This Row],[RAD/PACT by 2025]]="yes",0,VLOOKUP(IntComp[[#This Row],[DEVELOPMENT]],Data[],10,FALSE)))</f>
        <v>0</v>
      </c>
      <c r="L172" s="63">
        <f ca="1">IF(IntComp[[#This Row],[RAD/PACT by 2025]]="Yes",0,(IntComp[[#This Row],['# Int. Compactors to Replace]]*'Unit Costs'!$B$8)*(1+((IntComp[[#This Row],[est. Year]]-YEAR(TODAY()))*$L$2)))</f>
        <v>0</v>
      </c>
      <c r="M172" s="1">
        <f>SUM(INDEX(IntComp['# to Replace],1):IntComp[[#This Row],['# to Replace]])</f>
        <v>0</v>
      </c>
      <c r="N172" s="1">
        <f>ROUNDDOWN(IntComp[[#This Row],[Count]]/100,0)+$N$1</f>
        <v>2020</v>
      </c>
      <c r="O172" s="81">
        <f t="shared" ca="1" si="2"/>
        <v>73211474.133000016</v>
      </c>
    </row>
    <row r="173" spans="1:15" x14ac:dyDescent="0.25">
      <c r="A173" s="13" t="s">
        <v>267</v>
      </c>
      <c r="B173" s="1" t="str">
        <f>VLOOKUP(A173,Data[],2,FALSE)</f>
        <v>MANHATTAN</v>
      </c>
      <c r="C173" s="9" t="s">
        <v>106</v>
      </c>
      <c r="D173" s="9">
        <f>VLOOKUP(IntComp[[#This Row],[DEVELOPMENT]],Data[],31,FALSE)</f>
        <v>0</v>
      </c>
      <c r="E173" s="66" t="str">
        <f>VLOOKUP(IntComp[[#This Row],[DEVELOPMENT]],Data[],8,FALSE)</f>
        <v>Zone 1</v>
      </c>
      <c r="F173" s="9" t="str">
        <f>VLOOKUP(IntComp[[#This Row],[DEVELOPMENT]],Data[],9,FALSE)</f>
        <v>$</v>
      </c>
      <c r="G173" s="9"/>
      <c r="H173" s="66" t="str">
        <f>IFERROR(VLOOKUP(IntComp[[#This Row],[DEVELOPMENT]],Data[],4,FALSE),"")</f>
        <v/>
      </c>
      <c r="I173" s="66" t="str">
        <f>IF(IntComp[[#This Row],[RAD/PACT]]="","",IF(IntComp[[#This Row],[RAD/PACT]]&lt;=2025,"Yes",""))</f>
        <v/>
      </c>
      <c r="J173" s="67" t="str">
        <f ca="1">IF(VLOOKUP(IntComp[[#This Row],[DEVELOPMENT]],Data[],10,FALSE)=0,"",DATEDIF(VLOOKUP(IntComp[[#This Row],[DEVELOPMENT]],Data[],12,FALSE),TODAY(),"Y"))</f>
        <v/>
      </c>
      <c r="K173" s="67">
        <f>IF(IntComp[[#This Row],[RAD/PACT]]="",VLOOKUP(IntComp[[#This Row],[DEVELOPMENT]],Data[],10,FALSE),IF(IntComp[[#This Row],[RAD/PACT by 2025]]="yes",0,VLOOKUP(IntComp[[#This Row],[DEVELOPMENT]],Data[],10,FALSE)))</f>
        <v>0</v>
      </c>
      <c r="L173" s="63">
        <f ca="1">IF(IntComp[[#This Row],[RAD/PACT by 2025]]="Yes",0,(IntComp[[#This Row],['# Int. Compactors to Replace]]*'Unit Costs'!$B$8)*(1+((IntComp[[#This Row],[est. Year]]-YEAR(TODAY()))*$L$2)))</f>
        <v>0</v>
      </c>
      <c r="M173" s="67">
        <f>SUM(INDEX(IntComp['# to Replace],1):IntComp[[#This Row],['# to Replace]])</f>
        <v>0</v>
      </c>
      <c r="N173" s="67">
        <f>ROUNDDOWN(IntComp[[#This Row],[Count]]/100,0)+$N$1</f>
        <v>2020</v>
      </c>
      <c r="O173" s="81">
        <f t="shared" ca="1" si="2"/>
        <v>73211474.133000016</v>
      </c>
    </row>
    <row r="174" spans="1:15" x14ac:dyDescent="0.25">
      <c r="A174" s="82" t="s">
        <v>64</v>
      </c>
      <c r="B174" s="1" t="str">
        <f>VLOOKUP(A174,Data[],2,FALSE)</f>
        <v>MANHATTAN</v>
      </c>
      <c r="C174" s="9" t="s">
        <v>106</v>
      </c>
      <c r="D174" s="9">
        <f>VLOOKUP(IntComp[[#This Row],[DEVELOPMENT]],Data[],31,FALSE)</f>
        <v>2</v>
      </c>
      <c r="E174" s="9" t="str">
        <f>VLOOKUP(IntComp[[#This Row],[DEVELOPMENT]],Data[],8,FALSE)</f>
        <v>Zone 1</v>
      </c>
      <c r="F174" s="9" t="str">
        <f>VLOOKUP(IntComp[[#This Row],[DEVELOPMENT]],Data[],9,FALSE)</f>
        <v>$$</v>
      </c>
      <c r="G174" s="9"/>
      <c r="H174" s="9">
        <f>IFERROR(VLOOKUP(IntComp[[#This Row],[DEVELOPMENT]],Data[],4,FALSE),"")</f>
        <v>2026</v>
      </c>
      <c r="I174" s="9" t="str">
        <f>IF(IntComp[[#This Row],[RAD/PACT]]="","",IF(IntComp[[#This Row],[RAD/PACT]]&lt;=2025,"Yes",""))</f>
        <v/>
      </c>
      <c r="J174" s="1" t="str">
        <f ca="1">IF(VLOOKUP(IntComp[[#This Row],[DEVELOPMENT]],Data[],10,FALSE)=0,"",DATEDIF(VLOOKUP(IntComp[[#This Row],[DEVELOPMENT]],Data[],12,FALSE),TODAY(),"Y"))</f>
        <v/>
      </c>
      <c r="K174" s="1">
        <f>IF(IntComp[[#This Row],[RAD/PACT]]="",VLOOKUP(IntComp[[#This Row],[DEVELOPMENT]],Data[],10,FALSE),IF(IntComp[[#This Row],[RAD/PACT by 2025]]="yes",0,VLOOKUP(IntComp[[#This Row],[DEVELOPMENT]],Data[],10,FALSE)))</f>
        <v>0</v>
      </c>
      <c r="L174" s="63">
        <f ca="1">IF(IntComp[[#This Row],[RAD/PACT by 2025]]="Yes",0,(IntComp[[#This Row],['# Int. Compactors to Replace]]*'Unit Costs'!$B$8)*(1+((IntComp[[#This Row],[est. Year]]-YEAR(TODAY()))*$L$2)))</f>
        <v>147306.78899999999</v>
      </c>
      <c r="M174" s="1">
        <f>SUM(INDEX(IntComp['# to Replace],1):IntComp[[#This Row],['# to Replace]])</f>
        <v>0</v>
      </c>
      <c r="N174" s="1">
        <f>ROUNDDOWN(IntComp[[#This Row],[Count]]/100,0)+$N$1</f>
        <v>2020</v>
      </c>
      <c r="O174" s="81">
        <f t="shared" ca="1" si="2"/>
        <v>73358780.922000021</v>
      </c>
    </row>
    <row r="175" spans="1:15" x14ac:dyDescent="0.25">
      <c r="A175" s="13" t="s">
        <v>122</v>
      </c>
      <c r="B175" s="1" t="str">
        <f>VLOOKUP(A175,Data[],2,FALSE)</f>
        <v>MANHATTAN</v>
      </c>
      <c r="C175" s="9" t="s">
        <v>106</v>
      </c>
      <c r="D175" s="9">
        <f>VLOOKUP(IntComp[[#This Row],[DEVELOPMENT]],Data[],31,FALSE)</f>
        <v>6</v>
      </c>
      <c r="E175" s="9" t="str">
        <f>VLOOKUP(IntComp[[#This Row],[DEVELOPMENT]],Data[],8,FALSE)</f>
        <v>Zone 2</v>
      </c>
      <c r="F175" s="9" t="str">
        <f>VLOOKUP(IntComp[[#This Row],[DEVELOPMENT]],Data[],9,FALSE)</f>
        <v>$</v>
      </c>
      <c r="G175" s="9"/>
      <c r="H175" s="9">
        <f>IFERROR(VLOOKUP(IntComp[[#This Row],[DEVELOPMENT]],Data[],4,FALSE),"")</f>
        <v>2028</v>
      </c>
      <c r="I175" s="9" t="str">
        <f>IF(IntComp[[#This Row],[RAD/PACT]]="","",IF(IntComp[[#This Row],[RAD/PACT]]&lt;=2025,"Yes",""))</f>
        <v/>
      </c>
      <c r="J175" s="1" t="str">
        <f ca="1">IF(VLOOKUP(IntComp[[#This Row],[DEVELOPMENT]],Data[],10,FALSE)=0,"",DATEDIF(VLOOKUP(IntComp[[#This Row],[DEVELOPMENT]],Data[],12,FALSE),TODAY(),"Y"))</f>
        <v/>
      </c>
      <c r="K175" s="1">
        <f>IF(IntComp[[#This Row],[RAD/PACT]]="",VLOOKUP(IntComp[[#This Row],[DEVELOPMENT]],Data[],10,FALSE),IF(IntComp[[#This Row],[RAD/PACT by 2025]]="yes",0,VLOOKUP(IntComp[[#This Row],[DEVELOPMENT]],Data[],10,FALSE)))</f>
        <v>0</v>
      </c>
      <c r="L175" s="63">
        <f ca="1">IF(IntComp[[#This Row],[RAD/PACT by 2025]]="Yes",0,(IntComp[[#This Row],['# Int. Compactors to Replace]]*'Unit Costs'!$B$8)*(1+((IntComp[[#This Row],[est. Year]]-YEAR(TODAY()))*$L$2)))</f>
        <v>441920.36699999991</v>
      </c>
      <c r="M175" s="1">
        <f>SUM(INDEX(IntComp['# to Replace],1):IntComp[[#This Row],['# to Replace]])</f>
        <v>0</v>
      </c>
      <c r="N175" s="1">
        <f>ROUNDDOWN(IntComp[[#This Row],[Count]]/100,0)+$N$1</f>
        <v>2020</v>
      </c>
      <c r="O175" s="81">
        <f t="shared" ca="1" si="2"/>
        <v>73800701.289000019</v>
      </c>
    </row>
    <row r="176" spans="1:15" x14ac:dyDescent="0.25">
      <c r="A176" s="13" t="s">
        <v>87</v>
      </c>
      <c r="B176" s="1" t="str">
        <f>VLOOKUP(A176,Data[],2,FALSE)</f>
        <v>MANHATTAN</v>
      </c>
      <c r="C176" s="9" t="s">
        <v>106</v>
      </c>
      <c r="D176" s="9">
        <f>VLOOKUP(IntComp[[#This Row],[DEVELOPMENT]],Data[],31,FALSE)</f>
        <v>2</v>
      </c>
      <c r="E176" s="9" t="str">
        <f>VLOOKUP(IntComp[[#This Row],[DEVELOPMENT]],Data[],8,FALSE)</f>
        <v>Zone 3</v>
      </c>
      <c r="F176" s="9" t="str">
        <f>VLOOKUP(IntComp[[#This Row],[DEVELOPMENT]],Data[],9,FALSE)</f>
        <v>$</v>
      </c>
      <c r="G176" s="9"/>
      <c r="H176" s="9">
        <f>IFERROR(VLOOKUP(IntComp[[#This Row],[DEVELOPMENT]],Data[],4,FALSE),"")</f>
        <v>2019</v>
      </c>
      <c r="I176" s="9" t="str">
        <f>IF(IntComp[[#This Row],[RAD/PACT]]="","",IF(IntComp[[#This Row],[RAD/PACT]]&lt;=2025,"Yes",""))</f>
        <v>Yes</v>
      </c>
      <c r="J176" s="1" t="str">
        <f ca="1">IF(VLOOKUP(IntComp[[#This Row],[DEVELOPMENT]],Data[],10,FALSE)=0,"",DATEDIF(VLOOKUP(IntComp[[#This Row],[DEVELOPMENT]],Data[],12,FALSE),TODAY(),"Y"))</f>
        <v/>
      </c>
      <c r="K176" s="1">
        <f>IF(IntComp[[#This Row],[RAD/PACT]]="",VLOOKUP(IntComp[[#This Row],[DEVELOPMENT]],Data[],10,FALSE),IF(IntComp[[#This Row],[RAD/PACT by 2025]]="yes",0,VLOOKUP(IntComp[[#This Row],[DEVELOPMENT]],Data[],10,FALSE)))</f>
        <v>0</v>
      </c>
      <c r="L176" s="63">
        <f ca="1">IF(IntComp[[#This Row],[RAD/PACT by 2025]]="Yes",0,(IntComp[[#This Row],['# Int. Compactors to Replace]]*'Unit Costs'!$B$8)*(1+((IntComp[[#This Row],[est. Year]]-YEAR(TODAY()))*$L$2)))</f>
        <v>0</v>
      </c>
      <c r="M176" s="1">
        <f>SUM(INDEX(IntComp['# to Replace],1):IntComp[[#This Row],['# to Replace]])</f>
        <v>0</v>
      </c>
      <c r="N176" s="1">
        <f>ROUNDDOWN(IntComp[[#This Row],[Count]]/100,0)+$N$1</f>
        <v>2020</v>
      </c>
      <c r="O176" s="81">
        <f t="shared" ca="1" si="2"/>
        <v>73800701.289000019</v>
      </c>
    </row>
    <row r="177" spans="1:15" x14ac:dyDescent="0.25">
      <c r="A177" s="13" t="s">
        <v>88</v>
      </c>
      <c r="B177" s="1" t="str">
        <f>VLOOKUP(A177,Data[],2,FALSE)</f>
        <v>MANHATTAN</v>
      </c>
      <c r="C177" s="9" t="s">
        <v>106</v>
      </c>
      <c r="D177" s="9">
        <f>VLOOKUP(IntComp[[#This Row],[DEVELOPMENT]],Data[],31,FALSE)</f>
        <v>2</v>
      </c>
      <c r="E177" s="9" t="str">
        <f>VLOOKUP(IntComp[[#This Row],[DEVELOPMENT]],Data[],8,FALSE)</f>
        <v>Zone 3</v>
      </c>
      <c r="F177" s="9" t="str">
        <f>VLOOKUP(IntComp[[#This Row],[DEVELOPMENT]],Data[],9,FALSE)</f>
        <v>$</v>
      </c>
      <c r="G177" s="9"/>
      <c r="H177" s="9">
        <f>IFERROR(VLOOKUP(IntComp[[#This Row],[DEVELOPMENT]],Data[],4,FALSE),"")</f>
        <v>2019</v>
      </c>
      <c r="I177" s="9" t="str">
        <f>IF(IntComp[[#This Row],[RAD/PACT]]="","",IF(IntComp[[#This Row],[RAD/PACT]]&lt;=2025,"Yes",""))</f>
        <v>Yes</v>
      </c>
      <c r="J177" s="1" t="str">
        <f ca="1">IF(VLOOKUP(IntComp[[#This Row],[DEVELOPMENT]],Data[],10,FALSE)=0,"",DATEDIF(VLOOKUP(IntComp[[#This Row],[DEVELOPMENT]],Data[],12,FALSE),TODAY(),"Y"))</f>
        <v/>
      </c>
      <c r="K177" s="1">
        <f>IF(IntComp[[#This Row],[RAD/PACT]]="",VLOOKUP(IntComp[[#This Row],[DEVELOPMENT]],Data[],10,FALSE),IF(IntComp[[#This Row],[RAD/PACT by 2025]]="yes",0,VLOOKUP(IntComp[[#This Row],[DEVELOPMENT]],Data[],10,FALSE)))</f>
        <v>0</v>
      </c>
      <c r="L177" s="63">
        <f ca="1">IF(IntComp[[#This Row],[RAD/PACT by 2025]]="Yes",0,(IntComp[[#This Row],['# Int. Compactors to Replace]]*'Unit Costs'!$B$8)*(1+((IntComp[[#This Row],[est. Year]]-YEAR(TODAY()))*$L$2)))</f>
        <v>0</v>
      </c>
      <c r="M177" s="1">
        <f>SUM(INDEX(IntComp['# to Replace],1):IntComp[[#This Row],['# to Replace]])</f>
        <v>0</v>
      </c>
      <c r="N177" s="1">
        <f>ROUNDDOWN(IntComp[[#This Row],[Count]]/100,0)+$N$1</f>
        <v>2020</v>
      </c>
      <c r="O177" s="81">
        <f t="shared" ca="1" si="2"/>
        <v>73800701.289000019</v>
      </c>
    </row>
    <row r="178" spans="1:15" x14ac:dyDescent="0.25">
      <c r="A178" s="13" t="s">
        <v>268</v>
      </c>
      <c r="B178" s="9" t="str">
        <f>VLOOKUP(A178,Data[],2,FALSE)</f>
        <v>BRONX</v>
      </c>
      <c r="C178" s="9" t="s">
        <v>106</v>
      </c>
      <c r="D178" s="9">
        <f>VLOOKUP(IntComp[[#This Row],[DEVELOPMENT]],Data[],31,FALSE)</f>
        <v>11</v>
      </c>
      <c r="E178" s="66">
        <f>VLOOKUP(IntComp[[#This Row],[DEVELOPMENT]],Data[],8,FALSE)</f>
        <v>0</v>
      </c>
      <c r="F178" s="66">
        <f>VLOOKUP(IntComp[[#This Row],[DEVELOPMENT]],Data[],9,FALSE)</f>
        <v>0</v>
      </c>
      <c r="G178" s="66"/>
      <c r="H178" s="66" t="str">
        <f>IFERROR(VLOOKUP(IntComp[[#This Row],[DEVELOPMENT]],Data[],4,FALSE),"")</f>
        <v/>
      </c>
      <c r="I178" s="66" t="str">
        <f>IF(IntComp[[#This Row],[RAD/PACT]]="","",IF(IntComp[[#This Row],[RAD/PACT]]&lt;=2025,"Yes",""))</f>
        <v/>
      </c>
      <c r="J178" s="67" t="str">
        <f ca="1">IF(VLOOKUP(IntComp[[#This Row],[DEVELOPMENT]],Data[],10,FALSE)=0,"",DATEDIF(VLOOKUP(IntComp[[#This Row],[DEVELOPMENT]],Data[],12,FALSE),TODAY(),"Y"))</f>
        <v/>
      </c>
      <c r="K178" s="67">
        <f>IF(IntComp[[#This Row],[RAD/PACT]]="",VLOOKUP(IntComp[[#This Row],[DEVELOPMENT]],Data[],10,FALSE),IF(IntComp[[#This Row],[RAD/PACT by 2025]]="yes",0,VLOOKUP(IntComp[[#This Row],[DEVELOPMENT]],Data[],10,FALSE)))</f>
        <v>0</v>
      </c>
      <c r="L178" s="63">
        <f ca="1">IF(IntComp[[#This Row],[RAD/PACT by 2025]]="Yes",0,(IntComp[[#This Row],['# Int. Compactors to Replace]]*'Unit Costs'!$B$8)*(1+((IntComp[[#This Row],[est. Year]]-YEAR(TODAY()))*$L$2)))</f>
        <v>810187.33949999989</v>
      </c>
      <c r="M178" s="67">
        <f>SUM(INDEX(IntComp['# to Replace],1):IntComp[[#This Row],['# to Replace]])</f>
        <v>0</v>
      </c>
      <c r="N178" s="67">
        <f>ROUNDDOWN(IntComp[[#This Row],[Count]]/100,0)+$N$1</f>
        <v>2020</v>
      </c>
      <c r="O178" s="86">
        <f t="shared" ca="1" si="2"/>
        <v>74610888.628500015</v>
      </c>
    </row>
    <row r="179" spans="1:15" x14ac:dyDescent="0.25">
      <c r="A179" s="82" t="s">
        <v>38</v>
      </c>
      <c r="B179" s="1" t="str">
        <f>VLOOKUP(A179,Data[],2,FALSE)</f>
        <v>BROOKLYN</v>
      </c>
      <c r="C179" s="9" t="s">
        <v>106</v>
      </c>
      <c r="D179" s="9">
        <f>VLOOKUP(IntComp[[#This Row],[DEVELOPMENT]],Data[],31,FALSE)</f>
        <v>69</v>
      </c>
      <c r="E179" s="9" t="str">
        <f>VLOOKUP(IntComp[[#This Row],[DEVELOPMENT]],Data[],8,FALSE)</f>
        <v>Zone 1</v>
      </c>
      <c r="F179" s="9" t="str">
        <f>VLOOKUP(IntComp[[#This Row],[DEVELOPMENT]],Data[],9,FALSE)</f>
        <v>$$</v>
      </c>
      <c r="G179" s="9"/>
      <c r="H179" s="9">
        <f>IFERROR(VLOOKUP(IntComp[[#This Row],[DEVELOPMENT]],Data[],4,FALSE),"")</f>
        <v>2027</v>
      </c>
      <c r="I179" s="9" t="str">
        <f>IF(IntComp[[#This Row],[RAD/PACT]]="","",IF(IntComp[[#This Row],[RAD/PACT]]&lt;=2025,"Yes",""))</f>
        <v/>
      </c>
      <c r="J179" s="1" t="str">
        <f ca="1">IF(VLOOKUP(IntComp[[#This Row],[DEVELOPMENT]],Data[],10,FALSE)=0,"",DATEDIF(VLOOKUP(IntComp[[#This Row],[DEVELOPMENT]],Data[],12,FALSE),TODAY(),"Y"))</f>
        <v/>
      </c>
      <c r="K179" s="1">
        <f>IF(IntComp[[#This Row],[RAD/PACT]]="",VLOOKUP(IntComp[[#This Row],[DEVELOPMENT]],Data[],10,FALSE),IF(IntComp[[#This Row],[RAD/PACT by 2025]]="yes",0,VLOOKUP(IntComp[[#This Row],[DEVELOPMENT]],Data[],10,FALSE)))</f>
        <v>0</v>
      </c>
      <c r="L179" s="63">
        <f ca="1">IF(IntComp[[#This Row],[RAD/PACT by 2025]]="Yes",0,(IntComp[[#This Row],['# Int. Compactors to Replace]]*'Unit Costs'!$B$8)*(1+((IntComp[[#This Row],[est. Year]]-YEAR(TODAY()))*$L$2)))</f>
        <v>5082084.2204999998</v>
      </c>
      <c r="M179" s="1">
        <f>SUM(INDEX(IntComp['# to Replace],1):IntComp[[#This Row],['# to Replace]])</f>
        <v>0</v>
      </c>
      <c r="N179" s="1">
        <f>ROUNDDOWN(IntComp[[#This Row],[Count]]/100,0)+$N$1</f>
        <v>2020</v>
      </c>
      <c r="O179" s="81">
        <f t="shared" ca="1" si="2"/>
        <v>79692972.849000007</v>
      </c>
    </row>
    <row r="180" spans="1:15" x14ac:dyDescent="0.25">
      <c r="A180" s="13" t="s">
        <v>269</v>
      </c>
      <c r="B180" s="1" t="str">
        <f>VLOOKUP(A180,Data[],2,FALSE)</f>
        <v>BROOKLYN</v>
      </c>
      <c r="C180" s="9" t="s">
        <v>106</v>
      </c>
      <c r="D180" s="9">
        <f>VLOOKUP(IntComp[[#This Row],[DEVELOPMENT]],Data[],31,FALSE)</f>
        <v>0</v>
      </c>
      <c r="E180" s="66" t="str">
        <f>VLOOKUP(IntComp[[#This Row],[DEVELOPMENT]],Data[],8,FALSE)</f>
        <v>Zone 1</v>
      </c>
      <c r="F180" s="9" t="str">
        <f>VLOOKUP(IntComp[[#This Row],[DEVELOPMENT]],Data[],9,FALSE)</f>
        <v>$</v>
      </c>
      <c r="G180" s="9"/>
      <c r="H180" s="66">
        <f>IFERROR(VLOOKUP(IntComp[[#This Row],[DEVELOPMENT]],Data[],4,FALSE),"")</f>
        <v>2019</v>
      </c>
      <c r="I180" s="66" t="str">
        <f>IF(IntComp[[#This Row],[RAD/PACT]]="","",IF(IntComp[[#This Row],[RAD/PACT]]&lt;=2025,"Yes",""))</f>
        <v>Yes</v>
      </c>
      <c r="J180" s="67" t="str">
        <f ca="1">IF(VLOOKUP(IntComp[[#This Row],[DEVELOPMENT]],Data[],10,FALSE)=0,"",DATEDIF(VLOOKUP(IntComp[[#This Row],[DEVELOPMENT]],Data[],12,FALSE),TODAY(),"Y"))</f>
        <v/>
      </c>
      <c r="K180" s="67">
        <f>IF(IntComp[[#This Row],[RAD/PACT]]="",VLOOKUP(IntComp[[#This Row],[DEVELOPMENT]],Data[],10,FALSE),IF(IntComp[[#This Row],[RAD/PACT by 2025]]="yes",0,VLOOKUP(IntComp[[#This Row],[DEVELOPMENT]],Data[],10,FALSE)))</f>
        <v>0</v>
      </c>
      <c r="L180" s="63">
        <f ca="1">IF(IntComp[[#This Row],[RAD/PACT by 2025]]="Yes",0,(IntComp[[#This Row],['# Int. Compactors to Replace]]*'Unit Costs'!$B$8)*(1+((IntComp[[#This Row],[est. Year]]-YEAR(TODAY()))*$L$2)))</f>
        <v>0</v>
      </c>
      <c r="M180" s="67">
        <f>SUM(INDEX(IntComp['# to Replace],1):IntComp[[#This Row],['# to Replace]])</f>
        <v>0</v>
      </c>
      <c r="N180" s="67">
        <f>ROUNDDOWN(IntComp[[#This Row],[Count]]/100,0)+$N$1</f>
        <v>2020</v>
      </c>
      <c r="O180" s="81">
        <f t="shared" ca="1" si="2"/>
        <v>79692972.849000007</v>
      </c>
    </row>
    <row r="181" spans="1:15" x14ac:dyDescent="0.25">
      <c r="A181" s="13" t="s">
        <v>270</v>
      </c>
      <c r="B181" s="9" t="str">
        <f>VLOOKUP(A181,Data[],2,FALSE)</f>
        <v>BROOKLYN</v>
      </c>
      <c r="C181" s="9" t="s">
        <v>106</v>
      </c>
      <c r="D181" s="9">
        <f>VLOOKUP(IntComp[[#This Row],[DEVELOPMENT]],Data[],31,FALSE)</f>
        <v>0</v>
      </c>
      <c r="E181" s="66">
        <f>VLOOKUP(IntComp[[#This Row],[DEVELOPMENT]],Data[],8,FALSE)</f>
        <v>0</v>
      </c>
      <c r="F181" s="66">
        <f>VLOOKUP(IntComp[[#This Row],[DEVELOPMENT]],Data[],9,FALSE)</f>
        <v>0</v>
      </c>
      <c r="G181" s="66"/>
      <c r="H181" s="66">
        <f>IFERROR(VLOOKUP(IntComp[[#This Row],[DEVELOPMENT]],Data[],4,FALSE),"")</f>
        <v>2019</v>
      </c>
      <c r="I181" s="66" t="str">
        <f>IF(IntComp[[#This Row],[RAD/PACT]]="","",IF(IntComp[[#This Row],[RAD/PACT]]&lt;=2025,"Yes",""))</f>
        <v>Yes</v>
      </c>
      <c r="J181" s="67" t="str">
        <f ca="1">IF(VLOOKUP(IntComp[[#This Row],[DEVELOPMENT]],Data[],10,FALSE)=0,"",DATEDIF(VLOOKUP(IntComp[[#This Row],[DEVELOPMENT]],Data[],12,FALSE),TODAY(),"Y"))</f>
        <v/>
      </c>
      <c r="K181" s="67">
        <f>IF(IntComp[[#This Row],[RAD/PACT]]="",VLOOKUP(IntComp[[#This Row],[DEVELOPMENT]],Data[],10,FALSE),IF(IntComp[[#This Row],[RAD/PACT by 2025]]="yes",0,VLOOKUP(IntComp[[#This Row],[DEVELOPMENT]],Data[],10,FALSE)))</f>
        <v>0</v>
      </c>
      <c r="L181" s="63">
        <f ca="1">IF(IntComp[[#This Row],[RAD/PACT by 2025]]="Yes",0,(IntComp[[#This Row],['# Int. Compactors to Replace]]*'Unit Costs'!$B$8)*(1+((IntComp[[#This Row],[est. Year]]-YEAR(TODAY()))*$L$2)))</f>
        <v>0</v>
      </c>
      <c r="M181" s="67">
        <f>SUM(INDEX(IntComp['# to Replace],1):IntComp[[#This Row],['# to Replace]])</f>
        <v>0</v>
      </c>
      <c r="N181" s="67">
        <f>ROUNDDOWN(IntComp[[#This Row],[Count]]/100,0)+$N$1</f>
        <v>2020</v>
      </c>
      <c r="O181" s="86">
        <f t="shared" ca="1" si="2"/>
        <v>79692972.849000007</v>
      </c>
    </row>
    <row r="182" spans="1:15" x14ac:dyDescent="0.25">
      <c r="A182" s="13" t="s">
        <v>271</v>
      </c>
      <c r="B182" s="9" t="str">
        <f>VLOOKUP(A182,Data[],2,FALSE)</f>
        <v>STATEN ISLAND</v>
      </c>
      <c r="C182" s="9" t="s">
        <v>106</v>
      </c>
      <c r="D182" s="9">
        <f>VLOOKUP(IntComp[[#This Row],[DEVELOPMENT]],Data[],31,FALSE)</f>
        <v>27</v>
      </c>
      <c r="E182" s="66">
        <f>VLOOKUP(IntComp[[#This Row],[DEVELOPMENT]],Data[],8,FALSE)</f>
        <v>0</v>
      </c>
      <c r="F182" s="66">
        <f>VLOOKUP(IntComp[[#This Row],[DEVELOPMENT]],Data[],9,FALSE)</f>
        <v>0</v>
      </c>
      <c r="G182" s="66"/>
      <c r="H182" s="66">
        <f>IFERROR(VLOOKUP(IntComp[[#This Row],[DEVELOPMENT]],Data[],4,FALSE),"")</f>
        <v>2028</v>
      </c>
      <c r="I182" s="66" t="str">
        <f>IF(IntComp[[#This Row],[RAD/PACT]]="","",IF(IntComp[[#This Row],[RAD/PACT]]&lt;=2025,"Yes",""))</f>
        <v/>
      </c>
      <c r="J182" s="67" t="str">
        <f ca="1">IF(VLOOKUP(IntComp[[#This Row],[DEVELOPMENT]],Data[],10,FALSE)=0,"",DATEDIF(VLOOKUP(IntComp[[#This Row],[DEVELOPMENT]],Data[],12,FALSE),TODAY(),"Y"))</f>
        <v/>
      </c>
      <c r="K182" s="67">
        <f>IF(IntComp[[#This Row],[RAD/PACT]]="",VLOOKUP(IntComp[[#This Row],[DEVELOPMENT]],Data[],10,FALSE),IF(IntComp[[#This Row],[RAD/PACT by 2025]]="yes",0,VLOOKUP(IntComp[[#This Row],[DEVELOPMENT]],Data[],10,FALSE)))</f>
        <v>0</v>
      </c>
      <c r="L182" s="63">
        <f ca="1">IF(IntComp[[#This Row],[RAD/PACT by 2025]]="Yes",0,(IntComp[[#This Row],['# Int. Compactors to Replace]]*'Unit Costs'!$B$8)*(1+((IntComp[[#This Row],[est. Year]]-YEAR(TODAY()))*$L$2)))</f>
        <v>1988641.6514999997</v>
      </c>
      <c r="M182" s="67">
        <f>SUM(INDEX(IntComp['# to Replace],1):IntComp[[#This Row],['# to Replace]])</f>
        <v>0</v>
      </c>
      <c r="N182" s="67">
        <f>ROUNDDOWN(IntComp[[#This Row],[Count]]/100,0)+$N$1</f>
        <v>2020</v>
      </c>
      <c r="O182" s="86">
        <f t="shared" ca="1" si="2"/>
        <v>81681614.500500008</v>
      </c>
    </row>
    <row r="183" spans="1:15" x14ac:dyDescent="0.25">
      <c r="A183" s="13" t="s">
        <v>272</v>
      </c>
      <c r="B183" s="9" t="str">
        <f>VLOOKUP(A183,Data[],2,FALSE)</f>
        <v>BROOKLYN</v>
      </c>
      <c r="C183" s="9" t="s">
        <v>106</v>
      </c>
      <c r="D183" s="9">
        <f>VLOOKUP(IntComp[[#This Row],[DEVELOPMENT]],Data[],31,FALSE)</f>
        <v>28</v>
      </c>
      <c r="E183" s="66">
        <f>VLOOKUP(IntComp[[#This Row],[DEVELOPMENT]],Data[],8,FALSE)</f>
        <v>0</v>
      </c>
      <c r="F183" s="66">
        <f>VLOOKUP(IntComp[[#This Row],[DEVELOPMENT]],Data[],9,FALSE)</f>
        <v>0</v>
      </c>
      <c r="G183" s="66"/>
      <c r="H183" s="66" t="str">
        <f>IFERROR(VLOOKUP(IntComp[[#This Row],[DEVELOPMENT]],Data[],4,FALSE),"")</f>
        <v/>
      </c>
      <c r="I183" s="66" t="str">
        <f>IF(IntComp[[#This Row],[RAD/PACT]]="","",IF(IntComp[[#This Row],[RAD/PACT]]&lt;=2025,"Yes",""))</f>
        <v/>
      </c>
      <c r="J183" s="67" t="str">
        <f ca="1">IF(VLOOKUP(IntComp[[#This Row],[DEVELOPMENT]],Data[],10,FALSE)=0,"",DATEDIF(VLOOKUP(IntComp[[#This Row],[DEVELOPMENT]],Data[],12,FALSE),TODAY(),"Y"))</f>
        <v/>
      </c>
      <c r="K183" s="67">
        <f>IF(IntComp[[#This Row],[RAD/PACT]]="",VLOOKUP(IntComp[[#This Row],[DEVELOPMENT]],Data[],10,FALSE),IF(IntComp[[#This Row],[RAD/PACT by 2025]]="yes",0,VLOOKUP(IntComp[[#This Row],[DEVELOPMENT]],Data[],10,FALSE)))</f>
        <v>0</v>
      </c>
      <c r="L183" s="63">
        <f ca="1">IF(IntComp[[#This Row],[RAD/PACT by 2025]]="Yes",0,(IntComp[[#This Row],['# Int. Compactors to Replace]]*'Unit Costs'!$B$8)*(1+((IntComp[[#This Row],[est. Year]]-YEAR(TODAY()))*$L$2)))</f>
        <v>2062295.0459999996</v>
      </c>
      <c r="M183" s="67">
        <f>SUM(INDEX(IntComp['# to Replace],1):IntComp[[#This Row],['# to Replace]])</f>
        <v>0</v>
      </c>
      <c r="N183" s="67">
        <f>ROUNDDOWN(IntComp[[#This Row],[Count]]/100,0)+$N$1</f>
        <v>2020</v>
      </c>
      <c r="O183" s="86">
        <f t="shared" ca="1" si="2"/>
        <v>83743909.546500012</v>
      </c>
    </row>
    <row r="184" spans="1:15" x14ac:dyDescent="0.25">
      <c r="A184" s="13" t="s">
        <v>89</v>
      </c>
      <c r="B184" s="1" t="str">
        <f>VLOOKUP(A184,Data[],2,FALSE)</f>
        <v>MANHATTAN</v>
      </c>
      <c r="C184" s="9" t="s">
        <v>106</v>
      </c>
      <c r="D184" s="9">
        <f>VLOOKUP(IntComp[[#This Row],[DEVELOPMENT]],Data[],31,FALSE)</f>
        <v>1</v>
      </c>
      <c r="E184" s="9" t="str">
        <f>VLOOKUP(IntComp[[#This Row],[DEVELOPMENT]],Data[],8,FALSE)</f>
        <v>Zone 3</v>
      </c>
      <c r="F184" s="9" t="str">
        <f>VLOOKUP(IntComp[[#This Row],[DEVELOPMENT]],Data[],9,FALSE)</f>
        <v>$$</v>
      </c>
      <c r="G184" s="9"/>
      <c r="H184" s="9">
        <f>IFERROR(VLOOKUP(IntComp[[#This Row],[DEVELOPMENT]],Data[],4,FALSE),"")</f>
        <v>2020</v>
      </c>
      <c r="I184" s="9" t="str">
        <f>IF(IntComp[[#This Row],[RAD/PACT]]="","",IF(IntComp[[#This Row],[RAD/PACT]]&lt;=2025,"Yes",""))</f>
        <v>Yes</v>
      </c>
      <c r="J184" s="1" t="str">
        <f ca="1">IF(VLOOKUP(IntComp[[#This Row],[DEVELOPMENT]],Data[],10,FALSE)=0,"",DATEDIF(VLOOKUP(IntComp[[#This Row],[DEVELOPMENT]],Data[],12,FALSE),TODAY(),"Y"))</f>
        <v/>
      </c>
      <c r="K184" s="1">
        <f>IF(IntComp[[#This Row],[RAD/PACT]]="",VLOOKUP(IntComp[[#This Row],[DEVELOPMENT]],Data[],10,FALSE),IF(IntComp[[#This Row],[RAD/PACT by 2025]]="yes",0,VLOOKUP(IntComp[[#This Row],[DEVELOPMENT]],Data[],10,FALSE)))</f>
        <v>0</v>
      </c>
      <c r="L184" s="63">
        <f ca="1">IF(IntComp[[#This Row],[RAD/PACT by 2025]]="Yes",0,(IntComp[[#This Row],['# Int. Compactors to Replace]]*'Unit Costs'!$B$8)*(1+((IntComp[[#This Row],[est. Year]]-YEAR(TODAY()))*$L$2)))</f>
        <v>0</v>
      </c>
      <c r="M184" s="1">
        <f>SUM(INDEX(IntComp['# to Replace],1):IntComp[[#This Row],['# to Replace]])</f>
        <v>0</v>
      </c>
      <c r="N184" s="1">
        <f>ROUNDDOWN(IntComp[[#This Row],[Count]]/100,0)+$N$1</f>
        <v>2020</v>
      </c>
      <c r="O184" s="81">
        <f t="shared" ca="1" si="2"/>
        <v>83743909.546500012</v>
      </c>
    </row>
    <row r="185" spans="1:15" x14ac:dyDescent="0.25">
      <c r="A185" s="13" t="s">
        <v>273</v>
      </c>
      <c r="B185" s="9" t="str">
        <f>VLOOKUP(A185,Data[],2,FALSE)</f>
        <v>BRONX</v>
      </c>
      <c r="C185" s="9" t="s">
        <v>106</v>
      </c>
      <c r="D185" s="9">
        <f>VLOOKUP(IntComp[[#This Row],[DEVELOPMENT]],Data[],31,FALSE)</f>
        <v>5</v>
      </c>
      <c r="E185" s="66" t="str">
        <f>VLOOKUP(IntComp[[#This Row],[DEVELOPMENT]],Data[],8,FALSE)</f>
        <v>Zone 4</v>
      </c>
      <c r="F185" s="66">
        <f>VLOOKUP(IntComp[[#This Row],[DEVELOPMENT]],Data[],9,FALSE)</f>
        <v>0</v>
      </c>
      <c r="G185" s="66"/>
      <c r="H185" s="66" t="str">
        <f>IFERROR(VLOOKUP(IntComp[[#This Row],[DEVELOPMENT]],Data[],4,FALSE),"")</f>
        <v/>
      </c>
      <c r="I185" s="66" t="str">
        <f>IF(IntComp[[#This Row],[RAD/PACT]]="","",IF(IntComp[[#This Row],[RAD/PACT]]&lt;=2025,"Yes",""))</f>
        <v/>
      </c>
      <c r="J185" s="67" t="str">
        <f ca="1">IF(VLOOKUP(IntComp[[#This Row],[DEVELOPMENT]],Data[],10,FALSE)=0,"",DATEDIF(VLOOKUP(IntComp[[#This Row],[DEVELOPMENT]],Data[],12,FALSE),TODAY(),"Y"))</f>
        <v/>
      </c>
      <c r="K185" s="67">
        <f>IF(IntComp[[#This Row],[RAD/PACT]]="",VLOOKUP(IntComp[[#This Row],[DEVELOPMENT]],Data[],10,FALSE),IF(IntComp[[#This Row],[RAD/PACT by 2025]]="yes",0,VLOOKUP(IntComp[[#This Row],[DEVELOPMENT]],Data[],10,FALSE)))</f>
        <v>0</v>
      </c>
      <c r="L185" s="63">
        <f ca="1">IF(IntComp[[#This Row],[RAD/PACT by 2025]]="Yes",0,(IntComp[[#This Row],['# Int. Compactors to Replace]]*'Unit Costs'!$B$8)*(1+((IntComp[[#This Row],[est. Year]]-YEAR(TODAY()))*$L$2)))</f>
        <v>368266.97249999997</v>
      </c>
      <c r="M185" s="67">
        <f>SUM(INDEX(IntComp['# to Replace],1):IntComp[[#This Row],['# to Replace]])</f>
        <v>0</v>
      </c>
      <c r="N185" s="67">
        <f>ROUNDDOWN(IntComp[[#This Row],[Count]]/100,0)+$N$1</f>
        <v>2020</v>
      </c>
      <c r="O185" s="86">
        <f t="shared" ca="1" si="2"/>
        <v>84112176.519000009</v>
      </c>
    </row>
    <row r="186" spans="1:15" x14ac:dyDescent="0.25">
      <c r="A186" s="13" t="s">
        <v>39</v>
      </c>
      <c r="B186" s="1" t="str">
        <f>VLOOKUP(A186,Data[],2,FALSE)</f>
        <v>BRONX</v>
      </c>
      <c r="C186" s="9" t="s">
        <v>106</v>
      </c>
      <c r="D186" s="9">
        <f>VLOOKUP(IntComp[[#This Row],[DEVELOPMENT]],Data[],31,FALSE)</f>
        <v>8</v>
      </c>
      <c r="E186" s="9" t="str">
        <f>VLOOKUP(IntComp[[#This Row],[DEVELOPMENT]],Data[],8,FALSE)</f>
        <v>Zone 1</v>
      </c>
      <c r="F186" s="9" t="str">
        <f>VLOOKUP(IntComp[[#This Row],[DEVELOPMENT]],Data[],9,FALSE)</f>
        <v>$</v>
      </c>
      <c r="G186" s="9"/>
      <c r="H186" s="9">
        <f>IFERROR(VLOOKUP(IntComp[[#This Row],[DEVELOPMENT]],Data[],4,FALSE),"")</f>
        <v>2023</v>
      </c>
      <c r="I186" s="9" t="str">
        <f>IF(IntComp[[#This Row],[RAD/PACT]]="","",IF(IntComp[[#This Row],[RAD/PACT]]&lt;=2025,"Yes",""))</f>
        <v>Yes</v>
      </c>
      <c r="J186" s="1" t="str">
        <f ca="1">IF(VLOOKUP(IntComp[[#This Row],[DEVELOPMENT]],Data[],10,FALSE)=0,"",DATEDIF(VLOOKUP(IntComp[[#This Row],[DEVELOPMENT]],Data[],12,FALSE),TODAY(),"Y"))</f>
        <v/>
      </c>
      <c r="K186" s="1">
        <f>IF(IntComp[[#This Row],[RAD/PACT]]="",VLOOKUP(IntComp[[#This Row],[DEVELOPMENT]],Data[],10,FALSE),IF(IntComp[[#This Row],[RAD/PACT by 2025]]="yes",0,VLOOKUP(IntComp[[#This Row],[DEVELOPMENT]],Data[],10,FALSE)))</f>
        <v>0</v>
      </c>
      <c r="L186" s="63">
        <f ca="1">IF(IntComp[[#This Row],[RAD/PACT by 2025]]="Yes",0,(IntComp[[#This Row],['# Int. Compactors to Replace]]*'Unit Costs'!$B$8)*(1+((IntComp[[#This Row],[est. Year]]-YEAR(TODAY()))*$L$2)))</f>
        <v>0</v>
      </c>
      <c r="M186" s="1">
        <f>SUM(INDEX(IntComp['# to Replace],1):IntComp[[#This Row],['# to Replace]])</f>
        <v>0</v>
      </c>
      <c r="N186" s="1">
        <f>ROUNDDOWN(IntComp[[#This Row],[Count]]/100,0)+$N$1</f>
        <v>2020</v>
      </c>
      <c r="O186" s="81">
        <f t="shared" ca="1" si="2"/>
        <v>84112176.519000009</v>
      </c>
    </row>
    <row r="187" spans="1:15" x14ac:dyDescent="0.25">
      <c r="A187" s="82" t="s">
        <v>50</v>
      </c>
      <c r="B187" s="1" t="str">
        <f>VLOOKUP(A187,Data[],2,FALSE)</f>
        <v>MANHATTAN</v>
      </c>
      <c r="C187" s="9" t="s">
        <v>106</v>
      </c>
      <c r="D187" s="9">
        <f>VLOOKUP(IntComp[[#This Row],[DEVELOPMENT]],Data[],31,FALSE)</f>
        <v>1</v>
      </c>
      <c r="E187" s="9" t="str">
        <f>VLOOKUP(IntComp[[#This Row],[DEVELOPMENT]],Data[],8,FALSE)</f>
        <v>Zone 1</v>
      </c>
      <c r="F187" s="9" t="str">
        <f>VLOOKUP(IntComp[[#This Row],[DEVELOPMENT]],Data[],9,FALSE)</f>
        <v>$</v>
      </c>
      <c r="G187" s="9"/>
      <c r="H187" s="9" t="str">
        <f>IFERROR(VLOOKUP(IntComp[[#This Row],[DEVELOPMENT]],Data[],4,FALSE),"")</f>
        <v/>
      </c>
      <c r="I187" s="9" t="str">
        <f>IF(IntComp[[#This Row],[RAD/PACT]]="","",IF(IntComp[[#This Row],[RAD/PACT]]&lt;=2025,"Yes",""))</f>
        <v/>
      </c>
      <c r="J187" s="1" t="str">
        <f ca="1">IF(VLOOKUP(IntComp[[#This Row],[DEVELOPMENT]],Data[],10,FALSE)=0,"",DATEDIF(VLOOKUP(IntComp[[#This Row],[DEVELOPMENT]],Data[],12,FALSE),TODAY(),"Y"))</f>
        <v/>
      </c>
      <c r="K187" s="1">
        <f>IF(IntComp[[#This Row],[RAD/PACT]]="",VLOOKUP(IntComp[[#This Row],[DEVELOPMENT]],Data[],10,FALSE),IF(IntComp[[#This Row],[RAD/PACT by 2025]]="yes",0,VLOOKUP(IntComp[[#This Row],[DEVELOPMENT]],Data[],10,FALSE)))</f>
        <v>0</v>
      </c>
      <c r="L187" s="63">
        <f ca="1">IF(IntComp[[#This Row],[RAD/PACT by 2025]]="Yes",0,(IntComp[[#This Row],['# Int. Compactors to Replace]]*'Unit Costs'!$B$8)*(1+((IntComp[[#This Row],[est. Year]]-YEAR(TODAY()))*$L$2)))</f>
        <v>73653.394499999995</v>
      </c>
      <c r="M187" s="1">
        <f>SUM(INDEX(IntComp['# to Replace],1):IntComp[[#This Row],['# to Replace]])</f>
        <v>0</v>
      </c>
      <c r="N187" s="1">
        <f>ROUNDDOWN(IntComp[[#This Row],[Count]]/100,0)+$N$1</f>
        <v>2020</v>
      </c>
      <c r="O187" s="81">
        <f t="shared" ca="1" si="2"/>
        <v>84185829.913500011</v>
      </c>
    </row>
    <row r="188" spans="1:15" x14ac:dyDescent="0.25">
      <c r="A188" s="13" t="s">
        <v>90</v>
      </c>
      <c r="B188" s="1" t="str">
        <f>VLOOKUP(A188,Data[],2,FALSE)</f>
        <v>MANHATTAN</v>
      </c>
      <c r="C188" s="9" t="s">
        <v>106</v>
      </c>
      <c r="D188" s="9">
        <f>VLOOKUP(IntComp[[#This Row],[DEVELOPMENT]],Data[],31,FALSE)</f>
        <v>3</v>
      </c>
      <c r="E188" s="9" t="str">
        <f>VLOOKUP(IntComp[[#This Row],[DEVELOPMENT]],Data[],8,FALSE)</f>
        <v>Zone 2</v>
      </c>
      <c r="F188" s="9" t="str">
        <f>VLOOKUP(IntComp[[#This Row],[DEVELOPMENT]],Data[],9,FALSE)</f>
        <v>$</v>
      </c>
      <c r="G188" s="9"/>
      <c r="H188" s="9" t="str">
        <f>IFERROR(VLOOKUP(IntComp[[#This Row],[DEVELOPMENT]],Data[],4,FALSE),"")</f>
        <v/>
      </c>
      <c r="I188" s="9" t="str">
        <f>IF(IntComp[[#This Row],[RAD/PACT]]="","",IF(IntComp[[#This Row],[RAD/PACT]]&lt;=2025,"Yes",""))</f>
        <v/>
      </c>
      <c r="J188" s="1" t="str">
        <f ca="1">IF(VLOOKUP(IntComp[[#This Row],[DEVELOPMENT]],Data[],10,FALSE)=0,"",DATEDIF(VLOOKUP(IntComp[[#This Row],[DEVELOPMENT]],Data[],12,FALSE),TODAY(),"Y"))</f>
        <v/>
      </c>
      <c r="K188" s="1">
        <f>IF(IntComp[[#This Row],[RAD/PACT]]="",VLOOKUP(IntComp[[#This Row],[DEVELOPMENT]],Data[],10,FALSE),IF(IntComp[[#This Row],[RAD/PACT by 2025]]="yes",0,VLOOKUP(IntComp[[#This Row],[DEVELOPMENT]],Data[],10,FALSE)))</f>
        <v>0</v>
      </c>
      <c r="L188" s="63">
        <f ca="1">IF(IntComp[[#This Row],[RAD/PACT by 2025]]="Yes",0,(IntComp[[#This Row],['# Int. Compactors to Replace]]*'Unit Costs'!$B$8)*(1+((IntComp[[#This Row],[est. Year]]-YEAR(TODAY()))*$L$2)))</f>
        <v>220960.18349999996</v>
      </c>
      <c r="M188" s="1">
        <f>SUM(INDEX(IntComp['# to Replace],1):IntComp[[#This Row],['# to Replace]])</f>
        <v>0</v>
      </c>
      <c r="N188" s="1">
        <f>ROUNDDOWN(IntComp[[#This Row],[Count]]/100,0)+$N$1</f>
        <v>2020</v>
      </c>
      <c r="O188" s="81">
        <f t="shared" ca="1" si="2"/>
        <v>84406790.097000018</v>
      </c>
    </row>
    <row r="189" spans="1:15" x14ac:dyDescent="0.25">
      <c r="A189" s="13" t="s">
        <v>274</v>
      </c>
      <c r="B189" s="9" t="str">
        <f>VLOOKUP(A189,Data[],2,FALSE)</f>
        <v>BRONX</v>
      </c>
      <c r="C189" s="9" t="s">
        <v>106</v>
      </c>
      <c r="D189" s="9">
        <f>VLOOKUP(IntComp[[#This Row],[DEVELOPMENT]],Data[],31,FALSE)</f>
        <v>1</v>
      </c>
      <c r="E189" s="66">
        <f>VLOOKUP(IntComp[[#This Row],[DEVELOPMENT]],Data[],8,FALSE)</f>
        <v>0</v>
      </c>
      <c r="F189" s="66">
        <f>VLOOKUP(IntComp[[#This Row],[DEVELOPMENT]],Data[],9,FALSE)</f>
        <v>0</v>
      </c>
      <c r="G189" s="66"/>
      <c r="H189" s="66">
        <f>IFERROR(VLOOKUP(IntComp[[#This Row],[DEVELOPMENT]],Data[],4,FALSE),"")</f>
        <v>2026</v>
      </c>
      <c r="I189" s="66" t="str">
        <f>IF(IntComp[[#This Row],[RAD/PACT]]="","",IF(IntComp[[#This Row],[RAD/PACT]]&lt;=2025,"Yes",""))</f>
        <v/>
      </c>
      <c r="J189" s="67" t="str">
        <f ca="1">IF(VLOOKUP(IntComp[[#This Row],[DEVELOPMENT]],Data[],10,FALSE)=0,"",DATEDIF(VLOOKUP(IntComp[[#This Row],[DEVELOPMENT]],Data[],12,FALSE),TODAY(),"Y"))</f>
        <v/>
      </c>
      <c r="K189" s="67">
        <f>IF(IntComp[[#This Row],[RAD/PACT]]="",VLOOKUP(IntComp[[#This Row],[DEVELOPMENT]],Data[],10,FALSE),IF(IntComp[[#This Row],[RAD/PACT by 2025]]="yes",0,VLOOKUP(IntComp[[#This Row],[DEVELOPMENT]],Data[],10,FALSE)))</f>
        <v>0</v>
      </c>
      <c r="L189" s="63">
        <f ca="1">IF(IntComp[[#This Row],[RAD/PACT by 2025]]="Yes",0,(IntComp[[#This Row],['# Int. Compactors to Replace]]*'Unit Costs'!$B$8)*(1+((IntComp[[#This Row],[est. Year]]-YEAR(TODAY()))*$L$2)))</f>
        <v>73653.394499999995</v>
      </c>
      <c r="M189" s="67">
        <f>SUM(INDEX(IntComp['# to Replace],1):IntComp[[#This Row],['# to Replace]])</f>
        <v>0</v>
      </c>
      <c r="N189" s="67">
        <f>ROUNDDOWN(IntComp[[#This Row],[Count]]/100,0)+$N$1</f>
        <v>2020</v>
      </c>
      <c r="O189" s="86">
        <f t="shared" ca="1" si="2"/>
        <v>84480443.49150002</v>
      </c>
    </row>
    <row r="190" spans="1:15" x14ac:dyDescent="0.25">
      <c r="A190" s="13" t="s">
        <v>275</v>
      </c>
      <c r="B190" s="9" t="str">
        <f>VLOOKUP(A190,Data[],2,FALSE)</f>
        <v>BRONX</v>
      </c>
      <c r="C190" s="9" t="s">
        <v>106</v>
      </c>
      <c r="D190" s="9">
        <f>VLOOKUP(IntComp[[#This Row],[DEVELOPMENT]],Data[],31,FALSE)</f>
        <v>9</v>
      </c>
      <c r="E190" s="66">
        <f>VLOOKUP(IntComp[[#This Row],[DEVELOPMENT]],Data[],8,FALSE)</f>
        <v>0</v>
      </c>
      <c r="F190" s="66">
        <f>VLOOKUP(IntComp[[#This Row],[DEVELOPMENT]],Data[],9,FALSE)</f>
        <v>0</v>
      </c>
      <c r="G190" s="66"/>
      <c r="H190" s="66" t="str">
        <f>IFERROR(VLOOKUP(IntComp[[#This Row],[DEVELOPMENT]],Data[],4,FALSE),"")</f>
        <v/>
      </c>
      <c r="I190" s="66" t="str">
        <f>IF(IntComp[[#This Row],[RAD/PACT]]="","",IF(IntComp[[#This Row],[RAD/PACT]]&lt;=2025,"Yes",""))</f>
        <v/>
      </c>
      <c r="J190" s="67" t="str">
        <f ca="1">IF(VLOOKUP(IntComp[[#This Row],[DEVELOPMENT]],Data[],10,FALSE)=0,"",DATEDIF(VLOOKUP(IntComp[[#This Row],[DEVELOPMENT]],Data[],12,FALSE),TODAY(),"Y"))</f>
        <v/>
      </c>
      <c r="K190" s="67">
        <f>IF(IntComp[[#This Row],[RAD/PACT]]="",VLOOKUP(IntComp[[#This Row],[DEVELOPMENT]],Data[],10,FALSE),IF(IntComp[[#This Row],[RAD/PACT by 2025]]="yes",0,VLOOKUP(IntComp[[#This Row],[DEVELOPMENT]],Data[],10,FALSE)))</f>
        <v>0</v>
      </c>
      <c r="L190" s="63">
        <f ca="1">IF(IntComp[[#This Row],[RAD/PACT by 2025]]="Yes",0,(IntComp[[#This Row],['# Int. Compactors to Replace]]*'Unit Costs'!$B$8)*(1+((IntComp[[#This Row],[est. Year]]-YEAR(TODAY()))*$L$2)))</f>
        <v>662880.5504999999</v>
      </c>
      <c r="M190" s="67">
        <f>SUM(INDEX(IntComp['# to Replace],1):IntComp[[#This Row],['# to Replace]])</f>
        <v>0</v>
      </c>
      <c r="N190" s="67">
        <f>ROUNDDOWN(IntComp[[#This Row],[Count]]/100,0)+$N$1</f>
        <v>2020</v>
      </c>
      <c r="O190" s="86">
        <f t="shared" ca="1" si="2"/>
        <v>85143324.042000026</v>
      </c>
    </row>
    <row r="191" spans="1:15" x14ac:dyDescent="0.25">
      <c r="A191" s="13" t="s">
        <v>276</v>
      </c>
      <c r="B191" s="9" t="str">
        <f>VLOOKUP(A191,Data[],2,FALSE)</f>
        <v>BRONX</v>
      </c>
      <c r="C191" s="9" t="s">
        <v>106</v>
      </c>
      <c r="D191" s="9">
        <f>VLOOKUP(IntComp[[#This Row],[DEVELOPMENT]],Data[],31,FALSE)</f>
        <v>1</v>
      </c>
      <c r="E191" s="66">
        <f>VLOOKUP(IntComp[[#This Row],[DEVELOPMENT]],Data[],8,FALSE)</f>
        <v>0</v>
      </c>
      <c r="F191" s="66">
        <f>VLOOKUP(IntComp[[#This Row],[DEVELOPMENT]],Data[],9,FALSE)</f>
        <v>0</v>
      </c>
      <c r="G191" s="66"/>
      <c r="H191" s="66" t="str">
        <f>IFERROR(VLOOKUP(IntComp[[#This Row],[DEVELOPMENT]],Data[],4,FALSE),"")</f>
        <v/>
      </c>
      <c r="I191" s="66" t="str">
        <f>IF(IntComp[[#This Row],[RAD/PACT]]="","",IF(IntComp[[#This Row],[RAD/PACT]]&lt;=2025,"Yes",""))</f>
        <v/>
      </c>
      <c r="J191" s="67" t="str">
        <f ca="1">IF(VLOOKUP(IntComp[[#This Row],[DEVELOPMENT]],Data[],10,FALSE)=0,"",DATEDIF(VLOOKUP(IntComp[[#This Row],[DEVELOPMENT]],Data[],12,FALSE),TODAY(),"Y"))</f>
        <v/>
      </c>
      <c r="K191" s="67">
        <f>IF(IntComp[[#This Row],[RAD/PACT]]="",VLOOKUP(IntComp[[#This Row],[DEVELOPMENT]],Data[],10,FALSE),IF(IntComp[[#This Row],[RAD/PACT by 2025]]="yes",0,VLOOKUP(IntComp[[#This Row],[DEVELOPMENT]],Data[],10,FALSE)))</f>
        <v>0</v>
      </c>
      <c r="L191" s="63">
        <f ca="1">IF(IntComp[[#This Row],[RAD/PACT by 2025]]="Yes",0,(IntComp[[#This Row],['# Int. Compactors to Replace]]*'Unit Costs'!$B$8)*(1+((IntComp[[#This Row],[est. Year]]-YEAR(TODAY()))*$L$2)))</f>
        <v>73653.394499999995</v>
      </c>
      <c r="M191" s="67">
        <f>SUM(INDEX(IntComp['# to Replace],1):IntComp[[#This Row],['# to Replace]])</f>
        <v>0</v>
      </c>
      <c r="N191" s="67">
        <f>ROUNDDOWN(IntComp[[#This Row],[Count]]/100,0)+$N$1</f>
        <v>2020</v>
      </c>
      <c r="O191" s="86">
        <f t="shared" ca="1" si="2"/>
        <v>85216977.436500028</v>
      </c>
    </row>
    <row r="192" spans="1:15" x14ac:dyDescent="0.25">
      <c r="A192" s="13" t="s">
        <v>277</v>
      </c>
      <c r="B192" s="9" t="str">
        <f>VLOOKUP(A192,Data[],2,FALSE)</f>
        <v>BRONX</v>
      </c>
      <c r="C192" s="9" t="s">
        <v>106</v>
      </c>
      <c r="D192" s="9">
        <f>VLOOKUP(IntComp[[#This Row],[DEVELOPMENT]],Data[],31,FALSE)</f>
        <v>20</v>
      </c>
      <c r="E192" s="66">
        <f>VLOOKUP(IntComp[[#This Row],[DEVELOPMENT]],Data[],8,FALSE)</f>
        <v>0</v>
      </c>
      <c r="F192" s="66">
        <f>VLOOKUP(IntComp[[#This Row],[DEVELOPMENT]],Data[],9,FALSE)</f>
        <v>0</v>
      </c>
      <c r="G192" s="66"/>
      <c r="H192" s="66" t="str">
        <f>IFERROR(VLOOKUP(IntComp[[#This Row],[DEVELOPMENT]],Data[],4,FALSE),"")</f>
        <v/>
      </c>
      <c r="I192" s="66" t="str">
        <f>IF(IntComp[[#This Row],[RAD/PACT]]="","",IF(IntComp[[#This Row],[RAD/PACT]]&lt;=2025,"Yes",""))</f>
        <v/>
      </c>
      <c r="J192" s="67" t="str">
        <f ca="1">IF(VLOOKUP(IntComp[[#This Row],[DEVELOPMENT]],Data[],10,FALSE)=0,"",DATEDIF(VLOOKUP(IntComp[[#This Row],[DEVELOPMENT]],Data[],12,FALSE),TODAY(),"Y"))</f>
        <v/>
      </c>
      <c r="K192" s="67">
        <f>IF(IntComp[[#This Row],[RAD/PACT]]="",VLOOKUP(IntComp[[#This Row],[DEVELOPMENT]],Data[],10,FALSE),IF(IntComp[[#This Row],[RAD/PACT by 2025]]="yes",0,VLOOKUP(IntComp[[#This Row],[DEVELOPMENT]],Data[],10,FALSE)))</f>
        <v>0</v>
      </c>
      <c r="L192" s="63">
        <f ca="1">IF(IntComp[[#This Row],[RAD/PACT by 2025]]="Yes",0,(IntComp[[#This Row],['# Int. Compactors to Replace]]*'Unit Costs'!$B$8)*(1+((IntComp[[#This Row],[est. Year]]-YEAR(TODAY()))*$L$2)))</f>
        <v>1473067.89</v>
      </c>
      <c r="M192" s="67">
        <f>SUM(INDEX(IntComp['# to Replace],1):IntComp[[#This Row],['# to Replace]])</f>
        <v>0</v>
      </c>
      <c r="N192" s="67">
        <f>ROUNDDOWN(IntComp[[#This Row],[Count]]/100,0)+$N$1</f>
        <v>2020</v>
      </c>
      <c r="O192" s="86">
        <f t="shared" ca="1" si="2"/>
        <v>86690045.326500028</v>
      </c>
    </row>
    <row r="193" spans="1:15" x14ac:dyDescent="0.25">
      <c r="A193" s="13" t="s">
        <v>114</v>
      </c>
      <c r="B193" s="1" t="str">
        <f>VLOOKUP(A193,Data[],2,FALSE)</f>
        <v>BRONX</v>
      </c>
      <c r="C193" s="9" t="s">
        <v>106</v>
      </c>
      <c r="D193" s="9">
        <f>VLOOKUP(IntComp[[#This Row],[DEVELOPMENT]],Data[],31,FALSE)</f>
        <v>18</v>
      </c>
      <c r="E193" s="9" t="str">
        <f>VLOOKUP(IntComp[[#This Row],[DEVELOPMENT]],Data[],8,FALSE)</f>
        <v>Zone 3</v>
      </c>
      <c r="F193" s="9" t="str">
        <f>VLOOKUP(IntComp[[#This Row],[DEVELOPMENT]],Data[],9,FALSE)</f>
        <v>$</v>
      </c>
      <c r="G193" s="9"/>
      <c r="H193" s="9" t="str">
        <f>IFERROR(VLOOKUP(IntComp[[#This Row],[DEVELOPMENT]],Data[],4,FALSE),"")</f>
        <v/>
      </c>
      <c r="I193" s="9" t="str">
        <f>IF(IntComp[[#This Row],[RAD/PACT]]="","",IF(IntComp[[#This Row],[RAD/PACT]]&lt;=2025,"Yes",""))</f>
        <v/>
      </c>
      <c r="J193" s="1" t="str">
        <f ca="1">IF(VLOOKUP(IntComp[[#This Row],[DEVELOPMENT]],Data[],10,FALSE)=0,"",DATEDIF(VLOOKUP(IntComp[[#This Row],[DEVELOPMENT]],Data[],12,FALSE),TODAY(),"Y"))</f>
        <v/>
      </c>
      <c r="K193" s="1">
        <f>IF(IntComp[[#This Row],[RAD/PACT]]="",VLOOKUP(IntComp[[#This Row],[DEVELOPMENT]],Data[],10,FALSE),IF(IntComp[[#This Row],[RAD/PACT by 2025]]="yes",0,VLOOKUP(IntComp[[#This Row],[DEVELOPMENT]],Data[],10,FALSE)))</f>
        <v>0</v>
      </c>
      <c r="L193" s="63">
        <f ca="1">IF(IntComp[[#This Row],[RAD/PACT by 2025]]="Yes",0,(IntComp[[#This Row],['# Int. Compactors to Replace]]*'Unit Costs'!$B$8)*(1+((IntComp[[#This Row],[est. Year]]-YEAR(TODAY()))*$L$2)))</f>
        <v>1325761.1009999998</v>
      </c>
      <c r="M193" s="1">
        <f>SUM(INDEX(IntComp['# to Replace],1):IntComp[[#This Row],['# to Replace]])</f>
        <v>0</v>
      </c>
      <c r="N193" s="1">
        <f>ROUNDDOWN(IntComp[[#This Row],[Count]]/100,0)+$N$1</f>
        <v>2020</v>
      </c>
      <c r="O193" s="81">
        <f t="shared" ca="1" si="2"/>
        <v>88015806.427500024</v>
      </c>
    </row>
    <row r="194" spans="1:15" x14ac:dyDescent="0.25">
      <c r="A194" s="13" t="s">
        <v>91</v>
      </c>
      <c r="B194" s="1" t="str">
        <f>VLOOKUP(A194,Data[],2,FALSE)</f>
        <v>BRONX</v>
      </c>
      <c r="C194" s="9" t="s">
        <v>106</v>
      </c>
      <c r="D194" s="9">
        <f>VLOOKUP(IntComp[[#This Row],[DEVELOPMENT]],Data[],31,FALSE)</f>
        <v>4</v>
      </c>
      <c r="E194" s="9" t="str">
        <f>VLOOKUP(IntComp[[#This Row],[DEVELOPMENT]],Data[],8,FALSE)</f>
        <v>Zone 3</v>
      </c>
      <c r="F194" s="9" t="str">
        <f>VLOOKUP(IntComp[[#This Row],[DEVELOPMENT]],Data[],9,FALSE)</f>
        <v>$$</v>
      </c>
      <c r="G194" s="9"/>
      <c r="H194" s="9" t="str">
        <f>IFERROR(VLOOKUP(IntComp[[#This Row],[DEVELOPMENT]],Data[],4,FALSE),"")</f>
        <v/>
      </c>
      <c r="I194" s="9" t="str">
        <f>IF(IntComp[[#This Row],[RAD/PACT]]="","",IF(IntComp[[#This Row],[RAD/PACT]]&lt;=2025,"Yes",""))</f>
        <v/>
      </c>
      <c r="J194" s="1" t="str">
        <f ca="1">IF(VLOOKUP(IntComp[[#This Row],[DEVELOPMENT]],Data[],10,FALSE)=0,"",DATEDIF(VLOOKUP(IntComp[[#This Row],[DEVELOPMENT]],Data[],12,FALSE),TODAY(),"Y"))</f>
        <v/>
      </c>
      <c r="K194" s="1">
        <f>IF(IntComp[[#This Row],[RAD/PACT]]="",VLOOKUP(IntComp[[#This Row],[DEVELOPMENT]],Data[],10,FALSE),IF(IntComp[[#This Row],[RAD/PACT by 2025]]="yes",0,VLOOKUP(IntComp[[#This Row],[DEVELOPMENT]],Data[],10,FALSE)))</f>
        <v>0</v>
      </c>
      <c r="L194" s="63">
        <f ca="1">IF(IntComp[[#This Row],[RAD/PACT by 2025]]="Yes",0,(IntComp[[#This Row],['# Int. Compactors to Replace]]*'Unit Costs'!$B$8)*(1+((IntComp[[#This Row],[est. Year]]-YEAR(TODAY()))*$L$2)))</f>
        <v>294613.57799999998</v>
      </c>
      <c r="M194" s="1">
        <f>SUM(INDEX(IntComp['# to Replace],1):IntComp[[#This Row],['# to Replace]])</f>
        <v>0</v>
      </c>
      <c r="N194" s="1">
        <f>ROUNDDOWN(IntComp[[#This Row],[Count]]/100,0)+$N$1</f>
        <v>2020</v>
      </c>
      <c r="O194" s="81">
        <f t="shared" ca="1" si="2"/>
        <v>88310420.005500019</v>
      </c>
    </row>
    <row r="195" spans="1:15" x14ac:dyDescent="0.25">
      <c r="A195" s="13" t="s">
        <v>40</v>
      </c>
      <c r="B195" s="1" t="str">
        <f>VLOOKUP(A195,Data[],2,FALSE)</f>
        <v>BRONX</v>
      </c>
      <c r="C195" s="9" t="s">
        <v>106</v>
      </c>
      <c r="D195" s="9">
        <f>VLOOKUP(IntComp[[#This Row],[DEVELOPMENT]],Data[],31,FALSE)</f>
        <v>10</v>
      </c>
      <c r="E195" s="9" t="str">
        <f>VLOOKUP(IntComp[[#This Row],[DEVELOPMENT]],Data[],8,FALSE)</f>
        <v>Zone 1</v>
      </c>
      <c r="F195" s="9" t="str">
        <f>VLOOKUP(IntComp[[#This Row],[DEVELOPMENT]],Data[],9,FALSE)</f>
        <v>$$</v>
      </c>
      <c r="G195" s="9"/>
      <c r="H195" s="9" t="str">
        <f>IFERROR(VLOOKUP(IntComp[[#This Row],[DEVELOPMENT]],Data[],4,FALSE),"")</f>
        <v/>
      </c>
      <c r="I195" s="9" t="str">
        <f>IF(IntComp[[#This Row],[RAD/PACT]]="","",IF(IntComp[[#This Row],[RAD/PACT]]&lt;=2025,"Yes",""))</f>
        <v/>
      </c>
      <c r="J195" s="1" t="str">
        <f ca="1">IF(VLOOKUP(IntComp[[#This Row],[DEVELOPMENT]],Data[],10,FALSE)=0,"",DATEDIF(VLOOKUP(IntComp[[#This Row],[DEVELOPMENT]],Data[],12,FALSE),TODAY(),"Y"))</f>
        <v/>
      </c>
      <c r="K195" s="1">
        <f>IF(IntComp[[#This Row],[RAD/PACT]]="",VLOOKUP(IntComp[[#This Row],[DEVELOPMENT]],Data[],10,FALSE),IF(IntComp[[#This Row],[RAD/PACT by 2025]]="yes",0,VLOOKUP(IntComp[[#This Row],[DEVELOPMENT]],Data[],10,FALSE)))</f>
        <v>0</v>
      </c>
      <c r="L195" s="63">
        <f ca="1">IF(IntComp[[#This Row],[RAD/PACT by 2025]]="Yes",0,(IntComp[[#This Row],['# Int. Compactors to Replace]]*'Unit Costs'!$B$8)*(1+((IntComp[[#This Row],[est. Year]]-YEAR(TODAY()))*$L$2)))</f>
        <v>736533.94499999995</v>
      </c>
      <c r="M195" s="1">
        <f>SUM(INDEX(IntComp['# to Replace],1):IntComp[[#This Row],['# to Replace]])</f>
        <v>0</v>
      </c>
      <c r="N195" s="1">
        <f>ROUNDDOWN(IntComp[[#This Row],[Count]]/100,0)+$N$1</f>
        <v>2020</v>
      </c>
      <c r="O195" s="81">
        <f t="shared" ca="1" si="2"/>
        <v>89046953.950500011</v>
      </c>
    </row>
    <row r="196" spans="1:15" x14ac:dyDescent="0.25">
      <c r="A196" s="13" t="s">
        <v>140</v>
      </c>
      <c r="B196" s="1" t="str">
        <f>VLOOKUP(A196,Data[],2,FALSE)</f>
        <v>BRONX</v>
      </c>
      <c r="C196" s="9" t="s">
        <v>106</v>
      </c>
      <c r="D196" s="9">
        <f>VLOOKUP(IntComp[[#This Row],[DEVELOPMENT]],Data[],31,FALSE)</f>
        <v>7</v>
      </c>
      <c r="E196" s="9" t="str">
        <f>VLOOKUP(IntComp[[#This Row],[DEVELOPMENT]],Data[],8,FALSE)</f>
        <v>Zone 1</v>
      </c>
      <c r="F196" s="9" t="str">
        <f>VLOOKUP(IntComp[[#This Row],[DEVELOPMENT]],Data[],9,FALSE)</f>
        <v>$$$</v>
      </c>
      <c r="G196" s="9"/>
      <c r="H196" s="9" t="str">
        <f>IFERROR(VLOOKUP(IntComp[[#This Row],[DEVELOPMENT]],Data[],4,FALSE),"")</f>
        <v/>
      </c>
      <c r="I196" s="9" t="str">
        <f>IF(IntComp[[#This Row],[RAD/PACT]]="","",IF(IntComp[[#This Row],[RAD/PACT]]&lt;=2025,"Yes",""))</f>
        <v/>
      </c>
      <c r="J196" s="1" t="str">
        <f ca="1">IF(VLOOKUP(IntComp[[#This Row],[DEVELOPMENT]],Data[],10,FALSE)=0,"",DATEDIF(VLOOKUP(IntComp[[#This Row],[DEVELOPMENT]],Data[],12,FALSE),TODAY(),"Y"))</f>
        <v/>
      </c>
      <c r="K196" s="1">
        <f>IF(IntComp[[#This Row],[RAD/PACT]]="",VLOOKUP(IntComp[[#This Row],[DEVELOPMENT]],Data[],10,FALSE),IF(IntComp[[#This Row],[RAD/PACT by 2025]]="yes",0,VLOOKUP(IntComp[[#This Row],[DEVELOPMENT]],Data[],10,FALSE)))</f>
        <v>0</v>
      </c>
      <c r="L196" s="63">
        <f ca="1">IF(IntComp[[#This Row],[RAD/PACT by 2025]]="Yes",0,(IntComp[[#This Row],['# Int. Compactors to Replace]]*'Unit Costs'!$B$8)*(1+((IntComp[[#This Row],[est. Year]]-YEAR(TODAY()))*$L$2)))</f>
        <v>515573.76149999991</v>
      </c>
      <c r="M196" s="1">
        <f>SUM(INDEX(IntComp['# to Replace],1):IntComp[[#This Row],['# to Replace]])</f>
        <v>0</v>
      </c>
      <c r="N196" s="1">
        <f>ROUNDDOWN(IntComp[[#This Row],[Count]]/100,0)+$N$1</f>
        <v>2020</v>
      </c>
      <c r="O196" s="81">
        <f t="shared" ref="O196:O259" ca="1" si="3">IF(N196=N195,L196+O195,L196)</f>
        <v>89562527.712000012</v>
      </c>
    </row>
    <row r="197" spans="1:15" x14ac:dyDescent="0.25">
      <c r="A197" s="13" t="s">
        <v>92</v>
      </c>
      <c r="B197" s="1" t="str">
        <f>VLOOKUP(A197,Data[],2,FALSE)</f>
        <v>MANHATTAN</v>
      </c>
      <c r="C197" s="9" t="s">
        <v>106</v>
      </c>
      <c r="D197" s="9">
        <f>VLOOKUP(IntComp[[#This Row],[DEVELOPMENT]],Data[],31,FALSE)</f>
        <v>1</v>
      </c>
      <c r="E197" s="9" t="str">
        <f>VLOOKUP(IntComp[[#This Row],[DEVELOPMENT]],Data[],8,FALSE)</f>
        <v>Zone 2</v>
      </c>
      <c r="F197" s="9" t="str">
        <f>VLOOKUP(IntComp[[#This Row],[DEVELOPMENT]],Data[],9,FALSE)</f>
        <v>$$$$</v>
      </c>
      <c r="G197" s="9"/>
      <c r="H197" s="9" t="str">
        <f>IFERROR(VLOOKUP(IntComp[[#This Row],[DEVELOPMENT]],Data[],4,FALSE),"")</f>
        <v/>
      </c>
      <c r="I197" s="9" t="str">
        <f>IF(IntComp[[#This Row],[RAD/PACT]]="","",IF(IntComp[[#This Row],[RAD/PACT]]&lt;=2025,"Yes",""))</f>
        <v/>
      </c>
      <c r="J197" s="1" t="str">
        <f ca="1">IF(VLOOKUP(IntComp[[#This Row],[DEVELOPMENT]],Data[],10,FALSE)=0,"",DATEDIF(VLOOKUP(IntComp[[#This Row],[DEVELOPMENT]],Data[],12,FALSE),TODAY(),"Y"))</f>
        <v/>
      </c>
      <c r="K197" s="1">
        <f>IF(IntComp[[#This Row],[RAD/PACT]]="",VLOOKUP(IntComp[[#This Row],[DEVELOPMENT]],Data[],10,FALSE),IF(IntComp[[#This Row],[RAD/PACT by 2025]]="yes",0,VLOOKUP(IntComp[[#This Row],[DEVELOPMENT]],Data[],10,FALSE)))</f>
        <v>0</v>
      </c>
      <c r="L197" s="63">
        <f ca="1">IF(IntComp[[#This Row],[RAD/PACT by 2025]]="Yes",0,(IntComp[[#This Row],['# Int. Compactors to Replace]]*'Unit Costs'!$B$8)*(1+((IntComp[[#This Row],[est. Year]]-YEAR(TODAY()))*$L$2)))</f>
        <v>73653.394499999995</v>
      </c>
      <c r="M197" s="1">
        <f>SUM(INDEX(IntComp['# to Replace],1):IntComp[[#This Row],['# to Replace]])</f>
        <v>0</v>
      </c>
      <c r="N197" s="1">
        <f>ROUNDDOWN(IntComp[[#This Row],[Count]]/100,0)+$N$1</f>
        <v>2020</v>
      </c>
      <c r="O197" s="81">
        <f t="shared" ca="1" si="3"/>
        <v>89636181.106500015</v>
      </c>
    </row>
    <row r="198" spans="1:15" x14ac:dyDescent="0.25">
      <c r="A198" s="82" t="s">
        <v>147</v>
      </c>
      <c r="B198" s="1" t="str">
        <f>VLOOKUP(A198,Data[],2,FALSE)</f>
        <v>BRONX</v>
      </c>
      <c r="C198" s="9" t="s">
        <v>106</v>
      </c>
      <c r="D198" s="9">
        <f>VLOOKUP(IntComp[[#This Row],[DEVELOPMENT]],Data[],31,FALSE)</f>
        <v>2</v>
      </c>
      <c r="E198" s="9" t="str">
        <f>VLOOKUP(IntComp[[#This Row],[DEVELOPMENT]],Data[],8,FALSE)</f>
        <v>Zone 1</v>
      </c>
      <c r="F198" s="9" t="str">
        <f>VLOOKUP(IntComp[[#This Row],[DEVELOPMENT]],Data[],9,FALSE)</f>
        <v>$$$$</v>
      </c>
      <c r="G198" s="9"/>
      <c r="H198" s="1" t="str">
        <f>IFERROR(VLOOKUP(IntComp[[#This Row],[DEVELOPMENT]],Data[],4,FALSE),"")</f>
        <v/>
      </c>
      <c r="I198" s="1" t="str">
        <f>IF(IntComp[[#This Row],[RAD/PACT]]="","",IF(IntComp[[#This Row],[RAD/PACT]]&lt;=2025,"Yes",""))</f>
        <v/>
      </c>
      <c r="J198" s="1" t="str">
        <f ca="1">IF(VLOOKUP(IntComp[[#This Row],[DEVELOPMENT]],Data[],10,FALSE)=0,"",DATEDIF(VLOOKUP(IntComp[[#This Row],[DEVELOPMENT]],Data[],12,FALSE),TODAY(),"Y"))</f>
        <v/>
      </c>
      <c r="K198" s="1">
        <f>IF(IntComp[[#This Row],[RAD/PACT]]="",VLOOKUP(IntComp[[#This Row],[DEVELOPMENT]],Data[],10,FALSE),IF(IntComp[[#This Row],[RAD/PACT by 2025]]="yes",0,VLOOKUP(IntComp[[#This Row],[DEVELOPMENT]],Data[],10,FALSE)))</f>
        <v>0</v>
      </c>
      <c r="L198" s="63">
        <f ca="1">IF(IntComp[[#This Row],[RAD/PACT by 2025]]="Yes",0,(IntComp[[#This Row],['# Int. Compactors to Replace]]*'Unit Costs'!$B$8)*(1+((IntComp[[#This Row],[est. Year]]-YEAR(TODAY()))*$L$2)))</f>
        <v>147306.78899999999</v>
      </c>
      <c r="M198" s="1">
        <f>SUM(INDEX(IntComp['# to Replace],1):IntComp[[#This Row],['# to Replace]])</f>
        <v>0</v>
      </c>
      <c r="N198" s="1">
        <f>ROUNDDOWN(IntComp[[#This Row],[Count]]/100,0)+$N$1</f>
        <v>2020</v>
      </c>
      <c r="O198" s="81">
        <f t="shared" ca="1" si="3"/>
        <v>89783487.895500019</v>
      </c>
    </row>
    <row r="199" spans="1:15" x14ac:dyDescent="0.25">
      <c r="A199" s="13" t="s">
        <v>41</v>
      </c>
      <c r="B199" s="1" t="str">
        <f>VLOOKUP(A199,Data[],2,FALSE)</f>
        <v>BRONX</v>
      </c>
      <c r="C199" s="9" t="s">
        <v>106</v>
      </c>
      <c r="D199" s="9">
        <f>VLOOKUP(IntComp[[#This Row],[DEVELOPMENT]],Data[],31,FALSE)</f>
        <v>5</v>
      </c>
      <c r="E199" s="9" t="str">
        <f>VLOOKUP(IntComp[[#This Row],[DEVELOPMENT]],Data[],8,FALSE)</f>
        <v>Zone 1</v>
      </c>
      <c r="F199" s="9" t="str">
        <f>VLOOKUP(IntComp[[#This Row],[DEVELOPMENT]],Data[],9,FALSE)</f>
        <v>$</v>
      </c>
      <c r="G199" s="9"/>
      <c r="H199" s="9" t="str">
        <f>IFERROR(VLOOKUP(IntComp[[#This Row],[DEVELOPMENT]],Data[],4,FALSE),"")</f>
        <v/>
      </c>
      <c r="I199" s="9" t="str">
        <f>IF(IntComp[[#This Row],[RAD/PACT]]="","",IF(IntComp[[#This Row],[RAD/PACT]]&lt;=2025,"Yes",""))</f>
        <v/>
      </c>
      <c r="J199" s="1" t="str">
        <f ca="1">IF(VLOOKUP(IntComp[[#This Row],[DEVELOPMENT]],Data[],10,FALSE)=0,"",DATEDIF(VLOOKUP(IntComp[[#This Row],[DEVELOPMENT]],Data[],12,FALSE),TODAY(),"Y"))</f>
        <v/>
      </c>
      <c r="K199" s="1">
        <f>IF(IntComp[[#This Row],[RAD/PACT]]="",VLOOKUP(IntComp[[#This Row],[DEVELOPMENT]],Data[],10,FALSE),IF(IntComp[[#This Row],[RAD/PACT by 2025]]="yes",0,VLOOKUP(IntComp[[#This Row],[DEVELOPMENT]],Data[],10,FALSE)))</f>
        <v>0</v>
      </c>
      <c r="L199" s="63">
        <f ca="1">IF(IntComp[[#This Row],[RAD/PACT by 2025]]="Yes",0,(IntComp[[#This Row],['# Int. Compactors to Replace]]*'Unit Costs'!$B$8)*(1+((IntComp[[#This Row],[est. Year]]-YEAR(TODAY()))*$L$2)))</f>
        <v>368266.97249999997</v>
      </c>
      <c r="M199" s="1">
        <f>SUM(INDEX(IntComp['# to Replace],1):IntComp[[#This Row],['# to Replace]])</f>
        <v>0</v>
      </c>
      <c r="N199" s="1">
        <f>ROUNDDOWN(IntComp[[#This Row],[Count]]/100,0)+$N$1</f>
        <v>2020</v>
      </c>
      <c r="O199" s="81">
        <f t="shared" ca="1" si="3"/>
        <v>90151754.868000016</v>
      </c>
    </row>
    <row r="200" spans="1:15" x14ac:dyDescent="0.25">
      <c r="A200" s="13" t="s">
        <v>278</v>
      </c>
      <c r="B200" s="9" t="str">
        <f>VLOOKUP(A200,Data[],2,FALSE)</f>
        <v>BRONX</v>
      </c>
      <c r="C200" s="9" t="s">
        <v>106</v>
      </c>
      <c r="D200" s="9">
        <f>VLOOKUP(IntComp[[#This Row],[DEVELOPMENT]],Data[],31,FALSE)</f>
        <v>8</v>
      </c>
      <c r="E200" s="66">
        <f>VLOOKUP(IntComp[[#This Row],[DEVELOPMENT]],Data[],8,FALSE)</f>
        <v>0</v>
      </c>
      <c r="F200" s="66">
        <f>VLOOKUP(IntComp[[#This Row],[DEVELOPMENT]],Data[],9,FALSE)</f>
        <v>0</v>
      </c>
      <c r="G200" s="66"/>
      <c r="H200" s="66" t="str">
        <f>IFERROR(VLOOKUP(IntComp[[#This Row],[DEVELOPMENT]],Data[],4,FALSE),"")</f>
        <v/>
      </c>
      <c r="I200" s="66" t="str">
        <f>IF(IntComp[[#This Row],[RAD/PACT]]="","",IF(IntComp[[#This Row],[RAD/PACT]]&lt;=2025,"Yes",""))</f>
        <v/>
      </c>
      <c r="J200" s="67" t="str">
        <f ca="1">IF(VLOOKUP(IntComp[[#This Row],[DEVELOPMENT]],Data[],10,FALSE)=0,"",DATEDIF(VLOOKUP(IntComp[[#This Row],[DEVELOPMENT]],Data[],12,FALSE),TODAY(),"Y"))</f>
        <v/>
      </c>
      <c r="K200" s="67">
        <f>IF(IntComp[[#This Row],[RAD/PACT]]="",VLOOKUP(IntComp[[#This Row],[DEVELOPMENT]],Data[],10,FALSE),IF(IntComp[[#This Row],[RAD/PACT by 2025]]="yes",0,VLOOKUP(IntComp[[#This Row],[DEVELOPMENT]],Data[],10,FALSE)))</f>
        <v>0</v>
      </c>
      <c r="L200" s="63">
        <f ca="1">IF(IntComp[[#This Row],[RAD/PACT by 2025]]="Yes",0,(IntComp[[#This Row],['# Int. Compactors to Replace]]*'Unit Costs'!$B$8)*(1+((IntComp[[#This Row],[est. Year]]-YEAR(TODAY()))*$L$2)))</f>
        <v>589227.15599999996</v>
      </c>
      <c r="M200" s="67">
        <f>SUM(INDEX(IntComp['# to Replace],1):IntComp[[#This Row],['# to Replace]])</f>
        <v>0</v>
      </c>
      <c r="N200" s="67">
        <f>ROUNDDOWN(IntComp[[#This Row],[Count]]/100,0)+$N$1</f>
        <v>2020</v>
      </c>
      <c r="O200" s="86">
        <f t="shared" ca="1" si="3"/>
        <v>90740982.024000019</v>
      </c>
    </row>
    <row r="201" spans="1:15" x14ac:dyDescent="0.25">
      <c r="A201" s="13" t="s">
        <v>279</v>
      </c>
      <c r="B201" s="9" t="str">
        <f>VLOOKUP(A201,Data[],2,FALSE)</f>
        <v>STATEN ISLAND</v>
      </c>
      <c r="C201" s="9" t="s">
        <v>106</v>
      </c>
      <c r="D201" s="9">
        <f>VLOOKUP(IntComp[[#This Row],[DEVELOPMENT]],Data[],31,FALSE)</f>
        <v>2</v>
      </c>
      <c r="E201" s="66">
        <f>VLOOKUP(IntComp[[#This Row],[DEVELOPMENT]],Data[],8,FALSE)</f>
        <v>0</v>
      </c>
      <c r="F201" s="66">
        <f>VLOOKUP(IntComp[[#This Row],[DEVELOPMENT]],Data[],9,FALSE)</f>
        <v>0</v>
      </c>
      <c r="G201" s="66"/>
      <c r="H201" s="66" t="str">
        <f>IFERROR(VLOOKUP(IntComp[[#This Row],[DEVELOPMENT]],Data[],4,FALSE),"")</f>
        <v/>
      </c>
      <c r="I201" s="66" t="str">
        <f>IF(IntComp[[#This Row],[RAD/PACT]]="","",IF(IntComp[[#This Row],[RAD/PACT]]&lt;=2025,"Yes",""))</f>
        <v/>
      </c>
      <c r="J201" s="67" t="str">
        <f ca="1">IF(VLOOKUP(IntComp[[#This Row],[DEVELOPMENT]],Data[],10,FALSE)=0,"",DATEDIF(VLOOKUP(IntComp[[#This Row],[DEVELOPMENT]],Data[],12,FALSE),TODAY(),"Y"))</f>
        <v/>
      </c>
      <c r="K201" s="67">
        <f>IF(IntComp[[#This Row],[RAD/PACT]]="",VLOOKUP(IntComp[[#This Row],[DEVELOPMENT]],Data[],10,FALSE),IF(IntComp[[#This Row],[RAD/PACT by 2025]]="yes",0,VLOOKUP(IntComp[[#This Row],[DEVELOPMENT]],Data[],10,FALSE)))</f>
        <v>0</v>
      </c>
      <c r="L201" s="63">
        <f ca="1">IF(IntComp[[#This Row],[RAD/PACT by 2025]]="Yes",0,(IntComp[[#This Row],['# Int. Compactors to Replace]]*'Unit Costs'!$B$8)*(1+((IntComp[[#This Row],[est. Year]]-YEAR(TODAY()))*$L$2)))</f>
        <v>147306.78899999999</v>
      </c>
      <c r="M201" s="67">
        <f>SUM(INDEX(IntComp['# to Replace],1):IntComp[[#This Row],['# to Replace]])</f>
        <v>0</v>
      </c>
      <c r="N201" s="67">
        <f>ROUNDDOWN(IntComp[[#This Row],[Count]]/100,0)+$N$1</f>
        <v>2020</v>
      </c>
      <c r="O201" s="86">
        <f t="shared" ca="1" si="3"/>
        <v>90888288.813000023</v>
      </c>
    </row>
    <row r="202" spans="1:15" x14ac:dyDescent="0.25">
      <c r="A202" s="13" t="s">
        <v>280</v>
      </c>
      <c r="B202" s="9" t="str">
        <f>VLOOKUP(A202,Data[],2,FALSE)</f>
        <v>BROOKLYN</v>
      </c>
      <c r="C202" s="9" t="s">
        <v>106</v>
      </c>
      <c r="D202" s="9">
        <f>VLOOKUP(IntComp[[#This Row],[DEVELOPMENT]],Data[],31,FALSE)</f>
        <v>32</v>
      </c>
      <c r="E202" s="66">
        <f>VLOOKUP(IntComp[[#This Row],[DEVELOPMENT]],Data[],8,FALSE)</f>
        <v>0</v>
      </c>
      <c r="F202" s="66">
        <f>VLOOKUP(IntComp[[#This Row],[DEVELOPMENT]],Data[],9,FALSE)</f>
        <v>0</v>
      </c>
      <c r="G202" s="66"/>
      <c r="H202" s="66">
        <f>IFERROR(VLOOKUP(IntComp[[#This Row],[DEVELOPMENT]],Data[],4,FALSE),"")</f>
        <v>2028</v>
      </c>
      <c r="I202" s="66" t="str">
        <f>IF(IntComp[[#This Row],[RAD/PACT]]="","",IF(IntComp[[#This Row],[RAD/PACT]]&lt;=2025,"Yes",""))</f>
        <v/>
      </c>
      <c r="J202" s="67" t="str">
        <f ca="1">IF(VLOOKUP(IntComp[[#This Row],[DEVELOPMENT]],Data[],10,FALSE)=0,"",DATEDIF(VLOOKUP(IntComp[[#This Row],[DEVELOPMENT]],Data[],12,FALSE),TODAY(),"Y"))</f>
        <v/>
      </c>
      <c r="K202" s="67">
        <f>IF(IntComp[[#This Row],[RAD/PACT]]="",VLOOKUP(IntComp[[#This Row],[DEVELOPMENT]],Data[],10,FALSE),IF(IntComp[[#This Row],[RAD/PACT by 2025]]="yes",0,VLOOKUP(IntComp[[#This Row],[DEVELOPMENT]],Data[],10,FALSE)))</f>
        <v>0</v>
      </c>
      <c r="L202" s="63">
        <f ca="1">IF(IntComp[[#This Row],[RAD/PACT by 2025]]="Yes",0,(IntComp[[#This Row],['# Int. Compactors to Replace]]*'Unit Costs'!$B$8)*(1+((IntComp[[#This Row],[est. Year]]-YEAR(TODAY()))*$L$2)))</f>
        <v>2356908.6239999998</v>
      </c>
      <c r="M202" s="67">
        <f>SUM(INDEX(IntComp['# to Replace],1):IntComp[[#This Row],['# to Replace]])</f>
        <v>0</v>
      </c>
      <c r="N202" s="67">
        <f>ROUNDDOWN(IntComp[[#This Row],[Count]]/100,0)+$N$1</f>
        <v>2020</v>
      </c>
      <c r="O202" s="86">
        <f t="shared" ca="1" si="3"/>
        <v>93245197.437000021</v>
      </c>
    </row>
    <row r="203" spans="1:15" x14ac:dyDescent="0.25">
      <c r="A203" s="13" t="s">
        <v>281</v>
      </c>
      <c r="B203" s="9" t="str">
        <f>VLOOKUP(A203,Data[],2,FALSE)</f>
        <v>QUEENS</v>
      </c>
      <c r="C203" s="9" t="s">
        <v>106</v>
      </c>
      <c r="D203" s="9">
        <f>VLOOKUP(IntComp[[#This Row],[DEVELOPMENT]],Data[],31,FALSE)</f>
        <v>13</v>
      </c>
      <c r="E203" s="66">
        <f>VLOOKUP(IntComp[[#This Row],[DEVELOPMENT]],Data[],8,FALSE)</f>
        <v>0</v>
      </c>
      <c r="F203" s="66">
        <f>VLOOKUP(IntComp[[#This Row],[DEVELOPMENT]],Data[],9,FALSE)</f>
        <v>0</v>
      </c>
      <c r="G203" s="66"/>
      <c r="H203" s="66" t="str">
        <f>IFERROR(VLOOKUP(IntComp[[#This Row],[DEVELOPMENT]],Data[],4,FALSE),"")</f>
        <v/>
      </c>
      <c r="I203" s="66" t="str">
        <f>IF(IntComp[[#This Row],[RAD/PACT]]="","",IF(IntComp[[#This Row],[RAD/PACT]]&lt;=2025,"Yes",""))</f>
        <v/>
      </c>
      <c r="J203" s="67" t="str">
        <f ca="1">IF(VLOOKUP(IntComp[[#This Row],[DEVELOPMENT]],Data[],10,FALSE)=0,"",DATEDIF(VLOOKUP(IntComp[[#This Row],[DEVELOPMENT]],Data[],12,FALSE),TODAY(),"Y"))</f>
        <v/>
      </c>
      <c r="K203" s="67">
        <f>IF(IntComp[[#This Row],[RAD/PACT]]="",VLOOKUP(IntComp[[#This Row],[DEVELOPMENT]],Data[],10,FALSE),IF(IntComp[[#This Row],[RAD/PACT by 2025]]="yes",0,VLOOKUP(IntComp[[#This Row],[DEVELOPMENT]],Data[],10,FALSE)))</f>
        <v>0</v>
      </c>
      <c r="L203" s="63">
        <f ca="1">IF(IntComp[[#This Row],[RAD/PACT by 2025]]="Yes",0,(IntComp[[#This Row],['# Int. Compactors to Replace]]*'Unit Costs'!$B$8)*(1+((IntComp[[#This Row],[est. Year]]-YEAR(TODAY()))*$L$2)))</f>
        <v>957494.12849999988</v>
      </c>
      <c r="M203" s="67">
        <f>SUM(INDEX(IntComp['# to Replace],1):IntComp[[#This Row],['# to Replace]])</f>
        <v>0</v>
      </c>
      <c r="N203" s="67">
        <f>ROUNDDOWN(IntComp[[#This Row],[Count]]/100,0)+$N$1</f>
        <v>2020</v>
      </c>
      <c r="O203" s="86">
        <f t="shared" ca="1" si="3"/>
        <v>94202691.565500021</v>
      </c>
    </row>
    <row r="204" spans="1:15" x14ac:dyDescent="0.25">
      <c r="A204" s="13" t="s">
        <v>282</v>
      </c>
      <c r="B204" s="9" t="str">
        <f>VLOOKUP(A204,Data[],2,FALSE)</f>
        <v>BROOKLYN</v>
      </c>
      <c r="C204" s="9" t="s">
        <v>106</v>
      </c>
      <c r="D204" s="9">
        <f>VLOOKUP(IntComp[[#This Row],[DEVELOPMENT]],Data[],31,FALSE)</f>
        <v>3</v>
      </c>
      <c r="E204" s="66">
        <f>VLOOKUP(IntComp[[#This Row],[DEVELOPMENT]],Data[],8,FALSE)</f>
        <v>0</v>
      </c>
      <c r="F204" s="66">
        <f>VLOOKUP(IntComp[[#This Row],[DEVELOPMENT]],Data[],9,FALSE)</f>
        <v>0</v>
      </c>
      <c r="G204" s="66"/>
      <c r="H204" s="66" t="str">
        <f>IFERROR(VLOOKUP(IntComp[[#This Row],[DEVELOPMENT]],Data[],4,FALSE),"")</f>
        <v/>
      </c>
      <c r="I204" s="66" t="str">
        <f>IF(IntComp[[#This Row],[RAD/PACT]]="","",IF(IntComp[[#This Row],[RAD/PACT]]&lt;=2025,"Yes",""))</f>
        <v/>
      </c>
      <c r="J204" s="67" t="str">
        <f ca="1">IF(VLOOKUP(IntComp[[#This Row],[DEVELOPMENT]],Data[],10,FALSE)=0,"",DATEDIF(VLOOKUP(IntComp[[#This Row],[DEVELOPMENT]],Data[],12,FALSE),TODAY(),"Y"))</f>
        <v/>
      </c>
      <c r="K204" s="67">
        <f>IF(IntComp[[#This Row],[RAD/PACT]]="",VLOOKUP(IntComp[[#This Row],[DEVELOPMENT]],Data[],10,FALSE),IF(IntComp[[#This Row],[RAD/PACT by 2025]]="yes",0,VLOOKUP(IntComp[[#This Row],[DEVELOPMENT]],Data[],10,FALSE)))</f>
        <v>0</v>
      </c>
      <c r="L204" s="63">
        <f ca="1">IF(IntComp[[#This Row],[RAD/PACT by 2025]]="Yes",0,(IntComp[[#This Row],['# Int. Compactors to Replace]]*'Unit Costs'!$B$8)*(1+((IntComp[[#This Row],[est. Year]]-YEAR(TODAY()))*$L$2)))</f>
        <v>220960.18349999996</v>
      </c>
      <c r="M204" s="67">
        <f>SUM(INDEX(IntComp['# to Replace],1):IntComp[[#This Row],['# to Replace]])</f>
        <v>0</v>
      </c>
      <c r="N204" s="67">
        <f>ROUNDDOWN(IntComp[[#This Row],[Count]]/100,0)+$N$1</f>
        <v>2020</v>
      </c>
      <c r="O204" s="86">
        <f t="shared" ca="1" si="3"/>
        <v>94423651.749000028</v>
      </c>
    </row>
    <row r="205" spans="1:15" x14ac:dyDescent="0.25">
      <c r="A205" s="13" t="s">
        <v>283</v>
      </c>
      <c r="B205" s="9" t="str">
        <f>VLOOKUP(A205,Data[],2,FALSE)</f>
        <v>BROOKLYN</v>
      </c>
      <c r="C205" s="9" t="s">
        <v>106</v>
      </c>
      <c r="D205" s="9">
        <f>VLOOKUP(IntComp[[#This Row],[DEVELOPMENT]],Data[],31,FALSE)</f>
        <v>6</v>
      </c>
      <c r="E205" s="66">
        <f>VLOOKUP(IntComp[[#This Row],[DEVELOPMENT]],Data[],8,FALSE)</f>
        <v>0</v>
      </c>
      <c r="F205" s="66">
        <f>VLOOKUP(IntComp[[#This Row],[DEVELOPMENT]],Data[],9,FALSE)</f>
        <v>0</v>
      </c>
      <c r="G205" s="66"/>
      <c r="H205" s="66">
        <f>IFERROR(VLOOKUP(IntComp[[#This Row],[DEVELOPMENT]],Data[],4,FALSE),"")</f>
        <v>2025</v>
      </c>
      <c r="I205" s="66" t="str">
        <f>IF(IntComp[[#This Row],[RAD/PACT]]="","",IF(IntComp[[#This Row],[RAD/PACT]]&lt;=2025,"Yes",""))</f>
        <v>Yes</v>
      </c>
      <c r="J205" s="67" t="str">
        <f ca="1">IF(VLOOKUP(IntComp[[#This Row],[DEVELOPMENT]],Data[],10,FALSE)=0,"",DATEDIF(VLOOKUP(IntComp[[#This Row],[DEVELOPMENT]],Data[],12,FALSE),TODAY(),"Y"))</f>
        <v/>
      </c>
      <c r="K205" s="67">
        <f>IF(IntComp[[#This Row],[RAD/PACT]]="",VLOOKUP(IntComp[[#This Row],[DEVELOPMENT]],Data[],10,FALSE),IF(IntComp[[#This Row],[RAD/PACT by 2025]]="yes",0,VLOOKUP(IntComp[[#This Row],[DEVELOPMENT]],Data[],10,FALSE)))</f>
        <v>0</v>
      </c>
      <c r="L205" s="63">
        <f ca="1">IF(IntComp[[#This Row],[RAD/PACT by 2025]]="Yes",0,(IntComp[[#This Row],['# Int. Compactors to Replace]]*'Unit Costs'!$B$8)*(1+((IntComp[[#This Row],[est. Year]]-YEAR(TODAY()))*$L$2)))</f>
        <v>0</v>
      </c>
      <c r="M205" s="67">
        <f>SUM(INDEX(IntComp['# to Replace],1):IntComp[[#This Row],['# to Replace]])</f>
        <v>0</v>
      </c>
      <c r="N205" s="67">
        <f>ROUNDDOWN(IntComp[[#This Row],[Count]]/100,0)+$N$1</f>
        <v>2020</v>
      </c>
      <c r="O205" s="86">
        <f t="shared" ca="1" si="3"/>
        <v>94423651.749000028</v>
      </c>
    </row>
    <row r="206" spans="1:15" x14ac:dyDescent="0.25">
      <c r="A206" s="13" t="s">
        <v>284</v>
      </c>
      <c r="B206" s="9" t="str">
        <f>VLOOKUP(A206,Data[],2,FALSE)</f>
        <v>BROOKLYN</v>
      </c>
      <c r="C206" s="9" t="s">
        <v>106</v>
      </c>
      <c r="D206" s="9">
        <f>VLOOKUP(IntComp[[#This Row],[DEVELOPMENT]],Data[],31,FALSE)</f>
        <v>6</v>
      </c>
      <c r="E206" s="66">
        <f>VLOOKUP(IntComp[[#This Row],[DEVELOPMENT]],Data[],8,FALSE)</f>
        <v>0</v>
      </c>
      <c r="F206" s="66">
        <f>VLOOKUP(IntComp[[#This Row],[DEVELOPMENT]],Data[],9,FALSE)</f>
        <v>0</v>
      </c>
      <c r="G206" s="66"/>
      <c r="H206" s="66" t="str">
        <f>IFERROR(VLOOKUP(IntComp[[#This Row],[DEVELOPMENT]],Data[],4,FALSE),"")</f>
        <v/>
      </c>
      <c r="I206" s="66" t="str">
        <f>IF(IntComp[[#This Row],[RAD/PACT]]="","",IF(IntComp[[#This Row],[RAD/PACT]]&lt;=2025,"Yes",""))</f>
        <v/>
      </c>
      <c r="J206" s="67" t="str">
        <f ca="1">IF(VLOOKUP(IntComp[[#This Row],[DEVELOPMENT]],Data[],10,FALSE)=0,"",DATEDIF(VLOOKUP(IntComp[[#This Row],[DEVELOPMENT]],Data[],12,FALSE),TODAY(),"Y"))</f>
        <v/>
      </c>
      <c r="K206" s="67">
        <f>IF(IntComp[[#This Row],[RAD/PACT]]="",VLOOKUP(IntComp[[#This Row],[DEVELOPMENT]],Data[],10,FALSE),IF(IntComp[[#This Row],[RAD/PACT by 2025]]="yes",0,VLOOKUP(IntComp[[#This Row],[DEVELOPMENT]],Data[],10,FALSE)))</f>
        <v>0</v>
      </c>
      <c r="L206" s="63">
        <f ca="1">IF(IntComp[[#This Row],[RAD/PACT by 2025]]="Yes",0,(IntComp[[#This Row],['# Int. Compactors to Replace]]*'Unit Costs'!$B$8)*(1+((IntComp[[#This Row],[est. Year]]-YEAR(TODAY()))*$L$2)))</f>
        <v>441920.36699999991</v>
      </c>
      <c r="M206" s="67">
        <f>SUM(INDEX(IntComp['# to Replace],1):IntComp[[#This Row],['# to Replace]])</f>
        <v>0</v>
      </c>
      <c r="N206" s="67">
        <f>ROUNDDOWN(IntComp[[#This Row],[Count]]/100,0)+$N$1</f>
        <v>2020</v>
      </c>
      <c r="O206" s="86">
        <f t="shared" ca="1" si="3"/>
        <v>94865572.116000026</v>
      </c>
    </row>
    <row r="207" spans="1:15" x14ac:dyDescent="0.25">
      <c r="A207" s="13" t="s">
        <v>383</v>
      </c>
      <c r="B207" s="9" t="str">
        <f>VLOOKUP(A207,Data[],2,FALSE)</f>
        <v>BROOKLYN</v>
      </c>
      <c r="C207" s="9" t="s">
        <v>106</v>
      </c>
      <c r="D207" s="9">
        <f>VLOOKUP(IntComp[[#This Row],[DEVELOPMENT]],Data[],31,FALSE)</f>
        <v>1</v>
      </c>
      <c r="E207" s="66">
        <f>VLOOKUP(IntComp[[#This Row],[DEVELOPMENT]],Data[],8,FALSE)</f>
        <v>0</v>
      </c>
      <c r="F207" s="66">
        <f>VLOOKUP(IntComp[[#This Row],[DEVELOPMENT]],Data[],9,FALSE)</f>
        <v>0</v>
      </c>
      <c r="G207" s="66"/>
      <c r="H207" s="66">
        <f>IFERROR(VLOOKUP(IntComp[[#This Row],[DEVELOPMENT]],Data[],4,FALSE),"")</f>
        <v>2019</v>
      </c>
      <c r="I207" s="66" t="str">
        <f>IF(IntComp[[#This Row],[RAD/PACT]]="","",IF(IntComp[[#This Row],[RAD/PACT]]&lt;=2025,"Yes",""))</f>
        <v>Yes</v>
      </c>
      <c r="J207" s="67" t="str">
        <f ca="1">IF(VLOOKUP(IntComp[[#This Row],[DEVELOPMENT]],Data[],10,FALSE)=0,"",DATEDIF(VLOOKUP(IntComp[[#This Row],[DEVELOPMENT]],Data[],12,FALSE),TODAY(),"Y"))</f>
        <v/>
      </c>
      <c r="K207" s="67">
        <f>IF(IntComp[[#This Row],[RAD/PACT]]="",VLOOKUP(IntComp[[#This Row],[DEVELOPMENT]],Data[],10,FALSE),IF(IntComp[[#This Row],[RAD/PACT by 2025]]="yes",0,VLOOKUP(IntComp[[#This Row],[DEVELOPMENT]],Data[],10,FALSE)))</f>
        <v>0</v>
      </c>
      <c r="L207" s="63">
        <f ca="1">IF(IntComp[[#This Row],[RAD/PACT by 2025]]="Yes",0,(IntComp[[#This Row],['# Int. Compactors to Replace]]*'Unit Costs'!$B$8)*(1+((IntComp[[#This Row],[est. Year]]-YEAR(TODAY()))*$L$2)))</f>
        <v>0</v>
      </c>
      <c r="M207" s="67">
        <f>SUM(INDEX(IntComp['# to Replace],1):IntComp[[#This Row],['# to Replace]])</f>
        <v>0</v>
      </c>
      <c r="N207" s="67">
        <f>ROUNDDOWN(IntComp[[#This Row],[Count]]/100,0)+$N$1</f>
        <v>2020</v>
      </c>
      <c r="O207" s="86">
        <f t="shared" ca="1" si="3"/>
        <v>94865572.116000026</v>
      </c>
    </row>
    <row r="208" spans="1:15" x14ac:dyDescent="0.25">
      <c r="A208" s="13" t="s">
        <v>93</v>
      </c>
      <c r="B208" s="1" t="str">
        <f>VLOOKUP(A208,Data[],2,FALSE)</f>
        <v>MANHATTAN</v>
      </c>
      <c r="C208" s="9" t="s">
        <v>106</v>
      </c>
      <c r="D208" s="9">
        <f>VLOOKUP(IntComp[[#This Row],[DEVELOPMENT]],Data[],31,FALSE)</f>
        <v>2</v>
      </c>
      <c r="E208" s="9" t="str">
        <f>VLOOKUP(IntComp[[#This Row],[DEVELOPMENT]],Data[],8,FALSE)</f>
        <v>Zone 3</v>
      </c>
      <c r="F208" s="9" t="str">
        <f>VLOOKUP(IntComp[[#This Row],[DEVELOPMENT]],Data[],9,FALSE)</f>
        <v>$$</v>
      </c>
      <c r="G208" s="9"/>
      <c r="H208" s="9">
        <f>IFERROR(VLOOKUP(IntComp[[#This Row],[DEVELOPMENT]],Data[],4,FALSE),"")</f>
        <v>2019</v>
      </c>
      <c r="I208" s="9" t="str">
        <f>IF(IntComp[[#This Row],[RAD/PACT]]="","",IF(IntComp[[#This Row],[RAD/PACT]]&lt;=2025,"Yes",""))</f>
        <v>Yes</v>
      </c>
      <c r="J208" s="1" t="str">
        <f ca="1">IF(VLOOKUP(IntComp[[#This Row],[DEVELOPMENT]],Data[],10,FALSE)=0,"",DATEDIF(VLOOKUP(IntComp[[#This Row],[DEVELOPMENT]],Data[],12,FALSE),TODAY(),"Y"))</f>
        <v/>
      </c>
      <c r="K208" s="1">
        <f>IF(IntComp[[#This Row],[RAD/PACT]]="",VLOOKUP(IntComp[[#This Row],[DEVELOPMENT]],Data[],10,FALSE),IF(IntComp[[#This Row],[RAD/PACT by 2025]]="yes",0,VLOOKUP(IntComp[[#This Row],[DEVELOPMENT]],Data[],10,FALSE)))</f>
        <v>0</v>
      </c>
      <c r="L208" s="63">
        <f ca="1">IF(IntComp[[#This Row],[RAD/PACT by 2025]]="Yes",0,(IntComp[[#This Row],['# Int. Compactors to Replace]]*'Unit Costs'!$B$8)*(1+((IntComp[[#This Row],[est. Year]]-YEAR(TODAY()))*$L$2)))</f>
        <v>0</v>
      </c>
      <c r="M208" s="1">
        <f>SUM(INDEX(IntComp['# to Replace],1):IntComp[[#This Row],['# to Replace]])</f>
        <v>0</v>
      </c>
      <c r="N208" s="1">
        <f>ROUNDDOWN(IntComp[[#This Row],[Count]]/100,0)+$N$1</f>
        <v>2020</v>
      </c>
      <c r="O208" s="81">
        <f t="shared" ca="1" si="3"/>
        <v>94865572.116000026</v>
      </c>
    </row>
    <row r="209" spans="1:15" x14ac:dyDescent="0.25">
      <c r="A209" s="13" t="s">
        <v>285</v>
      </c>
      <c r="B209" s="9" t="str">
        <f>VLOOKUP(A209,Data[],2,FALSE)</f>
        <v>BROOKLYN</v>
      </c>
      <c r="C209" s="9" t="s">
        <v>106</v>
      </c>
      <c r="D209" s="9">
        <f>VLOOKUP(IntComp[[#This Row],[DEVELOPMENT]],Data[],31,FALSE)</f>
        <v>6</v>
      </c>
      <c r="E209" s="66">
        <f>VLOOKUP(IntComp[[#This Row],[DEVELOPMENT]],Data[],8,FALSE)</f>
        <v>0</v>
      </c>
      <c r="F209" s="66">
        <f>VLOOKUP(IntComp[[#This Row],[DEVELOPMENT]],Data[],9,FALSE)</f>
        <v>0</v>
      </c>
      <c r="G209" s="66"/>
      <c r="H209" s="66">
        <f>IFERROR(VLOOKUP(IntComp[[#This Row],[DEVELOPMENT]],Data[],4,FALSE),"")</f>
        <v>2025</v>
      </c>
      <c r="I209" s="66" t="str">
        <f>IF(IntComp[[#This Row],[RAD/PACT]]="","",IF(IntComp[[#This Row],[RAD/PACT]]&lt;=2025,"Yes",""))</f>
        <v>Yes</v>
      </c>
      <c r="J209" s="67" t="str">
        <f ca="1">IF(VLOOKUP(IntComp[[#This Row],[DEVELOPMENT]],Data[],10,FALSE)=0,"",DATEDIF(VLOOKUP(IntComp[[#This Row],[DEVELOPMENT]],Data[],12,FALSE),TODAY(),"Y"))</f>
        <v/>
      </c>
      <c r="K209" s="67">
        <f>IF(IntComp[[#This Row],[RAD/PACT]]="",VLOOKUP(IntComp[[#This Row],[DEVELOPMENT]],Data[],10,FALSE),IF(IntComp[[#This Row],[RAD/PACT by 2025]]="yes",0,VLOOKUP(IntComp[[#This Row],[DEVELOPMENT]],Data[],10,FALSE)))</f>
        <v>0</v>
      </c>
      <c r="L209" s="63">
        <f ca="1">IF(IntComp[[#This Row],[RAD/PACT by 2025]]="Yes",0,(IntComp[[#This Row],['# Int. Compactors to Replace]]*'Unit Costs'!$B$8)*(1+((IntComp[[#This Row],[est. Year]]-YEAR(TODAY()))*$L$2)))</f>
        <v>0</v>
      </c>
      <c r="M209" s="67">
        <f>SUM(INDEX(IntComp['# to Replace],1):IntComp[[#This Row],['# to Replace]])</f>
        <v>0</v>
      </c>
      <c r="N209" s="67">
        <f>ROUNDDOWN(IntComp[[#This Row],[Count]]/100,0)+$N$1</f>
        <v>2020</v>
      </c>
      <c r="O209" s="86">
        <f t="shared" ca="1" si="3"/>
        <v>94865572.116000026</v>
      </c>
    </row>
    <row r="210" spans="1:15" x14ac:dyDescent="0.25">
      <c r="A210" s="13" t="s">
        <v>286</v>
      </c>
      <c r="B210" s="9" t="str">
        <f>VLOOKUP(A210,Data[],2,FALSE)</f>
        <v>BRONX</v>
      </c>
      <c r="C210" s="9" t="s">
        <v>106</v>
      </c>
      <c r="D210" s="9">
        <f>VLOOKUP(IntComp[[#This Row],[DEVELOPMENT]],Data[],31,FALSE)</f>
        <v>21</v>
      </c>
      <c r="E210" s="66">
        <f>VLOOKUP(IntComp[[#This Row],[DEVELOPMENT]],Data[],8,FALSE)</f>
        <v>0</v>
      </c>
      <c r="F210" s="66">
        <f>VLOOKUP(IntComp[[#This Row],[DEVELOPMENT]],Data[],9,FALSE)</f>
        <v>0</v>
      </c>
      <c r="G210" s="66"/>
      <c r="H210" s="66" t="str">
        <f>IFERROR(VLOOKUP(IntComp[[#This Row],[DEVELOPMENT]],Data[],4,FALSE),"")</f>
        <v/>
      </c>
      <c r="I210" s="66" t="str">
        <f>IF(IntComp[[#This Row],[RAD/PACT]]="","",IF(IntComp[[#This Row],[RAD/PACT]]&lt;=2025,"Yes",""))</f>
        <v/>
      </c>
      <c r="J210" s="67" t="str">
        <f ca="1">IF(VLOOKUP(IntComp[[#This Row],[DEVELOPMENT]],Data[],10,FALSE)=0,"",DATEDIF(VLOOKUP(IntComp[[#This Row],[DEVELOPMENT]],Data[],12,FALSE),TODAY(),"Y"))</f>
        <v/>
      </c>
      <c r="K210" s="67">
        <f>IF(IntComp[[#This Row],[RAD/PACT]]="",VLOOKUP(IntComp[[#This Row],[DEVELOPMENT]],Data[],10,FALSE),IF(IntComp[[#This Row],[RAD/PACT by 2025]]="yes",0,VLOOKUP(IntComp[[#This Row],[DEVELOPMENT]],Data[],10,FALSE)))</f>
        <v>0</v>
      </c>
      <c r="L210" s="63">
        <f ca="1">IF(IntComp[[#This Row],[RAD/PACT by 2025]]="Yes",0,(IntComp[[#This Row],['# Int. Compactors to Replace]]*'Unit Costs'!$B$8)*(1+((IntComp[[#This Row],[est. Year]]-YEAR(TODAY()))*$L$2)))</f>
        <v>1546721.2844999998</v>
      </c>
      <c r="M210" s="67">
        <f>SUM(INDEX(IntComp['# to Replace],1):IntComp[[#This Row],['# to Replace]])</f>
        <v>0</v>
      </c>
      <c r="N210" s="67">
        <f>ROUNDDOWN(IntComp[[#This Row],[Count]]/100,0)+$N$1</f>
        <v>2020</v>
      </c>
      <c r="O210" s="86">
        <f t="shared" ca="1" si="3"/>
        <v>96412293.400500029</v>
      </c>
    </row>
    <row r="211" spans="1:15" x14ac:dyDescent="0.25">
      <c r="A211" s="13" t="s">
        <v>132</v>
      </c>
      <c r="B211" s="1" t="str">
        <f>VLOOKUP(A211,Data[],2,FALSE)</f>
        <v>BRONX</v>
      </c>
      <c r="C211" s="9" t="s">
        <v>106</v>
      </c>
      <c r="D211" s="9">
        <f>VLOOKUP(IntComp[[#This Row],[DEVELOPMENT]],Data[],31,FALSE)</f>
        <v>0</v>
      </c>
      <c r="E211" s="9" t="str">
        <f>VLOOKUP(IntComp[[#This Row],[DEVELOPMENT]],Data[],8,FALSE)</f>
        <v>Zone 3</v>
      </c>
      <c r="F211" s="9" t="str">
        <f>VLOOKUP(IntComp[[#This Row],[DEVELOPMENT]],Data[],9,FALSE)</f>
        <v>$$</v>
      </c>
      <c r="G211" s="9"/>
      <c r="H211" s="9">
        <f>IFERROR(VLOOKUP(IntComp[[#This Row],[DEVELOPMENT]],Data[],4,FALSE),"")</f>
        <v>2025</v>
      </c>
      <c r="I211" s="9" t="str">
        <f>IF(IntComp[[#This Row],[RAD/PACT]]="","",IF(IntComp[[#This Row],[RAD/PACT]]&lt;=2025,"Yes",""))</f>
        <v>Yes</v>
      </c>
      <c r="J211" s="1" t="str">
        <f ca="1">IF(VLOOKUP(IntComp[[#This Row],[DEVELOPMENT]],Data[],10,FALSE)=0,"",DATEDIF(VLOOKUP(IntComp[[#This Row],[DEVELOPMENT]],Data[],12,FALSE),TODAY(),"Y"))</f>
        <v/>
      </c>
      <c r="K211" s="1">
        <f>IF(IntComp[[#This Row],[RAD/PACT]]="",VLOOKUP(IntComp[[#This Row],[DEVELOPMENT]],Data[],10,FALSE),IF(IntComp[[#This Row],[RAD/PACT by 2025]]="yes",0,VLOOKUP(IntComp[[#This Row],[DEVELOPMENT]],Data[],10,FALSE)))</f>
        <v>0</v>
      </c>
      <c r="L211" s="63">
        <f ca="1">IF(IntComp[[#This Row],[RAD/PACT by 2025]]="Yes",0,(IntComp[[#This Row],['# Int. Compactors to Replace]]*'Unit Costs'!$B$8)*(1+((IntComp[[#This Row],[est. Year]]-YEAR(TODAY()))*$L$2)))</f>
        <v>0</v>
      </c>
      <c r="M211" s="1">
        <f>SUM(INDEX(IntComp['# to Replace],1):IntComp[[#This Row],['# to Replace]])</f>
        <v>0</v>
      </c>
      <c r="N211" s="1">
        <f>ROUNDDOWN(IntComp[[#This Row],[Count]]/100,0)+$N$1</f>
        <v>2020</v>
      </c>
      <c r="O211" s="81">
        <f t="shared" ca="1" si="3"/>
        <v>96412293.400500029</v>
      </c>
    </row>
    <row r="212" spans="1:15" x14ac:dyDescent="0.25">
      <c r="A212" s="13" t="s">
        <v>287</v>
      </c>
      <c r="B212" s="9" t="str">
        <f>VLOOKUP(A212,Data[],2,FALSE)</f>
        <v>BRONX</v>
      </c>
      <c r="C212" s="9" t="s">
        <v>106</v>
      </c>
      <c r="D212" s="9">
        <f>VLOOKUP(IntComp[[#This Row],[DEVELOPMENT]],Data[],31,FALSE)</f>
        <v>38</v>
      </c>
      <c r="E212" s="66">
        <f>VLOOKUP(IntComp[[#This Row],[DEVELOPMENT]],Data[],8,FALSE)</f>
        <v>0</v>
      </c>
      <c r="F212" s="66">
        <f>VLOOKUP(IntComp[[#This Row],[DEVELOPMENT]],Data[],9,FALSE)</f>
        <v>0</v>
      </c>
      <c r="G212" s="66"/>
      <c r="H212" s="66">
        <f>IFERROR(VLOOKUP(IntComp[[#This Row],[DEVELOPMENT]],Data[],4,FALSE),"")</f>
        <v>2022</v>
      </c>
      <c r="I212" s="66" t="str">
        <f>IF(IntComp[[#This Row],[RAD/PACT]]="","",IF(IntComp[[#This Row],[RAD/PACT]]&lt;=2025,"Yes",""))</f>
        <v>Yes</v>
      </c>
      <c r="J212" s="67" t="str">
        <f ca="1">IF(VLOOKUP(IntComp[[#This Row],[DEVELOPMENT]],Data[],10,FALSE)=0,"",DATEDIF(VLOOKUP(IntComp[[#This Row],[DEVELOPMENT]],Data[],12,FALSE),TODAY(),"Y"))</f>
        <v/>
      </c>
      <c r="K212" s="67">
        <f>IF(IntComp[[#This Row],[RAD/PACT]]="",VLOOKUP(IntComp[[#This Row],[DEVELOPMENT]],Data[],10,FALSE),IF(IntComp[[#This Row],[RAD/PACT by 2025]]="yes",0,VLOOKUP(IntComp[[#This Row],[DEVELOPMENT]],Data[],10,FALSE)))</f>
        <v>0</v>
      </c>
      <c r="L212" s="63">
        <f ca="1">IF(IntComp[[#This Row],[RAD/PACT by 2025]]="Yes",0,(IntComp[[#This Row],['# Int. Compactors to Replace]]*'Unit Costs'!$B$8)*(1+((IntComp[[#This Row],[est. Year]]-YEAR(TODAY()))*$L$2)))</f>
        <v>0</v>
      </c>
      <c r="M212" s="67">
        <f>SUM(INDEX(IntComp['# to Replace],1):IntComp[[#This Row],['# to Replace]])</f>
        <v>0</v>
      </c>
      <c r="N212" s="67">
        <f>ROUNDDOWN(IntComp[[#This Row],[Count]]/100,0)+$N$1</f>
        <v>2020</v>
      </c>
      <c r="O212" s="86">
        <f t="shared" ca="1" si="3"/>
        <v>96412293.400500029</v>
      </c>
    </row>
    <row r="213" spans="1:15" x14ac:dyDescent="0.25">
      <c r="A213" s="13" t="s">
        <v>288</v>
      </c>
      <c r="B213" s="9" t="str">
        <f>VLOOKUP(A213,Data[],2,FALSE)</f>
        <v>BROOKLYN</v>
      </c>
      <c r="C213" s="9" t="s">
        <v>106</v>
      </c>
      <c r="D213" s="9">
        <f>VLOOKUP(IntComp[[#This Row],[DEVELOPMENT]],Data[],31,FALSE)</f>
        <v>3</v>
      </c>
      <c r="E213" s="66">
        <f>VLOOKUP(IntComp[[#This Row],[DEVELOPMENT]],Data[],8,FALSE)</f>
        <v>0</v>
      </c>
      <c r="F213" s="66">
        <f>VLOOKUP(IntComp[[#This Row],[DEVELOPMENT]],Data[],9,FALSE)</f>
        <v>0</v>
      </c>
      <c r="G213" s="66"/>
      <c r="H213" s="66" t="str">
        <f>IFERROR(VLOOKUP(IntComp[[#This Row],[DEVELOPMENT]],Data[],4,FALSE),"")</f>
        <v/>
      </c>
      <c r="I213" s="66" t="str">
        <f>IF(IntComp[[#This Row],[RAD/PACT]]="","",IF(IntComp[[#This Row],[RAD/PACT]]&lt;=2025,"Yes",""))</f>
        <v/>
      </c>
      <c r="J213" s="67" t="str">
        <f ca="1">IF(VLOOKUP(IntComp[[#This Row],[DEVELOPMENT]],Data[],10,FALSE)=0,"",DATEDIF(VLOOKUP(IntComp[[#This Row],[DEVELOPMENT]],Data[],12,FALSE),TODAY(),"Y"))</f>
        <v/>
      </c>
      <c r="K213" s="67">
        <f>IF(IntComp[[#This Row],[RAD/PACT]]="",VLOOKUP(IntComp[[#This Row],[DEVELOPMENT]],Data[],10,FALSE),IF(IntComp[[#This Row],[RAD/PACT by 2025]]="yes",0,VLOOKUP(IntComp[[#This Row],[DEVELOPMENT]],Data[],10,FALSE)))</f>
        <v>0</v>
      </c>
      <c r="L213" s="63">
        <f ca="1">IF(IntComp[[#This Row],[RAD/PACT by 2025]]="Yes",0,(IntComp[[#This Row],['# Int. Compactors to Replace]]*'Unit Costs'!$B$8)*(1+((IntComp[[#This Row],[est. Year]]-YEAR(TODAY()))*$L$2)))</f>
        <v>220960.18349999996</v>
      </c>
      <c r="M213" s="67">
        <f>SUM(INDEX(IntComp['# to Replace],1):IntComp[[#This Row],['# to Replace]])</f>
        <v>0</v>
      </c>
      <c r="N213" s="67">
        <f>ROUNDDOWN(IntComp[[#This Row],[Count]]/100,0)+$N$1</f>
        <v>2020</v>
      </c>
      <c r="O213" s="86">
        <f t="shared" ca="1" si="3"/>
        <v>96633253.584000036</v>
      </c>
    </row>
    <row r="214" spans="1:15" x14ac:dyDescent="0.25">
      <c r="A214" s="13" t="s">
        <v>289</v>
      </c>
      <c r="B214" s="9" t="str">
        <f>VLOOKUP(A214,Data[],2,FALSE)</f>
        <v>BROOKLYN</v>
      </c>
      <c r="C214" s="9" t="s">
        <v>106</v>
      </c>
      <c r="D214" s="9">
        <f>VLOOKUP(IntComp[[#This Row],[DEVELOPMENT]],Data[],31,FALSE)</f>
        <v>22</v>
      </c>
      <c r="E214" s="66">
        <f>VLOOKUP(IntComp[[#This Row],[DEVELOPMENT]],Data[],8,FALSE)</f>
        <v>0</v>
      </c>
      <c r="F214" s="66">
        <f>VLOOKUP(IntComp[[#This Row],[DEVELOPMENT]],Data[],9,FALSE)</f>
        <v>0</v>
      </c>
      <c r="G214" s="66"/>
      <c r="H214" s="66" t="str">
        <f>IFERROR(VLOOKUP(IntComp[[#This Row],[DEVELOPMENT]],Data[],4,FALSE),"")</f>
        <v/>
      </c>
      <c r="I214" s="66" t="str">
        <f>IF(IntComp[[#This Row],[RAD/PACT]]="","",IF(IntComp[[#This Row],[RAD/PACT]]&lt;=2025,"Yes",""))</f>
        <v/>
      </c>
      <c r="J214" s="67" t="str">
        <f ca="1">IF(VLOOKUP(IntComp[[#This Row],[DEVELOPMENT]],Data[],10,FALSE)=0,"",DATEDIF(VLOOKUP(IntComp[[#This Row],[DEVELOPMENT]],Data[],12,FALSE),TODAY(),"Y"))</f>
        <v/>
      </c>
      <c r="K214" s="67">
        <f>IF(IntComp[[#This Row],[RAD/PACT]]="",VLOOKUP(IntComp[[#This Row],[DEVELOPMENT]],Data[],10,FALSE),IF(IntComp[[#This Row],[RAD/PACT by 2025]]="yes",0,VLOOKUP(IntComp[[#This Row],[DEVELOPMENT]],Data[],10,FALSE)))</f>
        <v>0</v>
      </c>
      <c r="L214" s="63">
        <f ca="1">IF(IntComp[[#This Row],[RAD/PACT by 2025]]="Yes",0,(IntComp[[#This Row],['# Int. Compactors to Replace]]*'Unit Costs'!$B$8)*(1+((IntComp[[#This Row],[est. Year]]-YEAR(TODAY()))*$L$2)))</f>
        <v>1620374.6789999998</v>
      </c>
      <c r="M214" s="67">
        <f>SUM(INDEX(IntComp['# to Replace],1):IntComp[[#This Row],['# to Replace]])</f>
        <v>0</v>
      </c>
      <c r="N214" s="67">
        <f>ROUNDDOWN(IntComp[[#This Row],[Count]]/100,0)+$N$1</f>
        <v>2020</v>
      </c>
      <c r="O214" s="86">
        <f t="shared" ca="1" si="3"/>
        <v>98253628.263000041</v>
      </c>
    </row>
    <row r="215" spans="1:15" x14ac:dyDescent="0.25">
      <c r="A215" s="13" t="s">
        <v>133</v>
      </c>
      <c r="B215" s="1" t="str">
        <f>VLOOKUP(A215,Data[],2,FALSE)</f>
        <v>MANHATTAN</v>
      </c>
      <c r="C215" s="9" t="s">
        <v>106</v>
      </c>
      <c r="D215" s="9">
        <f>VLOOKUP(IntComp[[#This Row],[DEVELOPMENT]],Data[],31,FALSE)</f>
        <v>9</v>
      </c>
      <c r="E215" s="9" t="str">
        <f>VLOOKUP(IntComp[[#This Row],[DEVELOPMENT]],Data[],8,FALSE)</f>
        <v>Zone 2</v>
      </c>
      <c r="F215" s="9" t="str">
        <f>VLOOKUP(IntComp[[#This Row],[DEVELOPMENT]],Data[],9,FALSE)</f>
        <v>$</v>
      </c>
      <c r="G215" s="9"/>
      <c r="H215" s="9" t="str">
        <f>IFERROR(VLOOKUP(IntComp[[#This Row],[DEVELOPMENT]],Data[],4,FALSE),"")</f>
        <v/>
      </c>
      <c r="I215" s="9" t="str">
        <f>IF(IntComp[[#This Row],[RAD/PACT]]="","",IF(IntComp[[#This Row],[RAD/PACT]]&lt;=2025,"Yes",""))</f>
        <v/>
      </c>
      <c r="J215" s="1" t="str">
        <f ca="1">IF(VLOOKUP(IntComp[[#This Row],[DEVELOPMENT]],Data[],10,FALSE)=0,"",DATEDIF(VLOOKUP(IntComp[[#This Row],[DEVELOPMENT]],Data[],12,FALSE),TODAY(),"Y"))</f>
        <v/>
      </c>
      <c r="K215" s="1">
        <f>IF(IntComp[[#This Row],[RAD/PACT]]="",VLOOKUP(IntComp[[#This Row],[DEVELOPMENT]],Data[],10,FALSE),IF(IntComp[[#This Row],[RAD/PACT by 2025]]="yes",0,VLOOKUP(IntComp[[#This Row],[DEVELOPMENT]],Data[],10,FALSE)))</f>
        <v>0</v>
      </c>
      <c r="L215" s="63">
        <f ca="1">IF(IntComp[[#This Row],[RAD/PACT by 2025]]="Yes",0,(IntComp[[#This Row],['# Int. Compactors to Replace]]*'Unit Costs'!$B$8)*(1+((IntComp[[#This Row],[est. Year]]-YEAR(TODAY()))*$L$2)))</f>
        <v>662880.5504999999</v>
      </c>
      <c r="M215" s="1">
        <f>SUM(INDEX(IntComp['# to Replace],1):IntComp[[#This Row],['# to Replace]])</f>
        <v>0</v>
      </c>
      <c r="N215" s="1">
        <f>ROUNDDOWN(IntComp[[#This Row],[Count]]/100,0)+$N$1</f>
        <v>2020</v>
      </c>
      <c r="O215" s="81">
        <f t="shared" ca="1" si="3"/>
        <v>98916508.813500047</v>
      </c>
    </row>
    <row r="216" spans="1:15" x14ac:dyDescent="0.25">
      <c r="A216" s="13" t="s">
        <v>386</v>
      </c>
      <c r="B216" s="9" t="str">
        <f>VLOOKUP(A216,Data[],2,FALSE)</f>
        <v>BRONX</v>
      </c>
      <c r="C216" s="9" t="s">
        <v>106</v>
      </c>
      <c r="D216" s="9">
        <f>VLOOKUP(IntComp[[#This Row],[DEVELOPMENT]],Data[],31,FALSE)</f>
        <v>0</v>
      </c>
      <c r="E216" s="66">
        <f>VLOOKUP(IntComp[[#This Row],[DEVELOPMENT]],Data[],8,FALSE)</f>
        <v>0</v>
      </c>
      <c r="F216" s="66">
        <f>VLOOKUP(IntComp[[#This Row],[DEVELOPMENT]],Data[],9,FALSE)</f>
        <v>0</v>
      </c>
      <c r="G216" s="66"/>
      <c r="H216" s="66" t="str">
        <f>IFERROR(VLOOKUP(IntComp[[#This Row],[DEVELOPMENT]],Data[],4,FALSE),"")</f>
        <v/>
      </c>
      <c r="I216" s="66" t="str">
        <f>IF(IntComp[[#This Row],[RAD/PACT]]="","",IF(IntComp[[#This Row],[RAD/PACT]]&lt;=2025,"Yes",""))</f>
        <v/>
      </c>
      <c r="J216" s="67" t="str">
        <f ca="1">IF(VLOOKUP(IntComp[[#This Row],[DEVELOPMENT]],Data[],10,FALSE)=0,"",DATEDIF(VLOOKUP(IntComp[[#This Row],[DEVELOPMENT]],Data[],12,FALSE),TODAY(),"Y"))</f>
        <v/>
      </c>
      <c r="K216" s="67">
        <f>IF(IntComp[[#This Row],[RAD/PACT]]="",VLOOKUP(IntComp[[#This Row],[DEVELOPMENT]],Data[],10,FALSE),IF(IntComp[[#This Row],[RAD/PACT by 2025]]="yes",0,VLOOKUP(IntComp[[#This Row],[DEVELOPMENT]],Data[],10,FALSE)))</f>
        <v>0</v>
      </c>
      <c r="L216" s="63">
        <f ca="1">IF(IntComp[[#This Row],[RAD/PACT by 2025]]="Yes",0,(IntComp[[#This Row],['# Int. Compactors to Replace]]*'Unit Costs'!$B$8)*(1+((IntComp[[#This Row],[est. Year]]-YEAR(TODAY()))*$L$2)))</f>
        <v>0</v>
      </c>
      <c r="M216" s="67">
        <f>SUM(INDEX(IntComp['# to Replace],1):IntComp[[#This Row],['# to Replace]])</f>
        <v>0</v>
      </c>
      <c r="N216" s="67">
        <f>ROUNDDOWN(IntComp[[#This Row],[Count]]/100,0)+$N$1</f>
        <v>2020</v>
      </c>
      <c r="O216" s="86">
        <f t="shared" ca="1" si="3"/>
        <v>98916508.813500047</v>
      </c>
    </row>
    <row r="217" spans="1:15" x14ac:dyDescent="0.25">
      <c r="A217" s="13" t="s">
        <v>94</v>
      </c>
      <c r="B217" s="1" t="str">
        <f>VLOOKUP(A217,Data[],2,FALSE)</f>
        <v>MANHATTAN</v>
      </c>
      <c r="C217" s="9" t="s">
        <v>106</v>
      </c>
      <c r="D217" s="9">
        <f>VLOOKUP(IntComp[[#This Row],[DEVELOPMENT]],Data[],31,FALSE)</f>
        <v>1</v>
      </c>
      <c r="E217" s="9" t="str">
        <f>VLOOKUP(IntComp[[#This Row],[DEVELOPMENT]],Data[],8,FALSE)</f>
        <v>Zone 3</v>
      </c>
      <c r="F217" s="9" t="str">
        <f>VLOOKUP(IntComp[[#This Row],[DEVELOPMENT]],Data[],9,FALSE)</f>
        <v>$</v>
      </c>
      <c r="G217" s="9"/>
      <c r="H217" s="9">
        <f>IFERROR(VLOOKUP(IntComp[[#This Row],[DEVELOPMENT]],Data[],4,FALSE),"")</f>
        <v>2019</v>
      </c>
      <c r="I217" s="9" t="str">
        <f>IF(IntComp[[#This Row],[RAD/PACT]]="","",IF(IntComp[[#This Row],[RAD/PACT]]&lt;=2025,"Yes",""))</f>
        <v>Yes</v>
      </c>
      <c r="J217" s="1" t="str">
        <f ca="1">IF(VLOOKUP(IntComp[[#This Row],[DEVELOPMENT]],Data[],10,FALSE)=0,"",DATEDIF(VLOOKUP(IntComp[[#This Row],[DEVELOPMENT]],Data[],12,FALSE),TODAY(),"Y"))</f>
        <v/>
      </c>
      <c r="K217" s="1">
        <f>IF(IntComp[[#This Row],[RAD/PACT]]="",VLOOKUP(IntComp[[#This Row],[DEVELOPMENT]],Data[],10,FALSE),IF(IntComp[[#This Row],[RAD/PACT by 2025]]="yes",0,VLOOKUP(IntComp[[#This Row],[DEVELOPMENT]],Data[],10,FALSE)))</f>
        <v>0</v>
      </c>
      <c r="L217" s="63">
        <f ca="1">IF(IntComp[[#This Row],[RAD/PACT by 2025]]="Yes",0,(IntComp[[#This Row],['# Int. Compactors to Replace]]*'Unit Costs'!$B$8)*(1+((IntComp[[#This Row],[est. Year]]-YEAR(TODAY()))*$L$2)))</f>
        <v>0</v>
      </c>
      <c r="M217" s="1">
        <f>SUM(INDEX(IntComp['# to Replace],1):IntComp[[#This Row],['# to Replace]])</f>
        <v>0</v>
      </c>
      <c r="N217" s="1">
        <f>ROUNDDOWN(IntComp[[#This Row],[Count]]/100,0)+$N$1</f>
        <v>2020</v>
      </c>
      <c r="O217" s="81">
        <f t="shared" ca="1" si="3"/>
        <v>98916508.813500047</v>
      </c>
    </row>
    <row r="218" spans="1:15" x14ac:dyDescent="0.25">
      <c r="A218" s="13" t="s">
        <v>134</v>
      </c>
      <c r="B218" s="1" t="str">
        <f>VLOOKUP(A218,Data[],2,FALSE)</f>
        <v>QUEENS</v>
      </c>
      <c r="C218" s="9" t="s">
        <v>106</v>
      </c>
      <c r="D218" s="9">
        <f>VLOOKUP(IntComp[[#This Row],[DEVELOPMENT]],Data[],31,FALSE)</f>
        <v>47</v>
      </c>
      <c r="E218" s="9" t="str">
        <f>VLOOKUP(IntComp[[#This Row],[DEVELOPMENT]],Data[],8,FALSE)</f>
        <v>Zone 3</v>
      </c>
      <c r="F218" s="9" t="str">
        <f>VLOOKUP(IntComp[[#This Row],[DEVELOPMENT]],Data[],9,FALSE)</f>
        <v>$</v>
      </c>
      <c r="G218" s="9"/>
      <c r="H218" s="9" t="str">
        <f>IFERROR(VLOOKUP(IntComp[[#This Row],[DEVELOPMENT]],Data[],4,FALSE),"")</f>
        <v/>
      </c>
      <c r="I218" s="9" t="str">
        <f>IF(IntComp[[#This Row],[RAD/PACT]]="","",IF(IntComp[[#This Row],[RAD/PACT]]&lt;=2025,"Yes",""))</f>
        <v/>
      </c>
      <c r="J218" s="1" t="str">
        <f ca="1">IF(VLOOKUP(IntComp[[#This Row],[DEVELOPMENT]],Data[],10,FALSE)=0,"",DATEDIF(VLOOKUP(IntComp[[#This Row],[DEVELOPMENT]],Data[],12,FALSE),TODAY(),"Y"))</f>
        <v/>
      </c>
      <c r="K218" s="1">
        <f>IF(IntComp[[#This Row],[RAD/PACT]]="",VLOOKUP(IntComp[[#This Row],[DEVELOPMENT]],Data[],10,FALSE),IF(IntComp[[#This Row],[RAD/PACT by 2025]]="yes",0,VLOOKUP(IntComp[[#This Row],[DEVELOPMENT]],Data[],10,FALSE)))</f>
        <v>0</v>
      </c>
      <c r="L218" s="63">
        <f ca="1">IF(IntComp[[#This Row],[RAD/PACT by 2025]]="Yes",0,(IntComp[[#This Row],['# Int. Compactors to Replace]]*'Unit Costs'!$B$8)*(1+((IntComp[[#This Row],[est. Year]]-YEAR(TODAY()))*$L$2)))</f>
        <v>3461709.5414999998</v>
      </c>
      <c r="M218" s="1">
        <f>SUM(INDEX(IntComp['# to Replace],1):IntComp[[#This Row],['# to Replace]])</f>
        <v>0</v>
      </c>
      <c r="N218" s="1">
        <f>ROUNDDOWN(IntComp[[#This Row],[Count]]/100,0)+$N$1</f>
        <v>2020</v>
      </c>
      <c r="O218" s="81">
        <f t="shared" ca="1" si="3"/>
        <v>102378218.35500005</v>
      </c>
    </row>
    <row r="219" spans="1:15" x14ac:dyDescent="0.25">
      <c r="A219" s="13" t="s">
        <v>135</v>
      </c>
      <c r="B219" s="1" t="str">
        <f>VLOOKUP(A219,Data[],2,FALSE)</f>
        <v>QUEENS</v>
      </c>
      <c r="C219" s="9" t="s">
        <v>106</v>
      </c>
      <c r="D219" s="9">
        <f>VLOOKUP(IntComp[[#This Row],[DEVELOPMENT]],Data[],31,FALSE)</f>
        <v>49</v>
      </c>
      <c r="E219" s="9" t="str">
        <f>VLOOKUP(IntComp[[#This Row],[DEVELOPMENT]],Data[],8,FALSE)</f>
        <v>Zone 3</v>
      </c>
      <c r="F219" s="9" t="str">
        <f>VLOOKUP(IntComp[[#This Row],[DEVELOPMENT]],Data[],9,FALSE)</f>
        <v>$</v>
      </c>
      <c r="G219" s="9"/>
      <c r="H219" s="9" t="str">
        <f>IFERROR(VLOOKUP(IntComp[[#This Row],[DEVELOPMENT]],Data[],4,FALSE),"")</f>
        <v/>
      </c>
      <c r="I219" s="9" t="str">
        <f>IF(IntComp[[#This Row],[RAD/PACT]]="","",IF(IntComp[[#This Row],[RAD/PACT]]&lt;=2025,"Yes",""))</f>
        <v/>
      </c>
      <c r="J219" s="1" t="str">
        <f ca="1">IF(VLOOKUP(IntComp[[#This Row],[DEVELOPMENT]],Data[],10,FALSE)=0,"",DATEDIF(VLOOKUP(IntComp[[#This Row],[DEVELOPMENT]],Data[],12,FALSE),TODAY(),"Y"))</f>
        <v/>
      </c>
      <c r="K219" s="1">
        <f>IF(IntComp[[#This Row],[RAD/PACT]]="",VLOOKUP(IntComp[[#This Row],[DEVELOPMENT]],Data[],10,FALSE),IF(IntComp[[#This Row],[RAD/PACT by 2025]]="yes",0,VLOOKUP(IntComp[[#This Row],[DEVELOPMENT]],Data[],10,FALSE)))</f>
        <v>0</v>
      </c>
      <c r="L219" s="63">
        <f ca="1">IF(IntComp[[#This Row],[RAD/PACT by 2025]]="Yes",0,(IntComp[[#This Row],['# Int. Compactors to Replace]]*'Unit Costs'!$B$8)*(1+((IntComp[[#This Row],[est. Year]]-YEAR(TODAY()))*$L$2)))</f>
        <v>3609016.3304999997</v>
      </c>
      <c r="M219" s="1">
        <f>SUM(INDEX(IntComp['# to Replace],1):IntComp[[#This Row],['# to Replace]])</f>
        <v>0</v>
      </c>
      <c r="N219" s="1">
        <f>ROUNDDOWN(IntComp[[#This Row],[Count]]/100,0)+$N$1</f>
        <v>2020</v>
      </c>
      <c r="O219" s="81">
        <f t="shared" ca="1" si="3"/>
        <v>105987234.68550006</v>
      </c>
    </row>
    <row r="220" spans="1:15" x14ac:dyDescent="0.25">
      <c r="A220" s="13" t="s">
        <v>291</v>
      </c>
      <c r="B220" s="9" t="str">
        <f>VLOOKUP(A220,Data[],2,FALSE)</f>
        <v>BROOKLYN</v>
      </c>
      <c r="C220" s="9" t="s">
        <v>106</v>
      </c>
      <c r="D220" s="9">
        <f>VLOOKUP(IntComp[[#This Row],[DEVELOPMENT]],Data[],31,FALSE)</f>
        <v>9</v>
      </c>
      <c r="E220" s="66">
        <f>VLOOKUP(IntComp[[#This Row],[DEVELOPMENT]],Data[],8,FALSE)</f>
        <v>0</v>
      </c>
      <c r="F220" s="66">
        <f>VLOOKUP(IntComp[[#This Row],[DEVELOPMENT]],Data[],9,FALSE)</f>
        <v>0</v>
      </c>
      <c r="G220" s="66"/>
      <c r="H220" s="66">
        <f>IFERROR(VLOOKUP(IntComp[[#This Row],[DEVELOPMENT]],Data[],4,FALSE),"")</f>
        <v>2021</v>
      </c>
      <c r="I220" s="66" t="str">
        <f>IF(IntComp[[#This Row],[RAD/PACT]]="","",IF(IntComp[[#This Row],[RAD/PACT]]&lt;=2025,"Yes",""))</f>
        <v>Yes</v>
      </c>
      <c r="J220" s="67" t="str">
        <f ca="1">IF(VLOOKUP(IntComp[[#This Row],[DEVELOPMENT]],Data[],10,FALSE)=0,"",DATEDIF(VLOOKUP(IntComp[[#This Row],[DEVELOPMENT]],Data[],12,FALSE),TODAY(),"Y"))</f>
        <v/>
      </c>
      <c r="K220" s="67">
        <f>IF(IntComp[[#This Row],[RAD/PACT]]="",VLOOKUP(IntComp[[#This Row],[DEVELOPMENT]],Data[],10,FALSE),IF(IntComp[[#This Row],[RAD/PACT by 2025]]="yes",0,VLOOKUP(IntComp[[#This Row],[DEVELOPMENT]],Data[],10,FALSE)))</f>
        <v>0</v>
      </c>
      <c r="L220" s="63">
        <f ca="1">IF(IntComp[[#This Row],[RAD/PACT by 2025]]="Yes",0,(IntComp[[#This Row],['# Int. Compactors to Replace]]*'Unit Costs'!$B$8)*(1+((IntComp[[#This Row],[est. Year]]-YEAR(TODAY()))*$L$2)))</f>
        <v>0</v>
      </c>
      <c r="M220" s="67">
        <f>SUM(INDEX(IntComp['# to Replace],1):IntComp[[#This Row],['# to Replace]])</f>
        <v>0</v>
      </c>
      <c r="N220" s="67">
        <f>ROUNDDOWN(IntComp[[#This Row],[Count]]/100,0)+$N$1</f>
        <v>2020</v>
      </c>
      <c r="O220" s="86">
        <f t="shared" ca="1" si="3"/>
        <v>105987234.68550006</v>
      </c>
    </row>
    <row r="221" spans="1:15" x14ac:dyDescent="0.25">
      <c r="A221" s="13" t="s">
        <v>292</v>
      </c>
      <c r="B221" s="9" t="str">
        <f>VLOOKUP(A221,Data[],2,FALSE)</f>
        <v>BRONX</v>
      </c>
      <c r="C221" s="9" t="s">
        <v>106</v>
      </c>
      <c r="D221" s="9">
        <f>VLOOKUP(IntComp[[#This Row],[DEVELOPMENT]],Data[],31,FALSE)</f>
        <v>3</v>
      </c>
      <c r="E221" s="66">
        <f>VLOOKUP(IntComp[[#This Row],[DEVELOPMENT]],Data[],8,FALSE)</f>
        <v>0</v>
      </c>
      <c r="F221" s="66">
        <f>VLOOKUP(IntComp[[#This Row],[DEVELOPMENT]],Data[],9,FALSE)</f>
        <v>0</v>
      </c>
      <c r="G221" s="66"/>
      <c r="H221" s="66">
        <f>IFERROR(VLOOKUP(IntComp[[#This Row],[DEVELOPMENT]],Data[],4,FALSE),"")</f>
        <v>2022</v>
      </c>
      <c r="I221" s="66" t="str">
        <f>IF(IntComp[[#This Row],[RAD/PACT]]="","",IF(IntComp[[#This Row],[RAD/PACT]]&lt;=2025,"Yes",""))</f>
        <v>Yes</v>
      </c>
      <c r="J221" s="67" t="str">
        <f ca="1">IF(VLOOKUP(IntComp[[#This Row],[DEVELOPMENT]],Data[],10,FALSE)=0,"",DATEDIF(VLOOKUP(IntComp[[#This Row],[DEVELOPMENT]],Data[],12,FALSE),TODAY(),"Y"))</f>
        <v/>
      </c>
      <c r="K221" s="67">
        <f>IF(IntComp[[#This Row],[RAD/PACT]]="",VLOOKUP(IntComp[[#This Row],[DEVELOPMENT]],Data[],10,FALSE),IF(IntComp[[#This Row],[RAD/PACT by 2025]]="yes",0,VLOOKUP(IntComp[[#This Row],[DEVELOPMENT]],Data[],10,FALSE)))</f>
        <v>0</v>
      </c>
      <c r="L221" s="63">
        <f ca="1">IF(IntComp[[#This Row],[RAD/PACT by 2025]]="Yes",0,(IntComp[[#This Row],['# Int. Compactors to Replace]]*'Unit Costs'!$B$8)*(1+((IntComp[[#This Row],[est. Year]]-YEAR(TODAY()))*$L$2)))</f>
        <v>0</v>
      </c>
      <c r="M221" s="67">
        <f>SUM(INDEX(IntComp['# to Replace],1):IntComp[[#This Row],['# to Replace]])</f>
        <v>0</v>
      </c>
      <c r="N221" s="67">
        <f>ROUNDDOWN(IntComp[[#This Row],[Count]]/100,0)+$N$1</f>
        <v>2020</v>
      </c>
      <c r="O221" s="86">
        <f t="shared" ca="1" si="3"/>
        <v>105987234.68550006</v>
      </c>
    </row>
    <row r="222" spans="1:15" x14ac:dyDescent="0.25">
      <c r="A222" s="13" t="s">
        <v>387</v>
      </c>
      <c r="B222" s="9" t="str">
        <f>VLOOKUP(A222,Data[],2,FALSE)</f>
        <v>MANHATTAN</v>
      </c>
      <c r="C222" s="9" t="s">
        <v>106</v>
      </c>
      <c r="D222" s="9">
        <f>VLOOKUP(IntComp[[#This Row],[DEVELOPMENT]],Data[],31,FALSE)</f>
        <v>0</v>
      </c>
      <c r="E222" s="66">
        <f>VLOOKUP(IntComp[[#This Row],[DEVELOPMENT]],Data[],8,FALSE)</f>
        <v>0</v>
      </c>
      <c r="F222" s="66">
        <f>VLOOKUP(IntComp[[#This Row],[DEVELOPMENT]],Data[],9,FALSE)</f>
        <v>0</v>
      </c>
      <c r="G222" s="66"/>
      <c r="H222" s="66" t="str">
        <f>IFERROR(VLOOKUP(IntComp[[#This Row],[DEVELOPMENT]],Data[],4,FALSE),"")</f>
        <v/>
      </c>
      <c r="I222" s="66" t="str">
        <f>IF(IntComp[[#This Row],[RAD/PACT]]="","",IF(IntComp[[#This Row],[RAD/PACT]]&lt;=2025,"Yes",""))</f>
        <v/>
      </c>
      <c r="J222" s="67" t="str">
        <f ca="1">IF(VLOOKUP(IntComp[[#This Row],[DEVELOPMENT]],Data[],10,FALSE)=0,"",DATEDIF(VLOOKUP(IntComp[[#This Row],[DEVELOPMENT]],Data[],12,FALSE),TODAY(),"Y"))</f>
        <v/>
      </c>
      <c r="K222" s="67">
        <f>IF(IntComp[[#This Row],[RAD/PACT]]="",VLOOKUP(IntComp[[#This Row],[DEVELOPMENT]],Data[],10,FALSE),IF(IntComp[[#This Row],[RAD/PACT by 2025]]="yes",0,VLOOKUP(IntComp[[#This Row],[DEVELOPMENT]],Data[],10,FALSE)))</f>
        <v>0</v>
      </c>
      <c r="L222" s="63">
        <f ca="1">IF(IntComp[[#This Row],[RAD/PACT by 2025]]="Yes",0,(IntComp[[#This Row],['# Int. Compactors to Replace]]*'Unit Costs'!$B$8)*(1+((IntComp[[#This Row],[est. Year]]-YEAR(TODAY()))*$L$2)))</f>
        <v>0</v>
      </c>
      <c r="M222" s="67">
        <f>SUM(INDEX(IntComp['# to Replace],1):IntComp[[#This Row],['# to Replace]])</f>
        <v>0</v>
      </c>
      <c r="N222" s="67">
        <f>ROUNDDOWN(IntComp[[#This Row],[Count]]/100,0)+$N$1</f>
        <v>2020</v>
      </c>
      <c r="O222" s="86">
        <f t="shared" ca="1" si="3"/>
        <v>105987234.68550006</v>
      </c>
    </row>
    <row r="223" spans="1:15" x14ac:dyDescent="0.25">
      <c r="A223" s="13" t="s">
        <v>115</v>
      </c>
      <c r="B223" s="1" t="str">
        <f>VLOOKUP(A223,Data[],2,FALSE)</f>
        <v>MANHATTAN</v>
      </c>
      <c r="C223" s="9" t="s">
        <v>106</v>
      </c>
      <c r="D223" s="9">
        <f>VLOOKUP(IntComp[[#This Row],[DEVELOPMENT]],Data[],31,FALSE)</f>
        <v>10</v>
      </c>
      <c r="E223" s="9" t="str">
        <f>VLOOKUP(IntComp[[#This Row],[DEVELOPMENT]],Data[],8,FALSE)</f>
        <v>Zone 2</v>
      </c>
      <c r="F223" s="9" t="str">
        <f>VLOOKUP(IntComp[[#This Row],[DEVELOPMENT]],Data[],9,FALSE)</f>
        <v>$</v>
      </c>
      <c r="G223" s="9"/>
      <c r="H223" s="9" t="str">
        <f>IFERROR(VLOOKUP(IntComp[[#This Row],[DEVELOPMENT]],Data[],4,FALSE),"")</f>
        <v/>
      </c>
      <c r="I223" s="9" t="str">
        <f>IF(IntComp[[#This Row],[RAD/PACT]]="","",IF(IntComp[[#This Row],[RAD/PACT]]&lt;=2025,"Yes",""))</f>
        <v/>
      </c>
      <c r="J223" s="1" t="str">
        <f ca="1">IF(VLOOKUP(IntComp[[#This Row],[DEVELOPMENT]],Data[],10,FALSE)=0,"",DATEDIF(VLOOKUP(IntComp[[#This Row],[DEVELOPMENT]],Data[],12,FALSE),TODAY(),"Y"))</f>
        <v/>
      </c>
      <c r="K223" s="1">
        <f>IF(IntComp[[#This Row],[RAD/PACT]]="",VLOOKUP(IntComp[[#This Row],[DEVELOPMENT]],Data[],10,FALSE),IF(IntComp[[#This Row],[RAD/PACT by 2025]]="yes",0,VLOOKUP(IntComp[[#This Row],[DEVELOPMENT]],Data[],10,FALSE)))</f>
        <v>0</v>
      </c>
      <c r="L223" s="63">
        <f ca="1">IF(IntComp[[#This Row],[RAD/PACT by 2025]]="Yes",0,(IntComp[[#This Row],['# Int. Compactors to Replace]]*'Unit Costs'!$B$8)*(1+((IntComp[[#This Row],[est. Year]]-YEAR(TODAY()))*$L$2)))</f>
        <v>736533.94499999995</v>
      </c>
      <c r="M223" s="1">
        <f>SUM(INDEX(IntComp['# to Replace],1):IntComp[[#This Row],['# to Replace]])</f>
        <v>0</v>
      </c>
      <c r="N223" s="1">
        <f>ROUNDDOWN(IntComp[[#This Row],[Count]]/100,0)+$N$1</f>
        <v>2020</v>
      </c>
      <c r="O223" s="81">
        <f t="shared" ca="1" si="3"/>
        <v>106723768.63050005</v>
      </c>
    </row>
    <row r="224" spans="1:15" x14ac:dyDescent="0.25">
      <c r="A224" s="13" t="s">
        <v>293</v>
      </c>
      <c r="B224" s="9" t="str">
        <f>VLOOKUP(A224,Data[],2,FALSE)</f>
        <v>QUEENS</v>
      </c>
      <c r="C224" s="9" t="s">
        <v>106</v>
      </c>
      <c r="D224" s="9">
        <f>VLOOKUP(IntComp[[#This Row],[DEVELOPMENT]],Data[],31,FALSE)</f>
        <v>39</v>
      </c>
      <c r="E224" s="66">
        <f>VLOOKUP(IntComp[[#This Row],[DEVELOPMENT]],Data[],8,FALSE)</f>
        <v>0</v>
      </c>
      <c r="F224" s="66">
        <f>VLOOKUP(IntComp[[#This Row],[DEVELOPMENT]],Data[],9,FALSE)</f>
        <v>0</v>
      </c>
      <c r="G224" s="66"/>
      <c r="H224" s="66" t="str">
        <f>IFERROR(VLOOKUP(IntComp[[#This Row],[DEVELOPMENT]],Data[],4,FALSE),"")</f>
        <v/>
      </c>
      <c r="I224" s="66" t="str">
        <f>IF(IntComp[[#This Row],[RAD/PACT]]="","",IF(IntComp[[#This Row],[RAD/PACT]]&lt;=2025,"Yes",""))</f>
        <v/>
      </c>
      <c r="J224" s="67" t="str">
        <f ca="1">IF(VLOOKUP(IntComp[[#This Row],[DEVELOPMENT]],Data[],10,FALSE)=0,"",DATEDIF(VLOOKUP(IntComp[[#This Row],[DEVELOPMENT]],Data[],12,FALSE),TODAY(),"Y"))</f>
        <v/>
      </c>
      <c r="K224" s="67">
        <f>IF(IntComp[[#This Row],[RAD/PACT]]="",VLOOKUP(IntComp[[#This Row],[DEVELOPMENT]],Data[],10,FALSE),IF(IntComp[[#This Row],[RAD/PACT by 2025]]="yes",0,VLOOKUP(IntComp[[#This Row],[DEVELOPMENT]],Data[],10,FALSE)))</f>
        <v>0</v>
      </c>
      <c r="L224" s="63">
        <f ca="1">IF(IntComp[[#This Row],[RAD/PACT by 2025]]="Yes",0,(IntComp[[#This Row],['# Int. Compactors to Replace]]*'Unit Costs'!$B$8)*(1+((IntComp[[#This Row],[est. Year]]-YEAR(TODAY()))*$L$2)))</f>
        <v>2872482.3854999994</v>
      </c>
      <c r="M224" s="67">
        <f>SUM(INDEX(IntComp['# to Replace],1):IntComp[[#This Row],['# to Replace]])</f>
        <v>0</v>
      </c>
      <c r="N224" s="67">
        <f>ROUNDDOWN(IntComp[[#This Row],[Count]]/100,0)+$N$1</f>
        <v>2020</v>
      </c>
      <c r="O224" s="86">
        <f t="shared" ca="1" si="3"/>
        <v>109596251.01600005</v>
      </c>
    </row>
    <row r="225" spans="1:15" x14ac:dyDescent="0.25">
      <c r="A225" s="13" t="s">
        <v>294</v>
      </c>
      <c r="B225" s="9" t="str">
        <f>VLOOKUP(A225,Data[],2,FALSE)</f>
        <v>BROOKLYN</v>
      </c>
      <c r="C225" s="9" t="s">
        <v>106</v>
      </c>
      <c r="D225" s="9">
        <f>VLOOKUP(IntComp[[#This Row],[DEVELOPMENT]],Data[],31,FALSE)</f>
        <v>47</v>
      </c>
      <c r="E225" s="66">
        <f>VLOOKUP(IntComp[[#This Row],[DEVELOPMENT]],Data[],8,FALSE)</f>
        <v>0</v>
      </c>
      <c r="F225" s="66">
        <f>VLOOKUP(IntComp[[#This Row],[DEVELOPMENT]],Data[],9,FALSE)</f>
        <v>0</v>
      </c>
      <c r="G225" s="66"/>
      <c r="H225" s="66">
        <f>IFERROR(VLOOKUP(IntComp[[#This Row],[DEVELOPMENT]],Data[],4,FALSE),"")</f>
        <v>2024</v>
      </c>
      <c r="I225" s="66" t="str">
        <f>IF(IntComp[[#This Row],[RAD/PACT]]="","",IF(IntComp[[#This Row],[RAD/PACT]]&lt;=2025,"Yes",""))</f>
        <v>Yes</v>
      </c>
      <c r="J225" s="67" t="str">
        <f ca="1">IF(VLOOKUP(IntComp[[#This Row],[DEVELOPMENT]],Data[],10,FALSE)=0,"",DATEDIF(VLOOKUP(IntComp[[#This Row],[DEVELOPMENT]],Data[],12,FALSE),TODAY(),"Y"))</f>
        <v/>
      </c>
      <c r="K225" s="67">
        <f>IF(IntComp[[#This Row],[RAD/PACT]]="",VLOOKUP(IntComp[[#This Row],[DEVELOPMENT]],Data[],10,FALSE),IF(IntComp[[#This Row],[RAD/PACT by 2025]]="yes",0,VLOOKUP(IntComp[[#This Row],[DEVELOPMENT]],Data[],10,FALSE)))</f>
        <v>0</v>
      </c>
      <c r="L225" s="63">
        <f ca="1">IF(IntComp[[#This Row],[RAD/PACT by 2025]]="Yes",0,(IntComp[[#This Row],['# Int. Compactors to Replace]]*'Unit Costs'!$B$8)*(1+((IntComp[[#This Row],[est. Year]]-YEAR(TODAY()))*$L$2)))</f>
        <v>0</v>
      </c>
      <c r="M225" s="67">
        <f>SUM(INDEX(IntComp['# to Replace],1):IntComp[[#This Row],['# to Replace]])</f>
        <v>0</v>
      </c>
      <c r="N225" s="67">
        <f>ROUNDDOWN(IntComp[[#This Row],[Count]]/100,0)+$N$1</f>
        <v>2020</v>
      </c>
      <c r="O225" s="86">
        <f t="shared" ca="1" si="3"/>
        <v>109596251.01600005</v>
      </c>
    </row>
    <row r="226" spans="1:15" x14ac:dyDescent="0.25">
      <c r="A226" s="13" t="s">
        <v>295</v>
      </c>
      <c r="B226" s="9" t="str">
        <f>VLOOKUP(A226,Data[],2,FALSE)</f>
        <v>BROOKLYN</v>
      </c>
      <c r="C226" s="9" t="s">
        <v>106</v>
      </c>
      <c r="D226" s="9">
        <f>VLOOKUP(IntComp[[#This Row],[DEVELOPMENT]],Data[],31,FALSE)</f>
        <v>43</v>
      </c>
      <c r="E226" s="66">
        <f>VLOOKUP(IntComp[[#This Row],[DEVELOPMENT]],Data[],8,FALSE)</f>
        <v>0</v>
      </c>
      <c r="F226" s="66">
        <f>VLOOKUP(IntComp[[#This Row],[DEVELOPMENT]],Data[],9,FALSE)</f>
        <v>0</v>
      </c>
      <c r="G226" s="66"/>
      <c r="H226" s="66">
        <f>IFERROR(VLOOKUP(IntComp[[#This Row],[DEVELOPMENT]],Data[],4,FALSE),"")</f>
        <v>2025</v>
      </c>
      <c r="I226" s="66" t="str">
        <f>IF(IntComp[[#This Row],[RAD/PACT]]="","",IF(IntComp[[#This Row],[RAD/PACT]]&lt;=2025,"Yes",""))</f>
        <v>Yes</v>
      </c>
      <c r="J226" s="67" t="str">
        <f ca="1">IF(VLOOKUP(IntComp[[#This Row],[DEVELOPMENT]],Data[],10,FALSE)=0,"",DATEDIF(VLOOKUP(IntComp[[#This Row],[DEVELOPMENT]],Data[],12,FALSE),TODAY(),"Y"))</f>
        <v/>
      </c>
      <c r="K226" s="67">
        <f>IF(IntComp[[#This Row],[RAD/PACT]]="",VLOOKUP(IntComp[[#This Row],[DEVELOPMENT]],Data[],10,FALSE),IF(IntComp[[#This Row],[RAD/PACT by 2025]]="yes",0,VLOOKUP(IntComp[[#This Row],[DEVELOPMENT]],Data[],10,FALSE)))</f>
        <v>0</v>
      </c>
      <c r="L226" s="63">
        <f ca="1">IF(IntComp[[#This Row],[RAD/PACT by 2025]]="Yes",0,(IntComp[[#This Row],['# Int. Compactors to Replace]]*'Unit Costs'!$B$8)*(1+((IntComp[[#This Row],[est. Year]]-YEAR(TODAY()))*$L$2)))</f>
        <v>0</v>
      </c>
      <c r="M226" s="67">
        <f>SUM(INDEX(IntComp['# to Replace],1):IntComp[[#This Row],['# to Replace]])</f>
        <v>0</v>
      </c>
      <c r="N226" s="67">
        <f>ROUNDDOWN(IntComp[[#This Row],[Count]]/100,0)+$N$1</f>
        <v>2020</v>
      </c>
      <c r="O226" s="86">
        <f t="shared" ca="1" si="3"/>
        <v>109596251.01600005</v>
      </c>
    </row>
    <row r="227" spans="1:15" x14ac:dyDescent="0.25">
      <c r="A227" s="13" t="s">
        <v>296</v>
      </c>
      <c r="B227" s="9" t="str">
        <f>VLOOKUP(A227,Data[],2,FALSE)</f>
        <v>QUEENS</v>
      </c>
      <c r="C227" s="9" t="s">
        <v>106</v>
      </c>
      <c r="D227" s="9">
        <f>VLOOKUP(IntComp[[#This Row],[DEVELOPMENT]],Data[],31,FALSE)</f>
        <v>16</v>
      </c>
      <c r="E227" s="66">
        <f>VLOOKUP(IntComp[[#This Row],[DEVELOPMENT]],Data[],8,FALSE)</f>
        <v>0</v>
      </c>
      <c r="F227" s="66">
        <f>VLOOKUP(IntComp[[#This Row],[DEVELOPMENT]],Data[],9,FALSE)</f>
        <v>0</v>
      </c>
      <c r="G227" s="66"/>
      <c r="H227" s="66">
        <f>IFERROR(VLOOKUP(IntComp[[#This Row],[DEVELOPMENT]],Data[],4,FALSE),"")</f>
        <v>2022</v>
      </c>
      <c r="I227" s="66" t="str">
        <f>IF(IntComp[[#This Row],[RAD/PACT]]="","",IF(IntComp[[#This Row],[RAD/PACT]]&lt;=2025,"Yes",""))</f>
        <v>Yes</v>
      </c>
      <c r="J227" s="67" t="str">
        <f ca="1">IF(VLOOKUP(IntComp[[#This Row],[DEVELOPMENT]],Data[],10,FALSE)=0,"",DATEDIF(VLOOKUP(IntComp[[#This Row],[DEVELOPMENT]],Data[],12,FALSE),TODAY(),"Y"))</f>
        <v/>
      </c>
      <c r="K227" s="67">
        <f>IF(IntComp[[#This Row],[RAD/PACT]]="",VLOOKUP(IntComp[[#This Row],[DEVELOPMENT]],Data[],10,FALSE),IF(IntComp[[#This Row],[RAD/PACT by 2025]]="yes",0,VLOOKUP(IntComp[[#This Row],[DEVELOPMENT]],Data[],10,FALSE)))</f>
        <v>0</v>
      </c>
      <c r="L227" s="63">
        <f ca="1">IF(IntComp[[#This Row],[RAD/PACT by 2025]]="Yes",0,(IntComp[[#This Row],['# Int. Compactors to Replace]]*'Unit Costs'!$B$8)*(1+((IntComp[[#This Row],[est. Year]]-YEAR(TODAY()))*$L$2)))</f>
        <v>0</v>
      </c>
      <c r="M227" s="67">
        <f>SUM(INDEX(IntComp['# to Replace],1):IntComp[[#This Row],['# to Replace]])</f>
        <v>0</v>
      </c>
      <c r="N227" s="67">
        <f>ROUNDDOWN(IntComp[[#This Row],[Count]]/100,0)+$N$1</f>
        <v>2020</v>
      </c>
      <c r="O227" s="86">
        <f t="shared" ca="1" si="3"/>
        <v>109596251.01600005</v>
      </c>
    </row>
    <row r="228" spans="1:15" x14ac:dyDescent="0.25">
      <c r="A228" s="13" t="s">
        <v>297</v>
      </c>
      <c r="B228" s="9" t="str">
        <f>VLOOKUP(A228,Data[],2,FALSE)</f>
        <v>QUEENS</v>
      </c>
      <c r="C228" s="9" t="s">
        <v>106</v>
      </c>
      <c r="D228" s="9">
        <f>VLOOKUP(IntComp[[#This Row],[DEVELOPMENT]],Data[],31,FALSE)</f>
        <v>0</v>
      </c>
      <c r="E228" s="66">
        <f>VLOOKUP(IntComp[[#This Row],[DEVELOPMENT]],Data[],8,FALSE)</f>
        <v>0</v>
      </c>
      <c r="F228" s="66">
        <f>VLOOKUP(IntComp[[#This Row],[DEVELOPMENT]],Data[],9,FALSE)</f>
        <v>0</v>
      </c>
      <c r="G228" s="66"/>
      <c r="H228" s="66" t="str">
        <f>IFERROR(VLOOKUP(IntComp[[#This Row],[DEVELOPMENT]],Data[],4,FALSE),"")</f>
        <v/>
      </c>
      <c r="I228" s="66" t="str">
        <f>IF(IntComp[[#This Row],[RAD/PACT]]="","",IF(IntComp[[#This Row],[RAD/PACT]]&lt;=2025,"Yes",""))</f>
        <v/>
      </c>
      <c r="J228" s="67" t="str">
        <f ca="1">IF(VLOOKUP(IntComp[[#This Row],[DEVELOPMENT]],Data[],10,FALSE)=0,"",DATEDIF(VLOOKUP(IntComp[[#This Row],[DEVELOPMENT]],Data[],12,FALSE),TODAY(),"Y"))</f>
        <v/>
      </c>
      <c r="K228" s="67">
        <f>IF(IntComp[[#This Row],[RAD/PACT]]="",VLOOKUP(IntComp[[#This Row],[DEVELOPMENT]],Data[],10,FALSE),IF(IntComp[[#This Row],[RAD/PACT by 2025]]="yes",0,VLOOKUP(IntComp[[#This Row],[DEVELOPMENT]],Data[],10,FALSE)))</f>
        <v>0</v>
      </c>
      <c r="L228" s="63">
        <f ca="1">IF(IntComp[[#This Row],[RAD/PACT by 2025]]="Yes",0,(IntComp[[#This Row],['# Int. Compactors to Replace]]*'Unit Costs'!$B$8)*(1+((IntComp[[#This Row],[est. Year]]-YEAR(TODAY()))*$L$2)))</f>
        <v>0</v>
      </c>
      <c r="M228" s="67">
        <f>SUM(INDEX(IntComp['# to Replace],1):IntComp[[#This Row],['# to Replace]])</f>
        <v>0</v>
      </c>
      <c r="N228" s="67">
        <f>ROUNDDOWN(IntComp[[#This Row],[Count]]/100,0)+$N$1</f>
        <v>2020</v>
      </c>
      <c r="O228" s="86">
        <f t="shared" ca="1" si="3"/>
        <v>109596251.01600005</v>
      </c>
    </row>
    <row r="229" spans="1:15" x14ac:dyDescent="0.25">
      <c r="A229" s="13" t="s">
        <v>298</v>
      </c>
      <c r="B229" s="9" t="str">
        <f>VLOOKUP(A229,Data[],2,FALSE)</f>
        <v>MANHATTAN</v>
      </c>
      <c r="C229" s="9" t="s">
        <v>106</v>
      </c>
      <c r="D229" s="9">
        <f>VLOOKUP(IntComp[[#This Row],[DEVELOPMENT]],Data[],31,FALSE)</f>
        <v>3</v>
      </c>
      <c r="E229" s="66">
        <f>VLOOKUP(IntComp[[#This Row],[DEVELOPMENT]],Data[],8,FALSE)</f>
        <v>0</v>
      </c>
      <c r="F229" s="66">
        <f>VLOOKUP(IntComp[[#This Row],[DEVELOPMENT]],Data[],9,FALSE)</f>
        <v>0</v>
      </c>
      <c r="G229" s="66"/>
      <c r="H229" s="66" t="str">
        <f>IFERROR(VLOOKUP(IntComp[[#This Row],[DEVELOPMENT]],Data[],4,FALSE),"")</f>
        <v/>
      </c>
      <c r="I229" s="66" t="str">
        <f>IF(IntComp[[#This Row],[RAD/PACT]]="","",IF(IntComp[[#This Row],[RAD/PACT]]&lt;=2025,"Yes",""))</f>
        <v/>
      </c>
      <c r="J229" s="67" t="str">
        <f ca="1">IF(VLOOKUP(IntComp[[#This Row],[DEVELOPMENT]],Data[],10,FALSE)=0,"",DATEDIF(VLOOKUP(IntComp[[#This Row],[DEVELOPMENT]],Data[],12,FALSE),TODAY(),"Y"))</f>
        <v/>
      </c>
      <c r="K229" s="67">
        <f>IF(IntComp[[#This Row],[RAD/PACT]]="",VLOOKUP(IntComp[[#This Row],[DEVELOPMENT]],Data[],10,FALSE),IF(IntComp[[#This Row],[RAD/PACT by 2025]]="yes",0,VLOOKUP(IntComp[[#This Row],[DEVELOPMENT]],Data[],10,FALSE)))</f>
        <v>0</v>
      </c>
      <c r="L229" s="63">
        <f ca="1">IF(IntComp[[#This Row],[RAD/PACT by 2025]]="Yes",0,(IntComp[[#This Row],['# Int. Compactors to Replace]]*'Unit Costs'!$B$8)*(1+((IntComp[[#This Row],[est. Year]]-YEAR(TODAY()))*$L$2)))</f>
        <v>220960.18349999996</v>
      </c>
      <c r="M229" s="67">
        <f>SUM(INDEX(IntComp['# to Replace],1):IntComp[[#This Row],['# to Replace]])</f>
        <v>0</v>
      </c>
      <c r="N229" s="67">
        <f>ROUNDDOWN(IntComp[[#This Row],[Count]]/100,0)+$N$1</f>
        <v>2020</v>
      </c>
      <c r="O229" s="86">
        <f t="shared" ca="1" si="3"/>
        <v>109817211.19950005</v>
      </c>
    </row>
    <row r="230" spans="1:15" x14ac:dyDescent="0.25">
      <c r="A230" s="13" t="s">
        <v>299</v>
      </c>
      <c r="B230" s="9" t="str">
        <f>VLOOKUP(A230,Data[],2,FALSE)</f>
        <v>MANHATTAN</v>
      </c>
      <c r="C230" s="9" t="s">
        <v>106</v>
      </c>
      <c r="D230" s="9">
        <f>VLOOKUP(IntComp[[#This Row],[DEVELOPMENT]],Data[],31,FALSE)</f>
        <v>4</v>
      </c>
      <c r="E230" s="66">
        <f>VLOOKUP(IntComp[[#This Row],[DEVELOPMENT]],Data[],8,FALSE)</f>
        <v>0</v>
      </c>
      <c r="F230" s="66">
        <f>VLOOKUP(IntComp[[#This Row],[DEVELOPMENT]],Data[],9,FALSE)</f>
        <v>0</v>
      </c>
      <c r="G230" s="66"/>
      <c r="H230" s="66" t="str">
        <f>IFERROR(VLOOKUP(IntComp[[#This Row],[DEVELOPMENT]],Data[],4,FALSE),"")</f>
        <v/>
      </c>
      <c r="I230" s="66" t="str">
        <f>IF(IntComp[[#This Row],[RAD/PACT]]="","",IF(IntComp[[#This Row],[RAD/PACT]]&lt;=2025,"Yes",""))</f>
        <v/>
      </c>
      <c r="J230" s="67" t="str">
        <f ca="1">IF(VLOOKUP(IntComp[[#This Row],[DEVELOPMENT]],Data[],10,FALSE)=0,"",DATEDIF(VLOOKUP(IntComp[[#This Row],[DEVELOPMENT]],Data[],12,FALSE),TODAY(),"Y"))</f>
        <v/>
      </c>
      <c r="K230" s="67">
        <f>IF(IntComp[[#This Row],[RAD/PACT]]="",VLOOKUP(IntComp[[#This Row],[DEVELOPMENT]],Data[],10,FALSE),IF(IntComp[[#This Row],[RAD/PACT by 2025]]="yes",0,VLOOKUP(IntComp[[#This Row],[DEVELOPMENT]],Data[],10,FALSE)))</f>
        <v>0</v>
      </c>
      <c r="L230" s="63">
        <f ca="1">IF(IntComp[[#This Row],[RAD/PACT by 2025]]="Yes",0,(IntComp[[#This Row],['# Int. Compactors to Replace]]*'Unit Costs'!$B$8)*(1+((IntComp[[#This Row],[est. Year]]-YEAR(TODAY()))*$L$2)))</f>
        <v>294613.57799999998</v>
      </c>
      <c r="M230" s="67">
        <f>SUM(INDEX(IntComp['# to Replace],1):IntComp[[#This Row],['# to Replace]])</f>
        <v>0</v>
      </c>
      <c r="N230" s="67">
        <f>ROUNDDOWN(IntComp[[#This Row],[Count]]/100,0)+$N$1</f>
        <v>2020</v>
      </c>
      <c r="O230" s="86">
        <f t="shared" ca="1" si="3"/>
        <v>110111824.77750005</v>
      </c>
    </row>
    <row r="231" spans="1:15" x14ac:dyDescent="0.25">
      <c r="A231" s="13" t="s">
        <v>300</v>
      </c>
      <c r="B231" s="9" t="str">
        <f>VLOOKUP(A231,Data[],2,FALSE)</f>
        <v>MANHATTAN</v>
      </c>
      <c r="C231" s="9" t="s">
        <v>106</v>
      </c>
      <c r="D231" s="9">
        <f>VLOOKUP(IntComp[[#This Row],[DEVELOPMENT]],Data[],31,FALSE)</f>
        <v>1</v>
      </c>
      <c r="E231" s="66" t="str">
        <f>VLOOKUP(IntComp[[#This Row],[DEVELOPMENT]],Data[],8,FALSE)</f>
        <v>Zone 4</v>
      </c>
      <c r="F231" s="66">
        <f>VLOOKUP(IntComp[[#This Row],[DEVELOPMENT]],Data[],9,FALSE)</f>
        <v>0</v>
      </c>
      <c r="G231" s="66"/>
      <c r="H231" s="66" t="str">
        <f>IFERROR(VLOOKUP(IntComp[[#This Row],[DEVELOPMENT]],Data[],4,FALSE),"")</f>
        <v/>
      </c>
      <c r="I231" s="66" t="str">
        <f>IF(IntComp[[#This Row],[RAD/PACT]]="","",IF(IntComp[[#This Row],[RAD/PACT]]&lt;=2025,"Yes",""))</f>
        <v/>
      </c>
      <c r="J231" s="67" t="str">
        <f ca="1">IF(VLOOKUP(IntComp[[#This Row],[DEVELOPMENT]],Data[],10,FALSE)=0,"",DATEDIF(VLOOKUP(IntComp[[#This Row],[DEVELOPMENT]],Data[],12,FALSE),TODAY(),"Y"))</f>
        <v/>
      </c>
      <c r="K231" s="67">
        <f>IF(IntComp[[#This Row],[RAD/PACT]]="",VLOOKUP(IntComp[[#This Row],[DEVELOPMENT]],Data[],10,FALSE),IF(IntComp[[#This Row],[RAD/PACT by 2025]]="yes",0,VLOOKUP(IntComp[[#This Row],[DEVELOPMENT]],Data[],10,FALSE)))</f>
        <v>0</v>
      </c>
      <c r="L231" s="63">
        <f ca="1">IF(IntComp[[#This Row],[RAD/PACT by 2025]]="Yes",0,(IntComp[[#This Row],['# Int. Compactors to Replace]]*'Unit Costs'!$B$8)*(1+((IntComp[[#This Row],[est. Year]]-YEAR(TODAY()))*$L$2)))</f>
        <v>73653.394499999995</v>
      </c>
      <c r="M231" s="67">
        <f>SUM(INDEX(IntComp['# to Replace],1):IntComp[[#This Row],['# to Replace]])</f>
        <v>0</v>
      </c>
      <c r="N231" s="67">
        <f>ROUNDDOWN(IntComp[[#This Row],[Count]]/100,0)+$N$1</f>
        <v>2020</v>
      </c>
      <c r="O231" s="86">
        <f t="shared" ca="1" si="3"/>
        <v>110185478.17200005</v>
      </c>
    </row>
    <row r="232" spans="1:15" x14ac:dyDescent="0.25">
      <c r="A232" s="13" t="s">
        <v>301</v>
      </c>
      <c r="B232" s="9" t="str">
        <f>VLOOKUP(A232,Data[],2,FALSE)</f>
        <v>BROOKLYN</v>
      </c>
      <c r="C232" s="9" t="s">
        <v>106</v>
      </c>
      <c r="D232" s="9">
        <f>VLOOKUP(IntComp[[#This Row],[DEVELOPMENT]],Data[],31,FALSE)</f>
        <v>1</v>
      </c>
      <c r="E232" s="66">
        <f>VLOOKUP(IntComp[[#This Row],[DEVELOPMENT]],Data[],8,FALSE)</f>
        <v>0</v>
      </c>
      <c r="F232" s="66">
        <f>VLOOKUP(IntComp[[#This Row],[DEVELOPMENT]],Data[],9,FALSE)</f>
        <v>0</v>
      </c>
      <c r="G232" s="66"/>
      <c r="H232" s="66">
        <f>IFERROR(VLOOKUP(IntComp[[#This Row],[DEVELOPMENT]],Data[],4,FALSE),"")</f>
        <v>2021</v>
      </c>
      <c r="I232" s="66" t="str">
        <f>IF(IntComp[[#This Row],[RAD/PACT]]="","",IF(IntComp[[#This Row],[RAD/PACT]]&lt;=2025,"Yes",""))</f>
        <v>Yes</v>
      </c>
      <c r="J232" s="67" t="str">
        <f ca="1">IF(VLOOKUP(IntComp[[#This Row],[DEVELOPMENT]],Data[],10,FALSE)=0,"",DATEDIF(VLOOKUP(IntComp[[#This Row],[DEVELOPMENT]],Data[],12,FALSE),TODAY(),"Y"))</f>
        <v/>
      </c>
      <c r="K232" s="67">
        <f>IF(IntComp[[#This Row],[RAD/PACT]]="",VLOOKUP(IntComp[[#This Row],[DEVELOPMENT]],Data[],10,FALSE),IF(IntComp[[#This Row],[RAD/PACT by 2025]]="yes",0,VLOOKUP(IntComp[[#This Row],[DEVELOPMENT]],Data[],10,FALSE)))</f>
        <v>0</v>
      </c>
      <c r="L232" s="63">
        <f ca="1">IF(IntComp[[#This Row],[RAD/PACT by 2025]]="Yes",0,(IntComp[[#This Row],['# Int. Compactors to Replace]]*'Unit Costs'!$B$8)*(1+((IntComp[[#This Row],[est. Year]]-YEAR(TODAY()))*$L$2)))</f>
        <v>0</v>
      </c>
      <c r="M232" s="67">
        <f>SUM(INDEX(IntComp['# to Replace],1):IntComp[[#This Row],['# to Replace]])</f>
        <v>0</v>
      </c>
      <c r="N232" s="67">
        <f>ROUNDDOWN(IntComp[[#This Row],[Count]]/100,0)+$N$1</f>
        <v>2020</v>
      </c>
      <c r="O232" s="86">
        <f t="shared" ca="1" si="3"/>
        <v>110185478.17200005</v>
      </c>
    </row>
    <row r="233" spans="1:15" x14ac:dyDescent="0.25">
      <c r="A233" s="13" t="s">
        <v>302</v>
      </c>
      <c r="B233" s="9" t="str">
        <f>VLOOKUP(A233,Data[],2,FALSE)</f>
        <v>STATEN ISLAND</v>
      </c>
      <c r="C233" s="9" t="s">
        <v>106</v>
      </c>
      <c r="D233" s="9">
        <f>VLOOKUP(IntComp[[#This Row],[DEVELOPMENT]],Data[],31,FALSE)</f>
        <v>6</v>
      </c>
      <c r="E233" s="66">
        <f>VLOOKUP(IntComp[[#This Row],[DEVELOPMENT]],Data[],8,FALSE)</f>
        <v>0</v>
      </c>
      <c r="F233" s="66">
        <f>VLOOKUP(IntComp[[#This Row],[DEVELOPMENT]],Data[],9,FALSE)</f>
        <v>0</v>
      </c>
      <c r="G233" s="66"/>
      <c r="H233" s="66" t="str">
        <f>IFERROR(VLOOKUP(IntComp[[#This Row],[DEVELOPMENT]],Data[],4,FALSE),"")</f>
        <v/>
      </c>
      <c r="I233" s="66" t="str">
        <f>IF(IntComp[[#This Row],[RAD/PACT]]="","",IF(IntComp[[#This Row],[RAD/PACT]]&lt;=2025,"Yes",""))</f>
        <v/>
      </c>
      <c r="J233" s="67" t="str">
        <f ca="1">IF(VLOOKUP(IntComp[[#This Row],[DEVELOPMENT]],Data[],10,FALSE)=0,"",DATEDIF(VLOOKUP(IntComp[[#This Row],[DEVELOPMENT]],Data[],12,FALSE),TODAY(),"Y"))</f>
        <v/>
      </c>
      <c r="K233" s="67">
        <f>IF(IntComp[[#This Row],[RAD/PACT]]="",VLOOKUP(IntComp[[#This Row],[DEVELOPMENT]],Data[],10,FALSE),IF(IntComp[[#This Row],[RAD/PACT by 2025]]="yes",0,VLOOKUP(IntComp[[#This Row],[DEVELOPMENT]],Data[],10,FALSE)))</f>
        <v>0</v>
      </c>
      <c r="L233" s="63">
        <f ca="1">IF(IntComp[[#This Row],[RAD/PACT by 2025]]="Yes",0,(IntComp[[#This Row],['# Int. Compactors to Replace]]*'Unit Costs'!$B$8)*(1+((IntComp[[#This Row],[est. Year]]-YEAR(TODAY()))*$L$2)))</f>
        <v>441920.36699999991</v>
      </c>
      <c r="M233" s="67">
        <f>SUM(INDEX(IntComp['# to Replace],1):IntComp[[#This Row],['# to Replace]])</f>
        <v>0</v>
      </c>
      <c r="N233" s="67">
        <f>ROUNDDOWN(IntComp[[#This Row],[Count]]/100,0)+$N$1</f>
        <v>2020</v>
      </c>
      <c r="O233" s="86">
        <f t="shared" ca="1" si="3"/>
        <v>110627398.53900005</v>
      </c>
    </row>
    <row r="234" spans="1:15" x14ac:dyDescent="0.25">
      <c r="A234" s="13" t="s">
        <v>55</v>
      </c>
      <c r="B234" s="1" t="str">
        <f>VLOOKUP(A234,Data[],2,FALSE)</f>
        <v>MANHATTAN</v>
      </c>
      <c r="C234" s="9" t="s">
        <v>106</v>
      </c>
      <c r="D234" s="9">
        <f>VLOOKUP(IntComp[[#This Row],[DEVELOPMENT]],Data[],31,FALSE)</f>
        <v>15</v>
      </c>
      <c r="E234" s="9" t="str">
        <f>VLOOKUP(IntComp[[#This Row],[DEVELOPMENT]],Data[],8,FALSE)</f>
        <v>Zone 1</v>
      </c>
      <c r="F234" s="9" t="str">
        <f>VLOOKUP(IntComp[[#This Row],[DEVELOPMENT]],Data[],9,FALSE)</f>
        <v>$</v>
      </c>
      <c r="G234" s="9"/>
      <c r="H234" s="9" t="str">
        <f>IFERROR(VLOOKUP(IntComp[[#This Row],[DEVELOPMENT]],Data[],4,FALSE),"")</f>
        <v/>
      </c>
      <c r="I234" s="9" t="str">
        <f>IF(IntComp[[#This Row],[RAD/PACT]]="","",IF(IntComp[[#This Row],[RAD/PACT]]&lt;=2025,"Yes",""))</f>
        <v/>
      </c>
      <c r="J234" s="1" t="str">
        <f ca="1">IF(VLOOKUP(IntComp[[#This Row],[DEVELOPMENT]],Data[],10,FALSE)=0,"",DATEDIF(VLOOKUP(IntComp[[#This Row],[DEVELOPMENT]],Data[],12,FALSE),TODAY(),"Y"))</f>
        <v/>
      </c>
      <c r="K234" s="1">
        <f>IF(IntComp[[#This Row],[RAD/PACT]]="",VLOOKUP(IntComp[[#This Row],[DEVELOPMENT]],Data[],10,FALSE),IF(IntComp[[#This Row],[RAD/PACT by 2025]]="yes",0,VLOOKUP(IntComp[[#This Row],[DEVELOPMENT]],Data[],10,FALSE)))</f>
        <v>0</v>
      </c>
      <c r="L234" s="63">
        <f ca="1">IF(IntComp[[#This Row],[RAD/PACT by 2025]]="Yes",0,(IntComp[[#This Row],['# Int. Compactors to Replace]]*'Unit Costs'!$B$8)*(1+((IntComp[[#This Row],[est. Year]]-YEAR(TODAY()))*$L$2)))</f>
        <v>1104800.9175</v>
      </c>
      <c r="M234" s="1">
        <f>SUM(INDEX(IntComp['# to Replace],1):IntComp[[#This Row],['# to Replace]])</f>
        <v>0</v>
      </c>
      <c r="N234" s="1">
        <f>ROUNDDOWN(IntComp[[#This Row],[Count]]/100,0)+$N$1</f>
        <v>2020</v>
      </c>
      <c r="O234" s="81">
        <f t="shared" ca="1" si="3"/>
        <v>111732199.45650005</v>
      </c>
    </row>
    <row r="235" spans="1:15" x14ac:dyDescent="0.25">
      <c r="A235" s="82" t="s">
        <v>104</v>
      </c>
      <c r="B235" s="1" t="str">
        <f>VLOOKUP(A235,Data[],2,FALSE)</f>
        <v>MANHATTAN</v>
      </c>
      <c r="C235" s="9" t="s">
        <v>106</v>
      </c>
      <c r="D235" s="9">
        <f>VLOOKUP(IntComp[[#This Row],[DEVELOPMENT]],Data[],31,FALSE)</f>
        <v>7</v>
      </c>
      <c r="E235" s="9" t="str">
        <f>VLOOKUP(IntComp[[#This Row],[DEVELOPMENT]],Data[],8,FALSE)</f>
        <v>Zone 1</v>
      </c>
      <c r="F235" s="9" t="str">
        <f>VLOOKUP(IntComp[[#This Row],[DEVELOPMENT]],Data[],9,FALSE)</f>
        <v>$$</v>
      </c>
      <c r="G235" s="9"/>
      <c r="H235" s="9" t="str">
        <f>IFERROR(VLOOKUP(IntComp[[#This Row],[DEVELOPMENT]],Data[],4,FALSE),"")</f>
        <v/>
      </c>
      <c r="I235" s="9" t="str">
        <f>IF(IntComp[[#This Row],[RAD/PACT]]="","",IF(IntComp[[#This Row],[RAD/PACT]]&lt;=2025,"Yes",""))</f>
        <v/>
      </c>
      <c r="J235" s="1" t="str">
        <f ca="1">IF(VLOOKUP(IntComp[[#This Row],[DEVELOPMENT]],Data[],10,FALSE)=0,"",DATEDIF(VLOOKUP(IntComp[[#This Row],[DEVELOPMENT]],Data[],12,FALSE),TODAY(),"Y"))</f>
        <v/>
      </c>
      <c r="K235" s="1">
        <f>IF(IntComp[[#This Row],[RAD/PACT]]="",VLOOKUP(IntComp[[#This Row],[DEVELOPMENT]],Data[],10,FALSE),IF(IntComp[[#This Row],[RAD/PACT by 2025]]="yes",0,VLOOKUP(IntComp[[#This Row],[DEVELOPMENT]],Data[],10,FALSE)))</f>
        <v>0</v>
      </c>
      <c r="L235" s="63">
        <f ca="1">IF(IntComp[[#This Row],[RAD/PACT by 2025]]="Yes",0,(IntComp[[#This Row],['# Int. Compactors to Replace]]*'Unit Costs'!$B$8)*(1+((IntComp[[#This Row],[est. Year]]-YEAR(TODAY()))*$L$2)))</f>
        <v>515573.76149999991</v>
      </c>
      <c r="M235" s="1">
        <f>SUM(INDEX(IntComp['# to Replace],1):IntComp[[#This Row],['# to Replace]])</f>
        <v>0</v>
      </c>
      <c r="N235" s="1">
        <f>ROUNDDOWN(IntComp[[#This Row],[Count]]/100,0)+$N$1</f>
        <v>2020</v>
      </c>
      <c r="O235" s="81">
        <f t="shared" ca="1" si="3"/>
        <v>112247773.21800005</v>
      </c>
    </row>
    <row r="236" spans="1:15" x14ac:dyDescent="0.25">
      <c r="A236" s="13" t="s">
        <v>303</v>
      </c>
      <c r="B236" s="9" t="str">
        <f>VLOOKUP(A236,Data[],2,FALSE)</f>
        <v>MANHATTAN</v>
      </c>
      <c r="C236" s="9" t="s">
        <v>106</v>
      </c>
      <c r="D236" s="9">
        <f>VLOOKUP(IntComp[[#This Row],[DEVELOPMENT]],Data[],31,FALSE)</f>
        <v>1</v>
      </c>
      <c r="E236" s="66">
        <f>VLOOKUP(IntComp[[#This Row],[DEVELOPMENT]],Data[],8,FALSE)</f>
        <v>0</v>
      </c>
      <c r="F236" s="66">
        <f>VLOOKUP(IntComp[[#This Row],[DEVELOPMENT]],Data[],9,FALSE)</f>
        <v>0</v>
      </c>
      <c r="G236" s="66"/>
      <c r="H236" s="66" t="str">
        <f>IFERROR(VLOOKUP(IntComp[[#This Row],[DEVELOPMENT]],Data[],4,FALSE),"")</f>
        <v/>
      </c>
      <c r="I236" s="66" t="str">
        <f>IF(IntComp[[#This Row],[RAD/PACT]]="","",IF(IntComp[[#This Row],[RAD/PACT]]&lt;=2025,"Yes",""))</f>
        <v/>
      </c>
      <c r="J236" s="67" t="str">
        <f ca="1">IF(VLOOKUP(IntComp[[#This Row],[DEVELOPMENT]],Data[],10,FALSE)=0,"",DATEDIF(VLOOKUP(IntComp[[#This Row],[DEVELOPMENT]],Data[],12,FALSE),TODAY(),"Y"))</f>
        <v/>
      </c>
      <c r="K236" s="67">
        <f>IF(IntComp[[#This Row],[RAD/PACT]]="",VLOOKUP(IntComp[[#This Row],[DEVELOPMENT]],Data[],10,FALSE),IF(IntComp[[#This Row],[RAD/PACT by 2025]]="yes",0,VLOOKUP(IntComp[[#This Row],[DEVELOPMENT]],Data[],10,FALSE)))</f>
        <v>0</v>
      </c>
      <c r="L236" s="63">
        <f ca="1">IF(IntComp[[#This Row],[RAD/PACT by 2025]]="Yes",0,(IntComp[[#This Row],['# Int. Compactors to Replace]]*'Unit Costs'!$B$8)*(1+((IntComp[[#This Row],[est. Year]]-YEAR(TODAY()))*$L$2)))</f>
        <v>73653.394499999995</v>
      </c>
      <c r="M236" s="67">
        <f>SUM(INDEX(IntComp['# to Replace],1):IntComp[[#This Row],['# to Replace]])</f>
        <v>0</v>
      </c>
      <c r="N236" s="67">
        <f>ROUNDDOWN(IntComp[[#This Row],[Count]]/100,0)+$N$1</f>
        <v>2020</v>
      </c>
      <c r="O236" s="86">
        <f t="shared" ca="1" si="3"/>
        <v>112321426.61250006</v>
      </c>
    </row>
    <row r="237" spans="1:15" x14ac:dyDescent="0.25">
      <c r="A237" s="13" t="s">
        <v>107</v>
      </c>
      <c r="B237" s="1" t="str">
        <f>VLOOKUP(A237,Data[],2,FALSE)</f>
        <v>MANHATTAN</v>
      </c>
      <c r="C237" s="9" t="s">
        <v>106</v>
      </c>
      <c r="D237" s="9">
        <f>VLOOKUP(IntComp[[#This Row],[DEVELOPMENT]],Data[],31,FALSE)</f>
        <v>2</v>
      </c>
      <c r="E237" s="9" t="str">
        <f>VLOOKUP(IntComp[[#This Row],[DEVELOPMENT]],Data[],8,FALSE)</f>
        <v>Zone 2</v>
      </c>
      <c r="F237" s="9" t="str">
        <f>VLOOKUP(IntComp[[#This Row],[DEVELOPMENT]],Data[],9,FALSE)</f>
        <v>$$</v>
      </c>
      <c r="G237" s="9"/>
      <c r="H237" s="9" t="str">
        <f>IFERROR(VLOOKUP(IntComp[[#This Row],[DEVELOPMENT]],Data[],4,FALSE),"")</f>
        <v/>
      </c>
      <c r="I237" s="9" t="str">
        <f>IF(IntComp[[#This Row],[RAD/PACT]]="","",IF(IntComp[[#This Row],[RAD/PACT]]&lt;=2025,"Yes",""))</f>
        <v/>
      </c>
      <c r="J237" s="1" t="str">
        <f ca="1">IF(VLOOKUP(IntComp[[#This Row],[DEVELOPMENT]],Data[],10,FALSE)=0,"",DATEDIF(VLOOKUP(IntComp[[#This Row],[DEVELOPMENT]],Data[],12,FALSE),TODAY(),"Y"))</f>
        <v/>
      </c>
      <c r="K237" s="1">
        <f>IF(IntComp[[#This Row],[RAD/PACT]]="",VLOOKUP(IntComp[[#This Row],[DEVELOPMENT]],Data[],10,FALSE),IF(IntComp[[#This Row],[RAD/PACT by 2025]]="yes",0,VLOOKUP(IntComp[[#This Row],[DEVELOPMENT]],Data[],10,FALSE)))</f>
        <v>0</v>
      </c>
      <c r="L237" s="63">
        <f ca="1">IF(IntComp[[#This Row],[RAD/PACT by 2025]]="Yes",0,(IntComp[[#This Row],['# Int. Compactors to Replace]]*'Unit Costs'!$B$8)*(1+((IntComp[[#This Row],[est. Year]]-YEAR(TODAY()))*$L$2)))</f>
        <v>147306.78899999999</v>
      </c>
      <c r="M237" s="1">
        <f>SUM(INDEX(IntComp['# to Replace],1):IntComp[[#This Row],['# to Replace]])</f>
        <v>0</v>
      </c>
      <c r="N237" s="1">
        <f>ROUNDDOWN(IntComp[[#This Row],[Count]]/100,0)+$N$1</f>
        <v>2020</v>
      </c>
      <c r="O237" s="81">
        <f t="shared" ca="1" si="3"/>
        <v>112468733.40150006</v>
      </c>
    </row>
    <row r="238" spans="1:15" x14ac:dyDescent="0.25">
      <c r="A238" s="82" t="s">
        <v>42</v>
      </c>
      <c r="B238" s="1" t="str">
        <f>VLOOKUP(A238,Data[],2,FALSE)</f>
        <v>BROOKLYN</v>
      </c>
      <c r="C238" s="9" t="s">
        <v>106</v>
      </c>
      <c r="D238" s="9">
        <f>VLOOKUP(IntComp[[#This Row],[DEVELOPMENT]],Data[],31,FALSE)</f>
        <v>6</v>
      </c>
      <c r="E238" s="9" t="str">
        <f>VLOOKUP(IntComp[[#This Row],[DEVELOPMENT]],Data[],8,FALSE)</f>
        <v>Zone 1</v>
      </c>
      <c r="F238" s="9" t="str">
        <f>VLOOKUP(IntComp[[#This Row],[DEVELOPMENT]],Data[],9,FALSE)</f>
        <v>$</v>
      </c>
      <c r="G238" s="9"/>
      <c r="H238" s="9" t="str">
        <f>IFERROR(VLOOKUP(IntComp[[#This Row],[DEVELOPMENT]],Data[],4,FALSE),"")</f>
        <v/>
      </c>
      <c r="I238" s="9" t="str">
        <f>IF(IntComp[[#This Row],[RAD/PACT]]="","",IF(IntComp[[#This Row],[RAD/PACT]]&lt;=2025,"Yes",""))</f>
        <v/>
      </c>
      <c r="J238" s="1" t="str">
        <f ca="1">IF(VLOOKUP(IntComp[[#This Row],[DEVELOPMENT]],Data[],10,FALSE)=0,"",DATEDIF(VLOOKUP(IntComp[[#This Row],[DEVELOPMENT]],Data[],12,FALSE),TODAY(),"Y"))</f>
        <v/>
      </c>
      <c r="K238" s="1">
        <f>IF(IntComp[[#This Row],[RAD/PACT]]="",VLOOKUP(IntComp[[#This Row],[DEVELOPMENT]],Data[],10,FALSE),IF(IntComp[[#This Row],[RAD/PACT by 2025]]="yes",0,VLOOKUP(IntComp[[#This Row],[DEVELOPMENT]],Data[],10,FALSE)))</f>
        <v>0</v>
      </c>
      <c r="L238" s="63">
        <f ca="1">IF(IntComp[[#This Row],[RAD/PACT by 2025]]="Yes",0,(IntComp[[#This Row],['# Int. Compactors to Replace]]*'Unit Costs'!$B$8)*(1+((IntComp[[#This Row],[est. Year]]-YEAR(TODAY()))*$L$2)))</f>
        <v>441920.36699999991</v>
      </c>
      <c r="M238" s="1">
        <f>SUM(INDEX(IntComp['# to Replace],1):IntComp[[#This Row],['# to Replace]])</f>
        <v>0</v>
      </c>
      <c r="N238" s="1">
        <f>ROUNDDOWN(IntComp[[#This Row],[Count]]/100,0)+$N$1</f>
        <v>2020</v>
      </c>
      <c r="O238" s="81">
        <f t="shared" ca="1" si="3"/>
        <v>112910653.76850006</v>
      </c>
    </row>
    <row r="239" spans="1:15" x14ac:dyDescent="0.25">
      <c r="A239" s="82" t="s">
        <v>148</v>
      </c>
      <c r="B239" s="1" t="str">
        <f>VLOOKUP(A239,Data[],2,FALSE)</f>
        <v>BROOKLYN</v>
      </c>
      <c r="C239" s="9" t="s">
        <v>106</v>
      </c>
      <c r="D239" s="9">
        <f>VLOOKUP(IntComp[[#This Row],[DEVELOPMENT]],Data[],31,FALSE)</f>
        <v>3</v>
      </c>
      <c r="E239" s="9" t="str">
        <f>VLOOKUP(IntComp[[#This Row],[DEVELOPMENT]],Data[],8,FALSE)</f>
        <v>Zone 1</v>
      </c>
      <c r="F239" s="9" t="str">
        <f>VLOOKUP(IntComp[[#This Row],[DEVELOPMENT]],Data[],9,FALSE)</f>
        <v>$</v>
      </c>
      <c r="G239" s="9"/>
      <c r="H239" s="9" t="str">
        <f>IFERROR(VLOOKUP(IntComp[[#This Row],[DEVELOPMENT]],Data[],4,FALSE),"")</f>
        <v/>
      </c>
      <c r="I239" s="9" t="str">
        <f>IF(IntComp[[#This Row],[RAD/PACT]]="","",IF(IntComp[[#This Row],[RAD/PACT]]&lt;=2025,"Yes",""))</f>
        <v/>
      </c>
      <c r="J239" s="1" t="str">
        <f ca="1">IF(VLOOKUP(IntComp[[#This Row],[DEVELOPMENT]],Data[],10,FALSE)=0,"",DATEDIF(VLOOKUP(IntComp[[#This Row],[DEVELOPMENT]],Data[],12,FALSE),TODAY(),"Y"))</f>
        <v/>
      </c>
      <c r="K239" s="1">
        <f>IF(IntComp[[#This Row],[RAD/PACT]]="",VLOOKUP(IntComp[[#This Row],[DEVELOPMENT]],Data[],10,FALSE),IF(IntComp[[#This Row],[RAD/PACT by 2025]]="yes",0,VLOOKUP(IntComp[[#This Row],[DEVELOPMENT]],Data[],10,FALSE)))</f>
        <v>0</v>
      </c>
      <c r="L239" s="63">
        <f ca="1">IF(IntComp[[#This Row],[RAD/PACT by 2025]]="Yes",0,(IntComp[[#This Row],['# Int. Compactors to Replace]]*'Unit Costs'!$B$8)*(1+((IntComp[[#This Row],[est. Year]]-YEAR(TODAY()))*$L$2)))</f>
        <v>220960.18349999996</v>
      </c>
      <c r="M239" s="1">
        <f>SUM(INDEX(IntComp['# to Replace],1):IntComp[[#This Row],['# to Replace]])</f>
        <v>0</v>
      </c>
      <c r="N239" s="1">
        <f>ROUNDDOWN(IntComp[[#This Row],[Count]]/100,0)+$N$1</f>
        <v>2020</v>
      </c>
      <c r="O239" s="81">
        <f t="shared" ca="1" si="3"/>
        <v>113131613.95200007</v>
      </c>
    </row>
    <row r="240" spans="1:15" x14ac:dyDescent="0.25">
      <c r="A240" s="82" t="s">
        <v>43</v>
      </c>
      <c r="B240" s="1" t="str">
        <f>VLOOKUP(A240,Data[],2,FALSE)</f>
        <v>MANHATTAN</v>
      </c>
      <c r="C240" s="9" t="s">
        <v>106</v>
      </c>
      <c r="D240" s="9">
        <f>VLOOKUP(IntComp[[#This Row],[DEVELOPMENT]],Data[],31,FALSE)</f>
        <v>5</v>
      </c>
      <c r="E240" s="9" t="str">
        <f>VLOOKUP(IntComp[[#This Row],[DEVELOPMENT]],Data[],8,FALSE)</f>
        <v>Zone 1</v>
      </c>
      <c r="F240" s="9" t="str">
        <f>VLOOKUP(IntComp[[#This Row],[DEVELOPMENT]],Data[],9,FALSE)</f>
        <v>$</v>
      </c>
      <c r="G240" s="9"/>
      <c r="H240" s="9" t="str">
        <f>IFERROR(VLOOKUP(IntComp[[#This Row],[DEVELOPMENT]],Data[],4,FALSE),"")</f>
        <v/>
      </c>
      <c r="I240" s="9" t="str">
        <f>IF(IntComp[[#This Row],[RAD/PACT]]="","",IF(IntComp[[#This Row],[RAD/PACT]]&lt;=2025,"Yes",""))</f>
        <v/>
      </c>
      <c r="J240" s="1" t="str">
        <f ca="1">IF(VLOOKUP(IntComp[[#This Row],[DEVELOPMENT]],Data[],10,FALSE)=0,"",DATEDIF(VLOOKUP(IntComp[[#This Row],[DEVELOPMENT]],Data[],12,FALSE),TODAY(),"Y"))</f>
        <v/>
      </c>
      <c r="K240" s="1">
        <f>IF(IntComp[[#This Row],[RAD/PACT]]="",VLOOKUP(IntComp[[#This Row],[DEVELOPMENT]],Data[],10,FALSE),IF(IntComp[[#This Row],[RAD/PACT by 2025]]="yes",0,VLOOKUP(IntComp[[#This Row],[DEVELOPMENT]],Data[],10,FALSE)))</f>
        <v>0</v>
      </c>
      <c r="L240" s="63">
        <f ca="1">IF(IntComp[[#This Row],[RAD/PACT by 2025]]="Yes",0,(IntComp[[#This Row],['# Int. Compactors to Replace]]*'Unit Costs'!$B$8)*(1+((IntComp[[#This Row],[est. Year]]-YEAR(TODAY()))*$L$2)))</f>
        <v>368266.97249999997</v>
      </c>
      <c r="M240" s="1">
        <f>SUM(INDEX(IntComp['# to Replace],1):IntComp[[#This Row],['# to Replace]])</f>
        <v>0</v>
      </c>
      <c r="N240" s="1">
        <f>ROUNDDOWN(IntComp[[#This Row],[Count]]/100,0)+$N$1</f>
        <v>2020</v>
      </c>
      <c r="O240" s="81">
        <f t="shared" ca="1" si="3"/>
        <v>113499880.92450006</v>
      </c>
    </row>
    <row r="241" spans="1:15" x14ac:dyDescent="0.25">
      <c r="A241" s="13" t="s">
        <v>304</v>
      </c>
      <c r="B241" s="9" t="str">
        <f>VLOOKUP(A241,Data[],2,FALSE)</f>
        <v>BROOKLYN</v>
      </c>
      <c r="C241" s="9" t="s">
        <v>106</v>
      </c>
      <c r="D241" s="9">
        <f>VLOOKUP(IntComp[[#This Row],[DEVELOPMENT]],Data[],31,FALSE)</f>
        <v>1</v>
      </c>
      <c r="E241" s="66">
        <f>VLOOKUP(IntComp[[#This Row],[DEVELOPMENT]],Data[],8,FALSE)</f>
        <v>0</v>
      </c>
      <c r="F241" s="66">
        <f>VLOOKUP(IntComp[[#This Row],[DEVELOPMENT]],Data[],9,FALSE)</f>
        <v>0</v>
      </c>
      <c r="G241" s="66"/>
      <c r="H241" s="66">
        <f>IFERROR(VLOOKUP(IntComp[[#This Row],[DEVELOPMENT]],Data[],4,FALSE),"")</f>
        <v>2021</v>
      </c>
      <c r="I241" s="66" t="str">
        <f>IF(IntComp[[#This Row],[RAD/PACT]]="","",IF(IntComp[[#This Row],[RAD/PACT]]&lt;=2025,"Yes",""))</f>
        <v>Yes</v>
      </c>
      <c r="J241" s="67" t="str">
        <f ca="1">IF(VLOOKUP(IntComp[[#This Row],[DEVELOPMENT]],Data[],10,FALSE)=0,"",DATEDIF(VLOOKUP(IntComp[[#This Row],[DEVELOPMENT]],Data[],12,FALSE),TODAY(),"Y"))</f>
        <v/>
      </c>
      <c r="K241" s="67">
        <f>IF(IntComp[[#This Row],[RAD/PACT]]="",VLOOKUP(IntComp[[#This Row],[DEVELOPMENT]],Data[],10,FALSE),IF(IntComp[[#This Row],[RAD/PACT by 2025]]="yes",0,VLOOKUP(IntComp[[#This Row],[DEVELOPMENT]],Data[],10,FALSE)))</f>
        <v>0</v>
      </c>
      <c r="L241" s="63">
        <f ca="1">IF(IntComp[[#This Row],[RAD/PACT by 2025]]="Yes",0,(IntComp[[#This Row],['# Int. Compactors to Replace]]*'Unit Costs'!$B$8)*(1+((IntComp[[#This Row],[est. Year]]-YEAR(TODAY()))*$L$2)))</f>
        <v>0</v>
      </c>
      <c r="M241" s="67">
        <f>SUM(INDEX(IntComp['# to Replace],1):IntComp[[#This Row],['# to Replace]])</f>
        <v>0</v>
      </c>
      <c r="N241" s="67">
        <f>ROUNDDOWN(IntComp[[#This Row],[Count]]/100,0)+$N$1</f>
        <v>2020</v>
      </c>
      <c r="O241" s="86">
        <f t="shared" ca="1" si="3"/>
        <v>113499880.92450006</v>
      </c>
    </row>
    <row r="242" spans="1:15" x14ac:dyDescent="0.25">
      <c r="A242" s="13" t="s">
        <v>305</v>
      </c>
      <c r="B242" s="9" t="str">
        <f>VLOOKUP(A242,Data[],2,FALSE)</f>
        <v>BRONX</v>
      </c>
      <c r="C242" s="9" t="s">
        <v>106</v>
      </c>
      <c r="D242" s="9">
        <f>VLOOKUP(IntComp[[#This Row],[DEVELOPMENT]],Data[],31,FALSE)</f>
        <v>7</v>
      </c>
      <c r="E242" s="66">
        <f>VLOOKUP(IntComp[[#This Row],[DEVELOPMENT]],Data[],8,FALSE)</f>
        <v>0</v>
      </c>
      <c r="F242" s="66">
        <f>VLOOKUP(IntComp[[#This Row],[DEVELOPMENT]],Data[],9,FALSE)</f>
        <v>0</v>
      </c>
      <c r="G242" s="66"/>
      <c r="H242" s="66">
        <f>IFERROR(VLOOKUP(IntComp[[#This Row],[DEVELOPMENT]],Data[],4,FALSE),"")</f>
        <v>2024</v>
      </c>
      <c r="I242" s="66" t="str">
        <f>IF(IntComp[[#This Row],[RAD/PACT]]="","",IF(IntComp[[#This Row],[RAD/PACT]]&lt;=2025,"Yes",""))</f>
        <v>Yes</v>
      </c>
      <c r="J242" s="67" t="str">
        <f ca="1">IF(VLOOKUP(IntComp[[#This Row],[DEVELOPMENT]],Data[],10,FALSE)=0,"",DATEDIF(VLOOKUP(IntComp[[#This Row],[DEVELOPMENT]],Data[],12,FALSE),TODAY(),"Y"))</f>
        <v/>
      </c>
      <c r="K242" s="67">
        <f>IF(IntComp[[#This Row],[RAD/PACT]]="",VLOOKUP(IntComp[[#This Row],[DEVELOPMENT]],Data[],10,FALSE),IF(IntComp[[#This Row],[RAD/PACT by 2025]]="yes",0,VLOOKUP(IntComp[[#This Row],[DEVELOPMENT]],Data[],10,FALSE)))</f>
        <v>0</v>
      </c>
      <c r="L242" s="63">
        <f ca="1">IF(IntComp[[#This Row],[RAD/PACT by 2025]]="Yes",0,(IntComp[[#This Row],['# Int. Compactors to Replace]]*'Unit Costs'!$B$8)*(1+((IntComp[[#This Row],[est. Year]]-YEAR(TODAY()))*$L$2)))</f>
        <v>0</v>
      </c>
      <c r="M242" s="67">
        <f>SUM(INDEX(IntComp['# to Replace],1):IntComp[[#This Row],['# to Replace]])</f>
        <v>0</v>
      </c>
      <c r="N242" s="67">
        <f>ROUNDDOWN(IntComp[[#This Row],[Count]]/100,0)+$N$1</f>
        <v>2020</v>
      </c>
      <c r="O242" s="86">
        <f t="shared" ca="1" si="3"/>
        <v>113499880.92450006</v>
      </c>
    </row>
    <row r="243" spans="1:15" x14ac:dyDescent="0.25">
      <c r="A243" s="13" t="s">
        <v>123</v>
      </c>
      <c r="B243" s="1" t="str">
        <f>VLOOKUP(A243,Data[],2,FALSE)</f>
        <v>BRONX</v>
      </c>
      <c r="C243" s="9" t="s">
        <v>106</v>
      </c>
      <c r="D243" s="9">
        <f>VLOOKUP(IntComp[[#This Row],[DEVELOPMENT]],Data[],31,FALSE)</f>
        <v>6</v>
      </c>
      <c r="E243" s="9" t="str">
        <f>VLOOKUP(IntComp[[#This Row],[DEVELOPMENT]],Data[],8,FALSE)</f>
        <v>Zone 3</v>
      </c>
      <c r="F243" s="9" t="str">
        <f>VLOOKUP(IntComp[[#This Row],[DEVELOPMENT]],Data[],9,FALSE)</f>
        <v>$</v>
      </c>
      <c r="G243" s="9"/>
      <c r="H243" s="9" t="str">
        <f>IFERROR(VLOOKUP(IntComp[[#This Row],[DEVELOPMENT]],Data[],4,FALSE),"")</f>
        <v/>
      </c>
      <c r="I243" s="9" t="str">
        <f>IF(IntComp[[#This Row],[RAD/PACT]]="","",IF(IntComp[[#This Row],[RAD/PACT]]&lt;=2025,"Yes",""))</f>
        <v/>
      </c>
      <c r="J243" s="1" t="str">
        <f ca="1">IF(VLOOKUP(IntComp[[#This Row],[DEVELOPMENT]],Data[],10,FALSE)=0,"",DATEDIF(VLOOKUP(IntComp[[#This Row],[DEVELOPMENT]],Data[],12,FALSE),TODAY(),"Y"))</f>
        <v/>
      </c>
      <c r="K243" s="1">
        <f>IF(IntComp[[#This Row],[RAD/PACT]]="",VLOOKUP(IntComp[[#This Row],[DEVELOPMENT]],Data[],10,FALSE),IF(IntComp[[#This Row],[RAD/PACT by 2025]]="yes",0,VLOOKUP(IntComp[[#This Row],[DEVELOPMENT]],Data[],10,FALSE)))</f>
        <v>0</v>
      </c>
      <c r="L243" s="63">
        <f ca="1">IF(IntComp[[#This Row],[RAD/PACT by 2025]]="Yes",0,(IntComp[[#This Row],['# Int. Compactors to Replace]]*'Unit Costs'!$B$8)*(1+((IntComp[[#This Row],[est. Year]]-YEAR(TODAY()))*$L$2)))</f>
        <v>441920.36699999991</v>
      </c>
      <c r="M243" s="1">
        <f>SUM(INDEX(IntComp['# to Replace],1):IntComp[[#This Row],['# to Replace]])</f>
        <v>0</v>
      </c>
      <c r="N243" s="1">
        <f>ROUNDDOWN(IntComp[[#This Row],[Count]]/100,0)+$N$1</f>
        <v>2020</v>
      </c>
      <c r="O243" s="81">
        <f t="shared" ca="1" si="3"/>
        <v>113941801.29150006</v>
      </c>
    </row>
    <row r="244" spans="1:15" x14ac:dyDescent="0.25">
      <c r="A244" s="13" t="s">
        <v>136</v>
      </c>
      <c r="B244" s="1" t="str">
        <f>VLOOKUP(A244,Data[],2,FALSE)</f>
        <v>MANHATTAN</v>
      </c>
      <c r="C244" s="9" t="s">
        <v>106</v>
      </c>
      <c r="D244" s="9">
        <f>VLOOKUP(IntComp[[#This Row],[DEVELOPMENT]],Data[],31,FALSE)</f>
        <v>14</v>
      </c>
      <c r="E244" s="9" t="str">
        <f>VLOOKUP(IntComp[[#This Row],[DEVELOPMENT]],Data[],8,FALSE)</f>
        <v>Zone 2</v>
      </c>
      <c r="F244" s="9" t="str">
        <f>VLOOKUP(IntComp[[#This Row],[DEVELOPMENT]],Data[],9,FALSE)</f>
        <v>$</v>
      </c>
      <c r="G244" s="9"/>
      <c r="H244" s="9" t="str">
        <f>IFERROR(VLOOKUP(IntComp[[#This Row],[DEVELOPMENT]],Data[],4,FALSE),"")</f>
        <v/>
      </c>
      <c r="I244" s="9" t="str">
        <f>IF(IntComp[[#This Row],[RAD/PACT]]="","",IF(IntComp[[#This Row],[RAD/PACT]]&lt;=2025,"Yes",""))</f>
        <v/>
      </c>
      <c r="J244" s="1" t="str">
        <f ca="1">IF(VLOOKUP(IntComp[[#This Row],[DEVELOPMENT]],Data[],10,FALSE)=0,"",DATEDIF(VLOOKUP(IntComp[[#This Row],[DEVELOPMENT]],Data[],12,FALSE),TODAY(),"Y"))</f>
        <v/>
      </c>
      <c r="K244" s="1">
        <f>IF(IntComp[[#This Row],[RAD/PACT]]="",VLOOKUP(IntComp[[#This Row],[DEVELOPMENT]],Data[],10,FALSE),IF(IntComp[[#This Row],[RAD/PACT by 2025]]="yes",0,VLOOKUP(IntComp[[#This Row],[DEVELOPMENT]],Data[],10,FALSE)))</f>
        <v>0</v>
      </c>
      <c r="L244" s="63">
        <f ca="1">IF(IntComp[[#This Row],[RAD/PACT by 2025]]="Yes",0,(IntComp[[#This Row],['# Int. Compactors to Replace]]*'Unit Costs'!$B$8)*(1+((IntComp[[#This Row],[est. Year]]-YEAR(TODAY()))*$L$2)))</f>
        <v>1031147.5229999998</v>
      </c>
      <c r="M244" s="1">
        <f>SUM(INDEX(IntComp['# to Replace],1):IntComp[[#This Row],['# to Replace]])</f>
        <v>0</v>
      </c>
      <c r="N244" s="1">
        <f>ROUNDDOWN(IntComp[[#This Row],[Count]]/100,0)+$N$1</f>
        <v>2020</v>
      </c>
      <c r="O244" s="81">
        <f t="shared" ca="1" si="3"/>
        <v>114972948.81450006</v>
      </c>
    </row>
    <row r="245" spans="1:15" x14ac:dyDescent="0.25">
      <c r="A245" s="13" t="s">
        <v>95</v>
      </c>
      <c r="B245" s="1" t="str">
        <f>VLOOKUP(A245,Data[],2,FALSE)</f>
        <v>MANHATTAN</v>
      </c>
      <c r="C245" s="9" t="s">
        <v>106</v>
      </c>
      <c r="D245" s="9">
        <f>VLOOKUP(IntComp[[#This Row],[DEVELOPMENT]],Data[],31,FALSE)</f>
        <v>40</v>
      </c>
      <c r="E245" s="9" t="str">
        <f>VLOOKUP(IntComp[[#This Row],[DEVELOPMENT]],Data[],8,FALSE)</f>
        <v>Zone 2</v>
      </c>
      <c r="F245" s="9" t="str">
        <f>VLOOKUP(IntComp[[#This Row],[DEVELOPMENT]],Data[],9,FALSE)</f>
        <v>$$</v>
      </c>
      <c r="G245" s="9"/>
      <c r="H245" s="9">
        <f>IFERROR(VLOOKUP(IntComp[[#This Row],[DEVELOPMENT]],Data[],4,FALSE),"")</f>
        <v>2026</v>
      </c>
      <c r="I245" s="9" t="str">
        <f>IF(IntComp[[#This Row],[RAD/PACT]]="","",IF(IntComp[[#This Row],[RAD/PACT]]&lt;=2025,"Yes",""))</f>
        <v/>
      </c>
      <c r="J245" s="1" t="str">
        <f ca="1">IF(VLOOKUP(IntComp[[#This Row],[DEVELOPMENT]],Data[],10,FALSE)=0,"",DATEDIF(VLOOKUP(IntComp[[#This Row],[DEVELOPMENT]],Data[],12,FALSE),TODAY(),"Y"))</f>
        <v/>
      </c>
      <c r="K245" s="1">
        <f>IF(IntComp[[#This Row],[RAD/PACT]]="",VLOOKUP(IntComp[[#This Row],[DEVELOPMENT]],Data[],10,FALSE),IF(IntComp[[#This Row],[RAD/PACT by 2025]]="yes",0,VLOOKUP(IntComp[[#This Row],[DEVELOPMENT]],Data[],10,FALSE)))</f>
        <v>0</v>
      </c>
      <c r="L245" s="63">
        <f ca="1">IF(IntComp[[#This Row],[RAD/PACT by 2025]]="Yes",0,(IntComp[[#This Row],['# Int. Compactors to Replace]]*'Unit Costs'!$B$8)*(1+((IntComp[[#This Row],[est. Year]]-YEAR(TODAY()))*$L$2)))</f>
        <v>2946135.78</v>
      </c>
      <c r="M245" s="1">
        <f>SUM(INDEX(IntComp['# to Replace],1):IntComp[[#This Row],['# to Replace]])</f>
        <v>0</v>
      </c>
      <c r="N245" s="1">
        <f>ROUNDDOWN(IntComp[[#This Row],[Count]]/100,0)+$N$1</f>
        <v>2020</v>
      </c>
      <c r="O245" s="81">
        <f t="shared" ca="1" si="3"/>
        <v>117919084.59450006</v>
      </c>
    </row>
    <row r="246" spans="1:15" x14ac:dyDescent="0.25">
      <c r="A246" s="13" t="s">
        <v>306</v>
      </c>
      <c r="B246" s="9" t="str">
        <f>VLOOKUP(A246,Data[],2,FALSE)</f>
        <v>MANHATTAN</v>
      </c>
      <c r="C246" s="9" t="s">
        <v>106</v>
      </c>
      <c r="D246" s="9">
        <f>VLOOKUP(IntComp[[#This Row],[DEVELOPMENT]],Data[],31,FALSE)</f>
        <v>1</v>
      </c>
      <c r="E246" s="66">
        <f>VLOOKUP(IntComp[[#This Row],[DEVELOPMENT]],Data[],8,FALSE)</f>
        <v>0</v>
      </c>
      <c r="F246" s="66">
        <f>VLOOKUP(IntComp[[#This Row],[DEVELOPMENT]],Data[],9,FALSE)</f>
        <v>0</v>
      </c>
      <c r="G246" s="66"/>
      <c r="H246" s="66">
        <f>IFERROR(VLOOKUP(IntComp[[#This Row],[DEVELOPMENT]],Data[],4,FALSE),"")</f>
        <v>2019</v>
      </c>
      <c r="I246" s="66" t="str">
        <f>IF(IntComp[[#This Row],[RAD/PACT]]="","",IF(IntComp[[#This Row],[RAD/PACT]]&lt;=2025,"Yes",""))</f>
        <v>Yes</v>
      </c>
      <c r="J246" s="67" t="str">
        <f ca="1">IF(VLOOKUP(IntComp[[#This Row],[DEVELOPMENT]],Data[],10,FALSE)=0,"",DATEDIF(VLOOKUP(IntComp[[#This Row],[DEVELOPMENT]],Data[],12,FALSE),TODAY(),"Y"))</f>
        <v/>
      </c>
      <c r="K246" s="67">
        <f>IF(IntComp[[#This Row],[RAD/PACT]]="",VLOOKUP(IntComp[[#This Row],[DEVELOPMENT]],Data[],10,FALSE),IF(IntComp[[#This Row],[RAD/PACT by 2025]]="yes",0,VLOOKUP(IntComp[[#This Row],[DEVELOPMENT]],Data[],10,FALSE)))</f>
        <v>0</v>
      </c>
      <c r="L246" s="63">
        <f ca="1">IF(IntComp[[#This Row],[RAD/PACT by 2025]]="Yes",0,(IntComp[[#This Row],['# Int. Compactors to Replace]]*'Unit Costs'!$B$8)*(1+((IntComp[[#This Row],[est. Year]]-YEAR(TODAY()))*$L$2)))</f>
        <v>0</v>
      </c>
      <c r="M246" s="67">
        <f>SUM(INDEX(IntComp['# to Replace],1):IntComp[[#This Row],['# to Replace]])</f>
        <v>0</v>
      </c>
      <c r="N246" s="67">
        <f>ROUNDDOWN(IntComp[[#This Row],[Count]]/100,0)+$N$1</f>
        <v>2020</v>
      </c>
      <c r="O246" s="86">
        <f t="shared" ca="1" si="3"/>
        <v>117919084.59450006</v>
      </c>
    </row>
    <row r="247" spans="1:15" x14ac:dyDescent="0.25">
      <c r="A247" s="13" t="s">
        <v>307</v>
      </c>
      <c r="B247" s="9" t="str">
        <f>VLOOKUP(A247,Data[],2,FALSE)</f>
        <v>MANHATTAN</v>
      </c>
      <c r="C247" s="9" t="s">
        <v>106</v>
      </c>
      <c r="D247" s="9">
        <f>VLOOKUP(IntComp[[#This Row],[DEVELOPMENT]],Data[],31,FALSE)</f>
        <v>0</v>
      </c>
      <c r="E247" s="66">
        <f>VLOOKUP(IntComp[[#This Row],[DEVELOPMENT]],Data[],8,FALSE)</f>
        <v>0</v>
      </c>
      <c r="F247" s="66">
        <f>VLOOKUP(IntComp[[#This Row],[DEVELOPMENT]],Data[],9,FALSE)</f>
        <v>0</v>
      </c>
      <c r="G247" s="66"/>
      <c r="H247" s="66">
        <f>IFERROR(VLOOKUP(IntComp[[#This Row],[DEVELOPMENT]],Data[],4,FALSE),"")</f>
        <v>2019</v>
      </c>
      <c r="I247" s="66" t="str">
        <f>IF(IntComp[[#This Row],[RAD/PACT]]="","",IF(IntComp[[#This Row],[RAD/PACT]]&lt;=2025,"Yes",""))</f>
        <v>Yes</v>
      </c>
      <c r="J247" s="67" t="str">
        <f ca="1">IF(VLOOKUP(IntComp[[#This Row],[DEVELOPMENT]],Data[],10,FALSE)=0,"",DATEDIF(VLOOKUP(IntComp[[#This Row],[DEVELOPMENT]],Data[],12,FALSE),TODAY(),"Y"))</f>
        <v/>
      </c>
      <c r="K247" s="67">
        <f>IF(IntComp[[#This Row],[RAD/PACT]]="",VLOOKUP(IntComp[[#This Row],[DEVELOPMENT]],Data[],10,FALSE),IF(IntComp[[#This Row],[RAD/PACT by 2025]]="yes",0,VLOOKUP(IntComp[[#This Row],[DEVELOPMENT]],Data[],10,FALSE)))</f>
        <v>0</v>
      </c>
      <c r="L247" s="63">
        <f ca="1">IF(IntComp[[#This Row],[RAD/PACT by 2025]]="Yes",0,(IntComp[[#This Row],['# Int. Compactors to Replace]]*'Unit Costs'!$B$8)*(1+((IntComp[[#This Row],[est. Year]]-YEAR(TODAY()))*$L$2)))</f>
        <v>0</v>
      </c>
      <c r="M247" s="67">
        <f>SUM(INDEX(IntComp['# to Replace],1):IntComp[[#This Row],['# to Replace]])</f>
        <v>0</v>
      </c>
      <c r="N247" s="67">
        <f>ROUNDDOWN(IntComp[[#This Row],[Count]]/100,0)+$N$1</f>
        <v>2020</v>
      </c>
      <c r="O247" s="86">
        <f t="shared" ca="1" si="3"/>
        <v>117919084.59450006</v>
      </c>
    </row>
    <row r="248" spans="1:15" x14ac:dyDescent="0.25">
      <c r="A248" s="13" t="s">
        <v>308</v>
      </c>
      <c r="B248" s="9" t="str">
        <f>VLOOKUP(A248,Data[],2,FALSE)</f>
        <v>MANHATTAN</v>
      </c>
      <c r="C248" s="9" t="s">
        <v>106</v>
      </c>
      <c r="D248" s="9">
        <f>VLOOKUP(IntComp[[#This Row],[DEVELOPMENT]],Data[],31,FALSE)</f>
        <v>1</v>
      </c>
      <c r="E248" s="66">
        <f>VLOOKUP(IntComp[[#This Row],[DEVELOPMENT]],Data[],8,FALSE)</f>
        <v>0</v>
      </c>
      <c r="F248" s="66">
        <f>VLOOKUP(IntComp[[#This Row],[DEVELOPMENT]],Data[],9,FALSE)</f>
        <v>0</v>
      </c>
      <c r="G248" s="66"/>
      <c r="H248" s="66">
        <f>IFERROR(VLOOKUP(IntComp[[#This Row],[DEVELOPMENT]],Data[],4,FALSE),"")</f>
        <v>2019</v>
      </c>
      <c r="I248" s="66" t="str">
        <f>IF(IntComp[[#This Row],[RAD/PACT]]="","",IF(IntComp[[#This Row],[RAD/PACT]]&lt;=2025,"Yes",""))</f>
        <v>Yes</v>
      </c>
      <c r="J248" s="67" t="str">
        <f ca="1">IF(VLOOKUP(IntComp[[#This Row],[DEVELOPMENT]],Data[],10,FALSE)=0,"",DATEDIF(VLOOKUP(IntComp[[#This Row],[DEVELOPMENT]],Data[],12,FALSE),TODAY(),"Y"))</f>
        <v/>
      </c>
      <c r="K248" s="67">
        <f>IF(IntComp[[#This Row],[RAD/PACT]]="",VLOOKUP(IntComp[[#This Row],[DEVELOPMENT]],Data[],10,FALSE),IF(IntComp[[#This Row],[RAD/PACT by 2025]]="yes",0,VLOOKUP(IntComp[[#This Row],[DEVELOPMENT]],Data[],10,FALSE)))</f>
        <v>0</v>
      </c>
      <c r="L248" s="63">
        <f ca="1">IF(IntComp[[#This Row],[RAD/PACT by 2025]]="Yes",0,(IntComp[[#This Row],['# Int. Compactors to Replace]]*'Unit Costs'!$B$8)*(1+((IntComp[[#This Row],[est. Year]]-YEAR(TODAY()))*$L$2)))</f>
        <v>0</v>
      </c>
      <c r="M248" s="67">
        <f>SUM(INDEX(IntComp['# to Replace],1):IntComp[[#This Row],['# to Replace]])</f>
        <v>0</v>
      </c>
      <c r="N248" s="67">
        <f>ROUNDDOWN(IntComp[[#This Row],[Count]]/100,0)+$N$1</f>
        <v>2020</v>
      </c>
      <c r="O248" s="86">
        <f t="shared" ca="1" si="3"/>
        <v>117919084.59450006</v>
      </c>
    </row>
    <row r="249" spans="1:15" x14ac:dyDescent="0.25">
      <c r="A249" s="13" t="s">
        <v>309</v>
      </c>
      <c r="B249" s="9" t="str">
        <f>VLOOKUP(A249,Data[],2,FALSE)</f>
        <v>BROOKLYN</v>
      </c>
      <c r="C249" s="9" t="s">
        <v>106</v>
      </c>
      <c r="D249" s="9">
        <f>VLOOKUP(IntComp[[#This Row],[DEVELOPMENT]],Data[],31,FALSE)</f>
        <v>1</v>
      </c>
      <c r="E249" s="66">
        <f>VLOOKUP(IntComp[[#This Row],[DEVELOPMENT]],Data[],8,FALSE)</f>
        <v>0</v>
      </c>
      <c r="F249" s="66">
        <f>VLOOKUP(IntComp[[#This Row],[DEVELOPMENT]],Data[],9,FALSE)</f>
        <v>0</v>
      </c>
      <c r="G249" s="66"/>
      <c r="H249" s="66" t="str">
        <f>IFERROR(VLOOKUP(IntComp[[#This Row],[DEVELOPMENT]],Data[],4,FALSE),"")</f>
        <v/>
      </c>
      <c r="I249" s="66" t="str">
        <f>IF(IntComp[[#This Row],[RAD/PACT]]="","",IF(IntComp[[#This Row],[RAD/PACT]]&lt;=2025,"Yes",""))</f>
        <v/>
      </c>
      <c r="J249" s="67" t="str">
        <f ca="1">IF(VLOOKUP(IntComp[[#This Row],[DEVELOPMENT]],Data[],10,FALSE)=0,"",DATEDIF(VLOOKUP(IntComp[[#This Row],[DEVELOPMENT]],Data[],12,FALSE),TODAY(),"Y"))</f>
        <v/>
      </c>
      <c r="K249" s="67">
        <f>IF(IntComp[[#This Row],[RAD/PACT]]="",VLOOKUP(IntComp[[#This Row],[DEVELOPMENT]],Data[],10,FALSE),IF(IntComp[[#This Row],[RAD/PACT by 2025]]="yes",0,VLOOKUP(IntComp[[#This Row],[DEVELOPMENT]],Data[],10,FALSE)))</f>
        <v>0</v>
      </c>
      <c r="L249" s="63">
        <f ca="1">IF(IntComp[[#This Row],[RAD/PACT by 2025]]="Yes",0,(IntComp[[#This Row],['# Int. Compactors to Replace]]*'Unit Costs'!$B$8)*(1+((IntComp[[#This Row],[est. Year]]-YEAR(TODAY()))*$L$2)))</f>
        <v>73653.394499999995</v>
      </c>
      <c r="M249" s="67">
        <f>SUM(INDEX(IntComp['# to Replace],1):IntComp[[#This Row],['# to Replace]])</f>
        <v>0</v>
      </c>
      <c r="N249" s="67">
        <f>ROUNDDOWN(IntComp[[#This Row],[Count]]/100,0)+$N$1</f>
        <v>2020</v>
      </c>
      <c r="O249" s="86">
        <f t="shared" ca="1" si="3"/>
        <v>117992737.98900007</v>
      </c>
    </row>
    <row r="250" spans="1:15" x14ac:dyDescent="0.25">
      <c r="A250" s="13" t="s">
        <v>310</v>
      </c>
      <c r="B250" s="9" t="str">
        <f>VLOOKUP(A250,Data[],2,FALSE)</f>
        <v>BRONX</v>
      </c>
      <c r="C250" s="9" t="s">
        <v>106</v>
      </c>
      <c r="D250" s="9">
        <f>VLOOKUP(IntComp[[#This Row],[DEVELOPMENT]],Data[],31,FALSE)</f>
        <v>7</v>
      </c>
      <c r="E250" s="66">
        <f>VLOOKUP(IntComp[[#This Row],[DEVELOPMENT]],Data[],8,FALSE)</f>
        <v>0</v>
      </c>
      <c r="F250" s="66">
        <f>VLOOKUP(IntComp[[#This Row],[DEVELOPMENT]],Data[],9,FALSE)</f>
        <v>0</v>
      </c>
      <c r="G250" s="66"/>
      <c r="H250" s="66" t="str">
        <f>IFERROR(VLOOKUP(IntComp[[#This Row],[DEVELOPMENT]],Data[],4,FALSE),"")</f>
        <v/>
      </c>
      <c r="I250" s="66" t="str">
        <f>IF(IntComp[[#This Row],[RAD/PACT]]="","",IF(IntComp[[#This Row],[RAD/PACT]]&lt;=2025,"Yes",""))</f>
        <v/>
      </c>
      <c r="J250" s="67" t="str">
        <f ca="1">IF(VLOOKUP(IntComp[[#This Row],[DEVELOPMENT]],Data[],10,FALSE)=0,"",DATEDIF(VLOOKUP(IntComp[[#This Row],[DEVELOPMENT]],Data[],12,FALSE),TODAY(),"Y"))</f>
        <v/>
      </c>
      <c r="K250" s="67">
        <f>IF(IntComp[[#This Row],[RAD/PACT]]="",VLOOKUP(IntComp[[#This Row],[DEVELOPMENT]],Data[],10,FALSE),IF(IntComp[[#This Row],[RAD/PACT by 2025]]="yes",0,VLOOKUP(IntComp[[#This Row],[DEVELOPMENT]],Data[],10,FALSE)))</f>
        <v>0</v>
      </c>
      <c r="L250" s="63">
        <f ca="1">IF(IntComp[[#This Row],[RAD/PACT by 2025]]="Yes",0,(IntComp[[#This Row],['# Int. Compactors to Replace]]*'Unit Costs'!$B$8)*(1+((IntComp[[#This Row],[est. Year]]-YEAR(TODAY()))*$L$2)))</f>
        <v>515573.76149999991</v>
      </c>
      <c r="M250" s="67">
        <f>SUM(INDEX(IntComp['# to Replace],1):IntComp[[#This Row],['# to Replace]])</f>
        <v>0</v>
      </c>
      <c r="N250" s="67">
        <f>ROUNDDOWN(IntComp[[#This Row],[Count]]/100,0)+$N$1</f>
        <v>2020</v>
      </c>
      <c r="O250" s="86">
        <f t="shared" ca="1" si="3"/>
        <v>118508311.75050007</v>
      </c>
    </row>
    <row r="251" spans="1:15" x14ac:dyDescent="0.25">
      <c r="A251" s="82" t="s">
        <v>65</v>
      </c>
      <c r="B251" s="1" t="str">
        <f>VLOOKUP(A251,Data[],2,FALSE)</f>
        <v>MANHATTAN</v>
      </c>
      <c r="C251" s="9" t="s">
        <v>106</v>
      </c>
      <c r="D251" s="9">
        <f>VLOOKUP(IntComp[[#This Row],[DEVELOPMENT]],Data[],31,FALSE)</f>
        <v>2</v>
      </c>
      <c r="E251" s="9" t="str">
        <f>VLOOKUP(IntComp[[#This Row],[DEVELOPMENT]],Data[],8,FALSE)</f>
        <v>Zone 1</v>
      </c>
      <c r="F251" s="9" t="str">
        <f>VLOOKUP(IntComp[[#This Row],[DEVELOPMENT]],Data[],9,FALSE)</f>
        <v>$</v>
      </c>
      <c r="G251" s="9"/>
      <c r="H251" s="9" t="str">
        <f>IFERROR(VLOOKUP(IntComp[[#This Row],[DEVELOPMENT]],Data[],4,FALSE),"")</f>
        <v/>
      </c>
      <c r="I251" s="9" t="str">
        <f>IF(IntComp[[#This Row],[RAD/PACT]]="","",IF(IntComp[[#This Row],[RAD/PACT]]&lt;=2025,"Yes",""))</f>
        <v/>
      </c>
      <c r="J251" s="1" t="str">
        <f ca="1">IF(VLOOKUP(IntComp[[#This Row],[DEVELOPMENT]],Data[],10,FALSE)=0,"",DATEDIF(VLOOKUP(IntComp[[#This Row],[DEVELOPMENT]],Data[],12,FALSE),TODAY(),"Y"))</f>
        <v/>
      </c>
      <c r="K251" s="1">
        <f>IF(IntComp[[#This Row],[RAD/PACT]]="",VLOOKUP(IntComp[[#This Row],[DEVELOPMENT]],Data[],10,FALSE),IF(IntComp[[#This Row],[RAD/PACT by 2025]]="yes",0,VLOOKUP(IntComp[[#This Row],[DEVELOPMENT]],Data[],10,FALSE)))</f>
        <v>0</v>
      </c>
      <c r="L251" s="63">
        <f ca="1">IF(IntComp[[#This Row],[RAD/PACT by 2025]]="Yes",0,(IntComp[[#This Row],['# Int. Compactors to Replace]]*'Unit Costs'!$B$8)*(1+((IntComp[[#This Row],[est. Year]]-YEAR(TODAY()))*$L$2)))</f>
        <v>147306.78899999999</v>
      </c>
      <c r="M251" s="1">
        <f>SUM(INDEX(IntComp['# to Replace],1):IntComp[[#This Row],['# to Replace]])</f>
        <v>0</v>
      </c>
      <c r="N251" s="1">
        <f>ROUNDDOWN(IntComp[[#This Row],[Count]]/100,0)+$N$1</f>
        <v>2020</v>
      </c>
      <c r="O251" s="81">
        <f t="shared" ca="1" si="3"/>
        <v>118655618.53950007</v>
      </c>
    </row>
    <row r="252" spans="1:15" x14ac:dyDescent="0.25">
      <c r="A252" s="13" t="s">
        <v>311</v>
      </c>
      <c r="B252" s="9" t="str">
        <f>VLOOKUP(A252,Data[],2,FALSE)</f>
        <v>BROOKLYN</v>
      </c>
      <c r="C252" s="9" t="s">
        <v>106</v>
      </c>
      <c r="D252" s="9">
        <f>VLOOKUP(IntComp[[#This Row],[DEVELOPMENT]],Data[],31,FALSE)</f>
        <v>35</v>
      </c>
      <c r="E252" s="66">
        <f>VLOOKUP(IntComp[[#This Row],[DEVELOPMENT]],Data[],8,FALSE)</f>
        <v>0</v>
      </c>
      <c r="F252" s="66">
        <f>VLOOKUP(IntComp[[#This Row],[DEVELOPMENT]],Data[],9,FALSE)</f>
        <v>0</v>
      </c>
      <c r="G252" s="66"/>
      <c r="H252" s="66">
        <f>IFERROR(VLOOKUP(IntComp[[#This Row],[DEVELOPMENT]],Data[],4,FALSE),"")</f>
        <v>2028</v>
      </c>
      <c r="I252" s="66" t="str">
        <f>IF(IntComp[[#This Row],[RAD/PACT]]="","",IF(IntComp[[#This Row],[RAD/PACT]]&lt;=2025,"Yes",""))</f>
        <v/>
      </c>
      <c r="J252" s="67" t="str">
        <f ca="1">IF(VLOOKUP(IntComp[[#This Row],[DEVELOPMENT]],Data[],10,FALSE)=0,"",DATEDIF(VLOOKUP(IntComp[[#This Row],[DEVELOPMENT]],Data[],12,FALSE),TODAY(),"Y"))</f>
        <v/>
      </c>
      <c r="K252" s="67">
        <f>IF(IntComp[[#This Row],[RAD/PACT]]="",VLOOKUP(IntComp[[#This Row],[DEVELOPMENT]],Data[],10,FALSE),IF(IntComp[[#This Row],[RAD/PACT by 2025]]="yes",0,VLOOKUP(IntComp[[#This Row],[DEVELOPMENT]],Data[],10,FALSE)))</f>
        <v>0</v>
      </c>
      <c r="L252" s="63">
        <f ca="1">IF(IntComp[[#This Row],[RAD/PACT by 2025]]="Yes",0,(IntComp[[#This Row],['# Int. Compactors to Replace]]*'Unit Costs'!$B$8)*(1+((IntComp[[#This Row],[est. Year]]-YEAR(TODAY()))*$L$2)))</f>
        <v>2577868.8074999996</v>
      </c>
      <c r="M252" s="67">
        <f>SUM(INDEX(IntComp['# to Replace],1):IntComp[[#This Row],['# to Replace]])</f>
        <v>0</v>
      </c>
      <c r="N252" s="67">
        <f>ROUNDDOWN(IntComp[[#This Row],[Count]]/100,0)+$N$1</f>
        <v>2020</v>
      </c>
      <c r="O252" s="86">
        <f t="shared" ca="1" si="3"/>
        <v>121233487.34700008</v>
      </c>
    </row>
    <row r="253" spans="1:15" x14ac:dyDescent="0.25">
      <c r="A253" s="13" t="s">
        <v>312</v>
      </c>
      <c r="B253" s="9" t="str">
        <f>VLOOKUP(A253,Data[],2,FALSE)</f>
        <v>QUEENS</v>
      </c>
      <c r="C253" s="9" t="s">
        <v>106</v>
      </c>
      <c r="D253" s="9">
        <f>VLOOKUP(IntComp[[#This Row],[DEVELOPMENT]],Data[],31,FALSE)</f>
        <v>1</v>
      </c>
      <c r="E253" s="66">
        <f>VLOOKUP(IntComp[[#This Row],[DEVELOPMENT]],Data[],8,FALSE)</f>
        <v>0</v>
      </c>
      <c r="F253" s="66">
        <f>VLOOKUP(IntComp[[#This Row],[DEVELOPMENT]],Data[],9,FALSE)</f>
        <v>0</v>
      </c>
      <c r="G253" s="66"/>
      <c r="H253" s="66" t="str">
        <f>IFERROR(VLOOKUP(IntComp[[#This Row],[DEVELOPMENT]],Data[],4,FALSE),"")</f>
        <v/>
      </c>
      <c r="I253" s="66" t="str">
        <f>IF(IntComp[[#This Row],[RAD/PACT]]="","",IF(IntComp[[#This Row],[RAD/PACT]]&lt;=2025,"Yes",""))</f>
        <v/>
      </c>
      <c r="J253" s="67" t="str">
        <f ca="1">IF(VLOOKUP(IntComp[[#This Row],[DEVELOPMENT]],Data[],10,FALSE)=0,"",DATEDIF(VLOOKUP(IntComp[[#This Row],[DEVELOPMENT]],Data[],12,FALSE),TODAY(),"Y"))</f>
        <v/>
      </c>
      <c r="K253" s="67">
        <f>IF(IntComp[[#This Row],[RAD/PACT]]="",VLOOKUP(IntComp[[#This Row],[DEVELOPMENT]],Data[],10,FALSE),IF(IntComp[[#This Row],[RAD/PACT by 2025]]="yes",0,VLOOKUP(IntComp[[#This Row],[DEVELOPMENT]],Data[],10,FALSE)))</f>
        <v>0</v>
      </c>
      <c r="L253" s="63">
        <f ca="1">IF(IntComp[[#This Row],[RAD/PACT by 2025]]="Yes",0,(IntComp[[#This Row],['# Int. Compactors to Replace]]*'Unit Costs'!$B$8)*(1+((IntComp[[#This Row],[est. Year]]-YEAR(TODAY()))*$L$2)))</f>
        <v>73653.394499999995</v>
      </c>
      <c r="M253" s="67">
        <f>SUM(INDEX(IntComp['# to Replace],1):IntComp[[#This Row],['# to Replace]])</f>
        <v>0</v>
      </c>
      <c r="N253" s="67">
        <f>ROUNDDOWN(IntComp[[#This Row],[Count]]/100,0)+$N$1</f>
        <v>2020</v>
      </c>
      <c r="O253" s="86">
        <f t="shared" ca="1" si="3"/>
        <v>121307140.74150008</v>
      </c>
    </row>
    <row r="254" spans="1:15" x14ac:dyDescent="0.25">
      <c r="A254" s="82" t="s">
        <v>44</v>
      </c>
      <c r="B254" s="1" t="str">
        <f>VLOOKUP(A254,Data[],2,FALSE)</f>
        <v>MANHATTAN</v>
      </c>
      <c r="C254" s="9" t="s">
        <v>106</v>
      </c>
      <c r="D254" s="9">
        <f>VLOOKUP(IntComp[[#This Row],[DEVELOPMENT]],Data[],31,FALSE)</f>
        <v>12</v>
      </c>
      <c r="E254" s="9" t="str">
        <f>VLOOKUP(IntComp[[#This Row],[DEVELOPMENT]],Data[],8,FALSE)</f>
        <v>Zone 1</v>
      </c>
      <c r="F254" s="9" t="str">
        <f>VLOOKUP(IntComp[[#This Row],[DEVELOPMENT]],Data[],9,FALSE)</f>
        <v>$</v>
      </c>
      <c r="G254" s="9"/>
      <c r="H254" s="9" t="str">
        <f>IFERROR(VLOOKUP(IntComp[[#This Row],[DEVELOPMENT]],Data[],4,FALSE),"")</f>
        <v/>
      </c>
      <c r="I254" s="9" t="str">
        <f>IF(IntComp[[#This Row],[RAD/PACT]]="","",IF(IntComp[[#This Row],[RAD/PACT]]&lt;=2025,"Yes",""))</f>
        <v/>
      </c>
      <c r="J254" s="1" t="str">
        <f ca="1">IF(VLOOKUP(IntComp[[#This Row],[DEVELOPMENT]],Data[],10,FALSE)=0,"",DATEDIF(VLOOKUP(IntComp[[#This Row],[DEVELOPMENT]],Data[],12,FALSE),TODAY(),"Y"))</f>
        <v/>
      </c>
      <c r="K254" s="1">
        <f>IF(IntComp[[#This Row],[RAD/PACT]]="",VLOOKUP(IntComp[[#This Row],[DEVELOPMENT]],Data[],10,FALSE),IF(IntComp[[#This Row],[RAD/PACT by 2025]]="yes",0,VLOOKUP(IntComp[[#This Row],[DEVELOPMENT]],Data[],10,FALSE)))</f>
        <v>0</v>
      </c>
      <c r="L254" s="63">
        <f ca="1">IF(IntComp[[#This Row],[RAD/PACT by 2025]]="Yes",0,(IntComp[[#This Row],['# Int. Compactors to Replace]]*'Unit Costs'!$B$8)*(1+((IntComp[[#This Row],[est. Year]]-YEAR(TODAY()))*$L$2)))</f>
        <v>883840.73399999982</v>
      </c>
      <c r="M254" s="1">
        <f>SUM(INDEX(IntComp['# to Replace],1):IntComp[[#This Row],['# to Replace]])</f>
        <v>0</v>
      </c>
      <c r="N254" s="1">
        <f>ROUNDDOWN(IntComp[[#This Row],[Count]]/100,0)+$N$1</f>
        <v>2020</v>
      </c>
      <c r="O254" s="81">
        <f t="shared" ca="1" si="3"/>
        <v>122190981.47550008</v>
      </c>
    </row>
    <row r="255" spans="1:15" x14ac:dyDescent="0.25">
      <c r="A255" s="13" t="s">
        <v>313</v>
      </c>
      <c r="B255" s="9" t="str">
        <f>VLOOKUP(A255,Data[],2,FALSE)</f>
        <v>BRONX</v>
      </c>
      <c r="C255" s="9" t="s">
        <v>106</v>
      </c>
      <c r="D255" s="9">
        <f>VLOOKUP(IntComp[[#This Row],[DEVELOPMENT]],Data[],31,FALSE)</f>
        <v>0</v>
      </c>
      <c r="E255" s="66">
        <f>VLOOKUP(IntComp[[#This Row],[DEVELOPMENT]],Data[],8,FALSE)</f>
        <v>0</v>
      </c>
      <c r="F255" s="66">
        <f>VLOOKUP(IntComp[[#This Row],[DEVELOPMENT]],Data[],9,FALSE)</f>
        <v>0</v>
      </c>
      <c r="G255" s="66"/>
      <c r="H255" s="66" t="str">
        <f>IFERROR(VLOOKUP(IntComp[[#This Row],[DEVELOPMENT]],Data[],4,FALSE),"")</f>
        <v/>
      </c>
      <c r="I255" s="66" t="str">
        <f>IF(IntComp[[#This Row],[RAD/PACT]]="","",IF(IntComp[[#This Row],[RAD/PACT]]&lt;=2025,"Yes",""))</f>
        <v/>
      </c>
      <c r="J255" s="67" t="str">
        <f ca="1">IF(VLOOKUP(IntComp[[#This Row],[DEVELOPMENT]],Data[],10,FALSE)=0,"",DATEDIF(VLOOKUP(IntComp[[#This Row],[DEVELOPMENT]],Data[],12,FALSE),TODAY(),"Y"))</f>
        <v/>
      </c>
      <c r="K255" s="67">
        <f>IF(IntComp[[#This Row],[RAD/PACT]]="",VLOOKUP(IntComp[[#This Row],[DEVELOPMENT]],Data[],10,FALSE),IF(IntComp[[#This Row],[RAD/PACT by 2025]]="yes",0,VLOOKUP(IntComp[[#This Row],[DEVELOPMENT]],Data[],10,FALSE)))</f>
        <v>0</v>
      </c>
      <c r="L255" s="63">
        <f ca="1">IF(IntComp[[#This Row],[RAD/PACT by 2025]]="Yes",0,(IntComp[[#This Row],['# Int. Compactors to Replace]]*'Unit Costs'!$B$8)*(1+((IntComp[[#This Row],[est. Year]]-YEAR(TODAY()))*$L$2)))</f>
        <v>0</v>
      </c>
      <c r="M255" s="67">
        <f>SUM(INDEX(IntComp['# to Replace],1):IntComp[[#This Row],['# to Replace]])</f>
        <v>0</v>
      </c>
      <c r="N255" s="67">
        <f>ROUNDDOWN(IntComp[[#This Row],[Count]]/100,0)+$N$1</f>
        <v>2020</v>
      </c>
      <c r="O255" s="86">
        <f t="shared" ca="1" si="3"/>
        <v>122190981.47550008</v>
      </c>
    </row>
    <row r="256" spans="1:15" x14ac:dyDescent="0.25">
      <c r="A256" s="13" t="s">
        <v>314</v>
      </c>
      <c r="B256" s="9" t="str">
        <f>VLOOKUP(A256,Data[],2,FALSE)</f>
        <v>BRONX</v>
      </c>
      <c r="C256" s="9" t="s">
        <v>106</v>
      </c>
      <c r="D256" s="9">
        <f>VLOOKUP(IntComp[[#This Row],[DEVELOPMENT]],Data[],31,FALSE)</f>
        <v>22</v>
      </c>
      <c r="E256" s="66">
        <f>VLOOKUP(IntComp[[#This Row],[DEVELOPMENT]],Data[],8,FALSE)</f>
        <v>0</v>
      </c>
      <c r="F256" s="66">
        <f>VLOOKUP(IntComp[[#This Row],[DEVELOPMENT]],Data[],9,FALSE)</f>
        <v>0</v>
      </c>
      <c r="G256" s="66"/>
      <c r="H256" s="66">
        <f>IFERROR(VLOOKUP(IntComp[[#This Row],[DEVELOPMENT]],Data[],4,FALSE),"")</f>
        <v>2023</v>
      </c>
      <c r="I256" s="66" t="str">
        <f>IF(IntComp[[#This Row],[RAD/PACT]]="","",IF(IntComp[[#This Row],[RAD/PACT]]&lt;=2025,"Yes",""))</f>
        <v>Yes</v>
      </c>
      <c r="J256" s="67" t="str">
        <f ca="1">IF(VLOOKUP(IntComp[[#This Row],[DEVELOPMENT]],Data[],10,FALSE)=0,"",DATEDIF(VLOOKUP(IntComp[[#This Row],[DEVELOPMENT]],Data[],12,FALSE),TODAY(),"Y"))</f>
        <v/>
      </c>
      <c r="K256" s="67">
        <f>IF(IntComp[[#This Row],[RAD/PACT]]="",VLOOKUP(IntComp[[#This Row],[DEVELOPMENT]],Data[],10,FALSE),IF(IntComp[[#This Row],[RAD/PACT by 2025]]="yes",0,VLOOKUP(IntComp[[#This Row],[DEVELOPMENT]],Data[],10,FALSE)))</f>
        <v>0</v>
      </c>
      <c r="L256" s="63">
        <f ca="1">IF(IntComp[[#This Row],[RAD/PACT by 2025]]="Yes",0,(IntComp[[#This Row],['# Int. Compactors to Replace]]*'Unit Costs'!$B$8)*(1+((IntComp[[#This Row],[est. Year]]-YEAR(TODAY()))*$L$2)))</f>
        <v>0</v>
      </c>
      <c r="M256" s="67">
        <f>SUM(INDEX(IntComp['# to Replace],1):IntComp[[#This Row],['# to Replace]])</f>
        <v>0</v>
      </c>
      <c r="N256" s="67">
        <f>ROUNDDOWN(IntComp[[#This Row],[Count]]/100,0)+$N$1</f>
        <v>2020</v>
      </c>
      <c r="O256" s="86">
        <f t="shared" ca="1" si="3"/>
        <v>122190981.47550008</v>
      </c>
    </row>
    <row r="257" spans="1:15" x14ac:dyDescent="0.25">
      <c r="A257" s="13" t="s">
        <v>315</v>
      </c>
      <c r="B257" s="9" t="str">
        <f>VLOOKUP(A257,Data[],2,FALSE)</f>
        <v>STATEN ISLAND</v>
      </c>
      <c r="C257" s="9" t="s">
        <v>106</v>
      </c>
      <c r="D257" s="9">
        <f>VLOOKUP(IntComp[[#This Row],[DEVELOPMENT]],Data[],31,FALSE)</f>
        <v>15</v>
      </c>
      <c r="E257" s="66">
        <f>VLOOKUP(IntComp[[#This Row],[DEVELOPMENT]],Data[],8,FALSE)</f>
        <v>0</v>
      </c>
      <c r="F257" s="66">
        <f>VLOOKUP(IntComp[[#This Row],[DEVELOPMENT]],Data[],9,FALSE)</f>
        <v>0</v>
      </c>
      <c r="G257" s="66"/>
      <c r="H257" s="66" t="str">
        <f>IFERROR(VLOOKUP(IntComp[[#This Row],[DEVELOPMENT]],Data[],4,FALSE),"")</f>
        <v/>
      </c>
      <c r="I257" s="66" t="str">
        <f>IF(IntComp[[#This Row],[RAD/PACT]]="","",IF(IntComp[[#This Row],[RAD/PACT]]&lt;=2025,"Yes",""))</f>
        <v/>
      </c>
      <c r="J257" s="67" t="str">
        <f ca="1">IF(VLOOKUP(IntComp[[#This Row],[DEVELOPMENT]],Data[],10,FALSE)=0,"",DATEDIF(VLOOKUP(IntComp[[#This Row],[DEVELOPMENT]],Data[],12,FALSE),TODAY(),"Y"))</f>
        <v/>
      </c>
      <c r="K257" s="67">
        <f>IF(IntComp[[#This Row],[RAD/PACT]]="",VLOOKUP(IntComp[[#This Row],[DEVELOPMENT]],Data[],10,FALSE),IF(IntComp[[#This Row],[RAD/PACT by 2025]]="yes",0,VLOOKUP(IntComp[[#This Row],[DEVELOPMENT]],Data[],10,FALSE)))</f>
        <v>0</v>
      </c>
      <c r="L257" s="63">
        <f ca="1">IF(IntComp[[#This Row],[RAD/PACT by 2025]]="Yes",0,(IntComp[[#This Row],['# Int. Compactors to Replace]]*'Unit Costs'!$B$8)*(1+((IntComp[[#This Row],[est. Year]]-YEAR(TODAY()))*$L$2)))</f>
        <v>1104800.9175</v>
      </c>
      <c r="M257" s="67">
        <f>SUM(INDEX(IntComp['# to Replace],1):IntComp[[#This Row],['# to Replace]])</f>
        <v>0</v>
      </c>
      <c r="N257" s="67">
        <f>ROUNDDOWN(IntComp[[#This Row],[Count]]/100,0)+$N$1</f>
        <v>2020</v>
      </c>
      <c r="O257" s="86">
        <f t="shared" ca="1" si="3"/>
        <v>123295782.39300008</v>
      </c>
    </row>
    <row r="258" spans="1:15" x14ac:dyDescent="0.25">
      <c r="A258" s="13" t="s">
        <v>96</v>
      </c>
      <c r="B258" s="1" t="str">
        <f>VLOOKUP(A258,Data[],2,FALSE)</f>
        <v>BRONX</v>
      </c>
      <c r="C258" s="9" t="s">
        <v>106</v>
      </c>
      <c r="D258" s="9">
        <f>VLOOKUP(IntComp[[#This Row],[DEVELOPMENT]],Data[],31,FALSE)</f>
        <v>0</v>
      </c>
      <c r="E258" s="9" t="str">
        <f>VLOOKUP(IntComp[[#This Row],[DEVELOPMENT]],Data[],8,FALSE)</f>
        <v>Zone 3</v>
      </c>
      <c r="F258" s="9" t="str">
        <f>VLOOKUP(IntComp[[#This Row],[DEVELOPMENT]],Data[],9,FALSE)</f>
        <v>$$</v>
      </c>
      <c r="G258" s="9"/>
      <c r="H258" s="9">
        <f>IFERROR(VLOOKUP(IntComp[[#This Row],[DEVELOPMENT]],Data[],4,FALSE),"")</f>
        <v>2026</v>
      </c>
      <c r="I258" s="9" t="str">
        <f>IF(IntComp[[#This Row],[RAD/PACT]]="","",IF(IntComp[[#This Row],[RAD/PACT]]&lt;=2025,"Yes",""))</f>
        <v/>
      </c>
      <c r="J258" s="1" t="str">
        <f ca="1">IF(VLOOKUP(IntComp[[#This Row],[DEVELOPMENT]],Data[],10,FALSE)=0,"",DATEDIF(VLOOKUP(IntComp[[#This Row],[DEVELOPMENT]],Data[],12,FALSE),TODAY(),"Y"))</f>
        <v/>
      </c>
      <c r="K258" s="1">
        <f>IF(IntComp[[#This Row],[RAD/PACT]]="",VLOOKUP(IntComp[[#This Row],[DEVELOPMENT]],Data[],10,FALSE),IF(IntComp[[#This Row],[RAD/PACT by 2025]]="yes",0,VLOOKUP(IntComp[[#This Row],[DEVELOPMENT]],Data[],10,FALSE)))</f>
        <v>0</v>
      </c>
      <c r="L258" s="63">
        <f ca="1">IF(IntComp[[#This Row],[RAD/PACT by 2025]]="Yes",0,(IntComp[[#This Row],['# Int. Compactors to Replace]]*'Unit Costs'!$B$8)*(1+((IntComp[[#This Row],[est. Year]]-YEAR(TODAY()))*$L$2)))</f>
        <v>0</v>
      </c>
      <c r="M258" s="1">
        <f>SUM(INDEX(IntComp['# to Replace],1):IntComp[[#This Row],['# to Replace]])</f>
        <v>0</v>
      </c>
      <c r="N258" s="1">
        <f>ROUNDDOWN(IntComp[[#This Row],[Count]]/100,0)+$N$1</f>
        <v>2020</v>
      </c>
      <c r="O258" s="81">
        <f t="shared" ca="1" si="3"/>
        <v>123295782.39300008</v>
      </c>
    </row>
    <row r="259" spans="1:15" x14ac:dyDescent="0.25">
      <c r="A259" s="13" t="s">
        <v>316</v>
      </c>
      <c r="B259" s="9" t="str">
        <f>VLOOKUP(A259,Data[],2,FALSE)</f>
        <v>QUEENS</v>
      </c>
      <c r="C259" s="9" t="s">
        <v>106</v>
      </c>
      <c r="D259" s="9">
        <f>VLOOKUP(IntComp[[#This Row],[DEVELOPMENT]],Data[],31,FALSE)</f>
        <v>33</v>
      </c>
      <c r="E259" s="66">
        <f>VLOOKUP(IntComp[[#This Row],[DEVELOPMENT]],Data[],8,FALSE)</f>
        <v>0</v>
      </c>
      <c r="F259" s="66">
        <f>VLOOKUP(IntComp[[#This Row],[DEVELOPMENT]],Data[],9,FALSE)</f>
        <v>0</v>
      </c>
      <c r="G259" s="66"/>
      <c r="H259" s="66">
        <f>IFERROR(VLOOKUP(IntComp[[#This Row],[DEVELOPMENT]],Data[],4,FALSE),"")</f>
        <v>2021</v>
      </c>
      <c r="I259" s="66" t="str">
        <f>IF(IntComp[[#This Row],[RAD/PACT]]="","",IF(IntComp[[#This Row],[RAD/PACT]]&lt;=2025,"Yes",""))</f>
        <v>Yes</v>
      </c>
      <c r="J259" s="67" t="str">
        <f ca="1">IF(VLOOKUP(IntComp[[#This Row],[DEVELOPMENT]],Data[],10,FALSE)=0,"",DATEDIF(VLOOKUP(IntComp[[#This Row],[DEVELOPMENT]],Data[],12,FALSE),TODAY(),"Y"))</f>
        <v/>
      </c>
      <c r="K259" s="67">
        <f>IF(IntComp[[#This Row],[RAD/PACT]]="",VLOOKUP(IntComp[[#This Row],[DEVELOPMENT]],Data[],10,FALSE),IF(IntComp[[#This Row],[RAD/PACT by 2025]]="yes",0,VLOOKUP(IntComp[[#This Row],[DEVELOPMENT]],Data[],10,FALSE)))</f>
        <v>0</v>
      </c>
      <c r="L259" s="63">
        <f ca="1">IF(IntComp[[#This Row],[RAD/PACT by 2025]]="Yes",0,(IntComp[[#This Row],['# Int. Compactors to Replace]]*'Unit Costs'!$B$8)*(1+((IntComp[[#This Row],[est. Year]]-YEAR(TODAY()))*$L$2)))</f>
        <v>0</v>
      </c>
      <c r="M259" s="67">
        <f>SUM(INDEX(IntComp['# to Replace],1):IntComp[[#This Row],['# to Replace]])</f>
        <v>0</v>
      </c>
      <c r="N259" s="67">
        <f>ROUNDDOWN(IntComp[[#This Row],[Count]]/100,0)+$N$1</f>
        <v>2020</v>
      </c>
      <c r="O259" s="86">
        <f t="shared" ca="1" si="3"/>
        <v>123295782.39300008</v>
      </c>
    </row>
    <row r="260" spans="1:15" x14ac:dyDescent="0.25">
      <c r="A260" s="13" t="s">
        <v>317</v>
      </c>
      <c r="B260" s="9" t="str">
        <f>VLOOKUP(A260,Data[],2,FALSE)</f>
        <v>QUEENS</v>
      </c>
      <c r="C260" s="9" t="s">
        <v>106</v>
      </c>
      <c r="D260" s="9">
        <f>VLOOKUP(IntComp[[#This Row],[DEVELOPMENT]],Data[],31,FALSE)</f>
        <v>27</v>
      </c>
      <c r="E260" s="66">
        <f>VLOOKUP(IntComp[[#This Row],[DEVELOPMENT]],Data[],8,FALSE)</f>
        <v>0</v>
      </c>
      <c r="F260" s="66">
        <f>VLOOKUP(IntComp[[#This Row],[DEVELOPMENT]],Data[],9,FALSE)</f>
        <v>0</v>
      </c>
      <c r="G260" s="66"/>
      <c r="H260" s="66">
        <f>IFERROR(VLOOKUP(IntComp[[#This Row],[DEVELOPMENT]],Data[],4,FALSE),"")</f>
        <v>2021</v>
      </c>
      <c r="I260" s="66" t="str">
        <f>IF(IntComp[[#This Row],[RAD/PACT]]="","",IF(IntComp[[#This Row],[RAD/PACT]]&lt;=2025,"Yes",""))</f>
        <v>Yes</v>
      </c>
      <c r="J260" s="67" t="str">
        <f ca="1">IF(VLOOKUP(IntComp[[#This Row],[DEVELOPMENT]],Data[],10,FALSE)=0,"",DATEDIF(VLOOKUP(IntComp[[#This Row],[DEVELOPMENT]],Data[],12,FALSE),TODAY(),"Y"))</f>
        <v/>
      </c>
      <c r="K260" s="67">
        <f>IF(IntComp[[#This Row],[RAD/PACT]]="",VLOOKUP(IntComp[[#This Row],[DEVELOPMENT]],Data[],10,FALSE),IF(IntComp[[#This Row],[RAD/PACT by 2025]]="yes",0,VLOOKUP(IntComp[[#This Row],[DEVELOPMENT]],Data[],10,FALSE)))</f>
        <v>0</v>
      </c>
      <c r="L260" s="63">
        <f ca="1">IF(IntComp[[#This Row],[RAD/PACT by 2025]]="Yes",0,(IntComp[[#This Row],['# Int. Compactors to Replace]]*'Unit Costs'!$B$8)*(1+((IntComp[[#This Row],[est. Year]]-YEAR(TODAY()))*$L$2)))</f>
        <v>0</v>
      </c>
      <c r="M260" s="67">
        <f>SUM(INDEX(IntComp['# to Replace],1):IntComp[[#This Row],['# to Replace]])</f>
        <v>0</v>
      </c>
      <c r="N260" s="67">
        <f>ROUNDDOWN(IntComp[[#This Row],[Count]]/100,0)+$N$1</f>
        <v>2020</v>
      </c>
      <c r="O260" s="86">
        <f t="shared" ref="O260:O323" ca="1" si="4">IF(N260=N259,L260+O259,L260)</f>
        <v>123295782.39300008</v>
      </c>
    </row>
    <row r="261" spans="1:15" x14ac:dyDescent="0.25">
      <c r="A261" s="13" t="s">
        <v>318</v>
      </c>
      <c r="B261" s="9" t="str">
        <f>VLOOKUP(A261,Data[],2,FALSE)</f>
        <v>MANHATTAN</v>
      </c>
      <c r="C261" s="9" t="s">
        <v>106</v>
      </c>
      <c r="D261" s="9">
        <f>VLOOKUP(IntComp[[#This Row],[DEVELOPMENT]],Data[],31,FALSE)</f>
        <v>1</v>
      </c>
      <c r="E261" s="66">
        <f>VLOOKUP(IntComp[[#This Row],[DEVELOPMENT]],Data[],8,FALSE)</f>
        <v>0</v>
      </c>
      <c r="F261" s="66">
        <f>VLOOKUP(IntComp[[#This Row],[DEVELOPMENT]],Data[],9,FALSE)</f>
        <v>0</v>
      </c>
      <c r="G261" s="66"/>
      <c r="H261" s="66" t="str">
        <f>IFERROR(VLOOKUP(IntComp[[#This Row],[DEVELOPMENT]],Data[],4,FALSE),"")</f>
        <v/>
      </c>
      <c r="I261" s="66" t="str">
        <f>IF(IntComp[[#This Row],[RAD/PACT]]="","",IF(IntComp[[#This Row],[RAD/PACT]]&lt;=2025,"Yes",""))</f>
        <v/>
      </c>
      <c r="J261" s="67" t="str">
        <f ca="1">IF(VLOOKUP(IntComp[[#This Row],[DEVELOPMENT]],Data[],10,FALSE)=0,"",DATEDIF(VLOOKUP(IntComp[[#This Row],[DEVELOPMENT]],Data[],12,FALSE),TODAY(),"Y"))</f>
        <v/>
      </c>
      <c r="K261" s="67">
        <f>IF(IntComp[[#This Row],[RAD/PACT]]="",VLOOKUP(IntComp[[#This Row],[DEVELOPMENT]],Data[],10,FALSE),IF(IntComp[[#This Row],[RAD/PACT by 2025]]="yes",0,VLOOKUP(IntComp[[#This Row],[DEVELOPMENT]],Data[],10,FALSE)))</f>
        <v>0</v>
      </c>
      <c r="L261" s="63">
        <f ca="1">IF(IntComp[[#This Row],[RAD/PACT by 2025]]="Yes",0,(IntComp[[#This Row],['# Int. Compactors to Replace]]*'Unit Costs'!$B$8)*(1+((IntComp[[#This Row],[est. Year]]-YEAR(TODAY()))*$L$2)))</f>
        <v>73653.394499999995</v>
      </c>
      <c r="M261" s="67">
        <f>SUM(INDEX(IntComp['# to Replace],1):IntComp[[#This Row],['# to Replace]])</f>
        <v>0</v>
      </c>
      <c r="N261" s="67">
        <f>ROUNDDOWN(IntComp[[#This Row],[Count]]/100,0)+$N$1</f>
        <v>2020</v>
      </c>
      <c r="O261" s="86">
        <f t="shared" ca="1" si="4"/>
        <v>123369435.78750008</v>
      </c>
    </row>
    <row r="262" spans="1:15" x14ac:dyDescent="0.25">
      <c r="A262" s="13" t="s">
        <v>319</v>
      </c>
      <c r="B262" s="9" t="str">
        <f>VLOOKUP(A262,Data[],2,FALSE)</f>
        <v>STATEN ISLAND</v>
      </c>
      <c r="C262" s="9" t="s">
        <v>106</v>
      </c>
      <c r="D262" s="9">
        <f>VLOOKUP(IntComp[[#This Row],[DEVELOPMENT]],Data[],31,FALSE)</f>
        <v>12</v>
      </c>
      <c r="E262" s="66">
        <f>VLOOKUP(IntComp[[#This Row],[DEVELOPMENT]],Data[],8,FALSE)</f>
        <v>0</v>
      </c>
      <c r="F262" s="66">
        <f>VLOOKUP(IntComp[[#This Row],[DEVELOPMENT]],Data[],9,FALSE)</f>
        <v>0</v>
      </c>
      <c r="G262" s="66"/>
      <c r="H262" s="66" t="str">
        <f>IFERROR(VLOOKUP(IntComp[[#This Row],[DEVELOPMENT]],Data[],4,FALSE),"")</f>
        <v/>
      </c>
      <c r="I262" s="66" t="str">
        <f>IF(IntComp[[#This Row],[RAD/PACT]]="","",IF(IntComp[[#This Row],[RAD/PACT]]&lt;=2025,"Yes",""))</f>
        <v/>
      </c>
      <c r="J262" s="67" t="str">
        <f ca="1">IF(VLOOKUP(IntComp[[#This Row],[DEVELOPMENT]],Data[],10,FALSE)=0,"",DATEDIF(VLOOKUP(IntComp[[#This Row],[DEVELOPMENT]],Data[],12,FALSE),TODAY(),"Y"))</f>
        <v/>
      </c>
      <c r="K262" s="67">
        <f>IF(IntComp[[#This Row],[RAD/PACT]]="",VLOOKUP(IntComp[[#This Row],[DEVELOPMENT]],Data[],10,FALSE),IF(IntComp[[#This Row],[RAD/PACT by 2025]]="yes",0,VLOOKUP(IntComp[[#This Row],[DEVELOPMENT]],Data[],10,FALSE)))</f>
        <v>0</v>
      </c>
      <c r="L262" s="63">
        <f ca="1">IF(IntComp[[#This Row],[RAD/PACT by 2025]]="Yes",0,(IntComp[[#This Row],['# Int. Compactors to Replace]]*'Unit Costs'!$B$8)*(1+((IntComp[[#This Row],[est. Year]]-YEAR(TODAY()))*$L$2)))</f>
        <v>883840.73399999982</v>
      </c>
      <c r="M262" s="67">
        <f>SUM(INDEX(IntComp['# to Replace],1):IntComp[[#This Row],['# to Replace]])</f>
        <v>0</v>
      </c>
      <c r="N262" s="67">
        <f>ROUNDDOWN(IntComp[[#This Row],[Count]]/100,0)+$N$1</f>
        <v>2020</v>
      </c>
      <c r="O262" s="86">
        <f t="shared" ca="1" si="4"/>
        <v>124253276.52150008</v>
      </c>
    </row>
    <row r="263" spans="1:15" x14ac:dyDescent="0.25">
      <c r="A263" s="13" t="s">
        <v>97</v>
      </c>
      <c r="B263" s="1" t="str">
        <f>VLOOKUP(A263,Data[],2,FALSE)</f>
        <v>BRONX</v>
      </c>
      <c r="C263" s="9" t="s">
        <v>106</v>
      </c>
      <c r="D263" s="9">
        <f>VLOOKUP(IntComp[[#This Row],[DEVELOPMENT]],Data[],31,FALSE)</f>
        <v>0</v>
      </c>
      <c r="E263" s="9" t="str">
        <f>VLOOKUP(IntComp[[#This Row],[DEVELOPMENT]],Data[],8,FALSE)</f>
        <v>Zone 3</v>
      </c>
      <c r="F263" s="9" t="str">
        <f>VLOOKUP(IntComp[[#This Row],[DEVELOPMENT]],Data[],9,FALSE)</f>
        <v>$$$</v>
      </c>
      <c r="G263" s="9"/>
      <c r="H263" s="9">
        <f>IFERROR(VLOOKUP(IntComp[[#This Row],[DEVELOPMENT]],Data[],4,FALSE),"")</f>
        <v>2026</v>
      </c>
      <c r="I263" s="9" t="str">
        <f>IF(IntComp[[#This Row],[RAD/PACT]]="","",IF(IntComp[[#This Row],[RAD/PACT]]&lt;=2025,"Yes",""))</f>
        <v/>
      </c>
      <c r="J263" s="1" t="str">
        <f ca="1">IF(VLOOKUP(IntComp[[#This Row],[DEVELOPMENT]],Data[],10,FALSE)=0,"",DATEDIF(VLOOKUP(IntComp[[#This Row],[DEVELOPMENT]],Data[],12,FALSE),TODAY(),"Y"))</f>
        <v/>
      </c>
      <c r="K263" s="1">
        <f>IF(IntComp[[#This Row],[RAD/PACT]]="",VLOOKUP(IntComp[[#This Row],[DEVELOPMENT]],Data[],10,FALSE),IF(IntComp[[#This Row],[RAD/PACT by 2025]]="yes",0,VLOOKUP(IntComp[[#This Row],[DEVELOPMENT]],Data[],10,FALSE)))</f>
        <v>0</v>
      </c>
      <c r="L263" s="63">
        <f ca="1">IF(IntComp[[#This Row],[RAD/PACT by 2025]]="Yes",0,(IntComp[[#This Row],['# Int. Compactors to Replace]]*'Unit Costs'!$B$8)*(1+((IntComp[[#This Row],[est. Year]]-YEAR(TODAY()))*$L$2)))</f>
        <v>0</v>
      </c>
      <c r="M263" s="1">
        <f>SUM(INDEX(IntComp['# to Replace],1):IntComp[[#This Row],['# to Replace]])</f>
        <v>0</v>
      </c>
      <c r="N263" s="1">
        <f>ROUNDDOWN(IntComp[[#This Row],[Count]]/100,0)+$N$1</f>
        <v>2020</v>
      </c>
      <c r="O263" s="81">
        <f t="shared" ca="1" si="4"/>
        <v>124253276.52150008</v>
      </c>
    </row>
    <row r="264" spans="1:15" x14ac:dyDescent="0.25">
      <c r="A264" s="13" t="s">
        <v>320</v>
      </c>
      <c r="B264" s="9" t="str">
        <f>VLOOKUP(A264,Data[],2,FALSE)</f>
        <v>BROOKLYN</v>
      </c>
      <c r="C264" s="9" t="s">
        <v>106</v>
      </c>
      <c r="D264" s="9">
        <f>VLOOKUP(IntComp[[#This Row],[DEVELOPMENT]],Data[],31,FALSE)</f>
        <v>5</v>
      </c>
      <c r="E264" s="66">
        <f>VLOOKUP(IntComp[[#This Row],[DEVELOPMENT]],Data[],8,FALSE)</f>
        <v>0</v>
      </c>
      <c r="F264" s="66">
        <f>VLOOKUP(IntComp[[#This Row],[DEVELOPMENT]],Data[],9,FALSE)</f>
        <v>0</v>
      </c>
      <c r="G264" s="66"/>
      <c r="H264" s="66">
        <f>IFERROR(VLOOKUP(IntComp[[#This Row],[DEVELOPMENT]],Data[],4,FALSE),"")</f>
        <v>2025</v>
      </c>
      <c r="I264" s="66" t="str">
        <f>IF(IntComp[[#This Row],[RAD/PACT]]="","",IF(IntComp[[#This Row],[RAD/PACT]]&lt;=2025,"Yes",""))</f>
        <v>Yes</v>
      </c>
      <c r="J264" s="67" t="str">
        <f ca="1">IF(VLOOKUP(IntComp[[#This Row],[DEVELOPMENT]],Data[],10,FALSE)=0,"",DATEDIF(VLOOKUP(IntComp[[#This Row],[DEVELOPMENT]],Data[],12,FALSE),TODAY(),"Y"))</f>
        <v/>
      </c>
      <c r="K264" s="67">
        <f>IF(IntComp[[#This Row],[RAD/PACT]]="",VLOOKUP(IntComp[[#This Row],[DEVELOPMENT]],Data[],10,FALSE),IF(IntComp[[#This Row],[RAD/PACT by 2025]]="yes",0,VLOOKUP(IntComp[[#This Row],[DEVELOPMENT]],Data[],10,FALSE)))</f>
        <v>0</v>
      </c>
      <c r="L264" s="63">
        <f ca="1">IF(IntComp[[#This Row],[RAD/PACT by 2025]]="Yes",0,(IntComp[[#This Row],['# Int. Compactors to Replace]]*'Unit Costs'!$B$8)*(1+((IntComp[[#This Row],[est. Year]]-YEAR(TODAY()))*$L$2)))</f>
        <v>0</v>
      </c>
      <c r="M264" s="67">
        <f>SUM(INDEX(IntComp['# to Replace],1):IntComp[[#This Row],['# to Replace]])</f>
        <v>0</v>
      </c>
      <c r="N264" s="67">
        <f>ROUNDDOWN(IntComp[[#This Row],[Count]]/100,0)+$N$1</f>
        <v>2020</v>
      </c>
      <c r="O264" s="86">
        <f t="shared" ca="1" si="4"/>
        <v>124253276.52150008</v>
      </c>
    </row>
    <row r="265" spans="1:15" x14ac:dyDescent="0.25">
      <c r="A265" s="13" t="s">
        <v>321</v>
      </c>
      <c r="B265" s="9" t="str">
        <f>VLOOKUP(A265,Data[],2,FALSE)</f>
        <v>BROOKLYN</v>
      </c>
      <c r="C265" s="9" t="s">
        <v>106</v>
      </c>
      <c r="D265" s="9">
        <f>VLOOKUP(IntComp[[#This Row],[DEVELOPMENT]],Data[],31,FALSE)</f>
        <v>7</v>
      </c>
      <c r="E265" s="66">
        <f>VLOOKUP(IntComp[[#This Row],[DEVELOPMENT]],Data[],8,FALSE)</f>
        <v>0</v>
      </c>
      <c r="F265" s="66">
        <f>VLOOKUP(IntComp[[#This Row],[DEVELOPMENT]],Data[],9,FALSE)</f>
        <v>0</v>
      </c>
      <c r="G265" s="66"/>
      <c r="H265" s="66">
        <f>IFERROR(VLOOKUP(IntComp[[#This Row],[DEVELOPMENT]],Data[],4,FALSE),"")</f>
        <v>2025</v>
      </c>
      <c r="I265" s="66" t="str">
        <f>IF(IntComp[[#This Row],[RAD/PACT]]="","",IF(IntComp[[#This Row],[RAD/PACT]]&lt;=2025,"Yes",""))</f>
        <v>Yes</v>
      </c>
      <c r="J265" s="67" t="str">
        <f ca="1">IF(VLOOKUP(IntComp[[#This Row],[DEVELOPMENT]],Data[],10,FALSE)=0,"",DATEDIF(VLOOKUP(IntComp[[#This Row],[DEVELOPMENT]],Data[],12,FALSE),TODAY(),"Y"))</f>
        <v/>
      </c>
      <c r="K265" s="67">
        <f>IF(IntComp[[#This Row],[RAD/PACT]]="",VLOOKUP(IntComp[[#This Row],[DEVELOPMENT]],Data[],10,FALSE),IF(IntComp[[#This Row],[RAD/PACT by 2025]]="yes",0,VLOOKUP(IntComp[[#This Row],[DEVELOPMENT]],Data[],10,FALSE)))</f>
        <v>0</v>
      </c>
      <c r="L265" s="63">
        <f ca="1">IF(IntComp[[#This Row],[RAD/PACT by 2025]]="Yes",0,(IntComp[[#This Row],['# Int. Compactors to Replace]]*'Unit Costs'!$B$8)*(1+((IntComp[[#This Row],[est. Year]]-YEAR(TODAY()))*$L$2)))</f>
        <v>0</v>
      </c>
      <c r="M265" s="67">
        <f>SUM(INDEX(IntComp['# to Replace],1):IntComp[[#This Row],['# to Replace]])</f>
        <v>0</v>
      </c>
      <c r="N265" s="67">
        <f>ROUNDDOWN(IntComp[[#This Row],[Count]]/100,0)+$N$1</f>
        <v>2020</v>
      </c>
      <c r="O265" s="86">
        <f t="shared" ca="1" si="4"/>
        <v>124253276.52150008</v>
      </c>
    </row>
    <row r="266" spans="1:15" x14ac:dyDescent="0.25">
      <c r="A266" s="13" t="s">
        <v>322</v>
      </c>
      <c r="B266" s="9" t="str">
        <f>VLOOKUP(A266,Data[],2,FALSE)</f>
        <v>MANHATTAN</v>
      </c>
      <c r="C266" s="9" t="s">
        <v>106</v>
      </c>
      <c r="D266" s="9">
        <f>VLOOKUP(IntComp[[#This Row],[DEVELOPMENT]],Data[],31,FALSE)</f>
        <v>2</v>
      </c>
      <c r="E266" s="66">
        <f>VLOOKUP(IntComp[[#This Row],[DEVELOPMENT]],Data[],8,FALSE)</f>
        <v>0</v>
      </c>
      <c r="F266" s="66">
        <f>VLOOKUP(IntComp[[#This Row],[DEVELOPMENT]],Data[],9,FALSE)</f>
        <v>0</v>
      </c>
      <c r="G266" s="66"/>
      <c r="H266" s="66" t="str">
        <f>IFERROR(VLOOKUP(IntComp[[#This Row],[DEVELOPMENT]],Data[],4,FALSE),"")</f>
        <v/>
      </c>
      <c r="I266" s="66" t="str">
        <f>IF(IntComp[[#This Row],[RAD/PACT]]="","",IF(IntComp[[#This Row],[RAD/PACT]]&lt;=2025,"Yes",""))</f>
        <v/>
      </c>
      <c r="J266" s="67" t="str">
        <f ca="1">IF(VLOOKUP(IntComp[[#This Row],[DEVELOPMENT]],Data[],10,FALSE)=0,"",DATEDIF(VLOOKUP(IntComp[[#This Row],[DEVELOPMENT]],Data[],12,FALSE),TODAY(),"Y"))</f>
        <v/>
      </c>
      <c r="K266" s="67">
        <f>IF(IntComp[[#This Row],[RAD/PACT]]="",VLOOKUP(IntComp[[#This Row],[DEVELOPMENT]],Data[],10,FALSE),IF(IntComp[[#This Row],[RAD/PACT by 2025]]="yes",0,VLOOKUP(IntComp[[#This Row],[DEVELOPMENT]],Data[],10,FALSE)))</f>
        <v>0</v>
      </c>
      <c r="L266" s="63">
        <f ca="1">IF(IntComp[[#This Row],[RAD/PACT by 2025]]="Yes",0,(IntComp[[#This Row],['# Int. Compactors to Replace]]*'Unit Costs'!$B$8)*(1+((IntComp[[#This Row],[est. Year]]-YEAR(TODAY()))*$L$2)))</f>
        <v>147306.78899999999</v>
      </c>
      <c r="M266" s="67">
        <f>SUM(INDEX(IntComp['# to Replace],1):IntComp[[#This Row],['# to Replace]])</f>
        <v>0</v>
      </c>
      <c r="N266" s="67">
        <f>ROUNDDOWN(IntComp[[#This Row],[Count]]/100,0)+$N$1</f>
        <v>2020</v>
      </c>
      <c r="O266" s="86">
        <f t="shared" ca="1" si="4"/>
        <v>124400583.31050009</v>
      </c>
    </row>
    <row r="267" spans="1:15" x14ac:dyDescent="0.25">
      <c r="A267" s="13" t="s">
        <v>323</v>
      </c>
      <c r="B267" s="9" t="str">
        <f>VLOOKUP(A267,Data[],2,FALSE)</f>
        <v>BROOKLYN</v>
      </c>
      <c r="C267" s="9" t="s">
        <v>106</v>
      </c>
      <c r="D267" s="9">
        <f>VLOOKUP(IntComp[[#This Row],[DEVELOPMENT]],Data[],31,FALSE)</f>
        <v>11</v>
      </c>
      <c r="E267" s="66">
        <f>VLOOKUP(IntComp[[#This Row],[DEVELOPMENT]],Data[],8,FALSE)</f>
        <v>0</v>
      </c>
      <c r="F267" s="66">
        <f>VLOOKUP(IntComp[[#This Row],[DEVELOPMENT]],Data[],9,FALSE)</f>
        <v>0</v>
      </c>
      <c r="G267" s="66"/>
      <c r="H267" s="66" t="str">
        <f>IFERROR(VLOOKUP(IntComp[[#This Row],[DEVELOPMENT]],Data[],4,FALSE),"")</f>
        <v/>
      </c>
      <c r="I267" s="66" t="str">
        <f>IF(IntComp[[#This Row],[RAD/PACT]]="","",IF(IntComp[[#This Row],[RAD/PACT]]&lt;=2025,"Yes",""))</f>
        <v/>
      </c>
      <c r="J267" s="67" t="str">
        <f ca="1">IF(VLOOKUP(IntComp[[#This Row],[DEVELOPMENT]],Data[],10,FALSE)=0,"",DATEDIF(VLOOKUP(IntComp[[#This Row],[DEVELOPMENT]],Data[],12,FALSE),TODAY(),"Y"))</f>
        <v/>
      </c>
      <c r="K267" s="67">
        <f>IF(IntComp[[#This Row],[RAD/PACT]]="",VLOOKUP(IntComp[[#This Row],[DEVELOPMENT]],Data[],10,FALSE),IF(IntComp[[#This Row],[RAD/PACT by 2025]]="yes",0,VLOOKUP(IntComp[[#This Row],[DEVELOPMENT]],Data[],10,FALSE)))</f>
        <v>0</v>
      </c>
      <c r="L267" s="63">
        <f ca="1">IF(IntComp[[#This Row],[RAD/PACT by 2025]]="Yes",0,(IntComp[[#This Row],['# Int. Compactors to Replace]]*'Unit Costs'!$B$8)*(1+((IntComp[[#This Row],[est. Year]]-YEAR(TODAY()))*$L$2)))</f>
        <v>810187.33949999989</v>
      </c>
      <c r="M267" s="67">
        <f>SUM(INDEX(IntComp['# to Replace],1):IntComp[[#This Row],['# to Replace]])</f>
        <v>0</v>
      </c>
      <c r="N267" s="67">
        <f>ROUNDDOWN(IntComp[[#This Row],[Count]]/100,0)+$N$1</f>
        <v>2020</v>
      </c>
      <c r="O267" s="86">
        <f t="shared" ca="1" si="4"/>
        <v>125210770.65000008</v>
      </c>
    </row>
    <row r="268" spans="1:15" x14ac:dyDescent="0.25">
      <c r="A268" s="13" t="s">
        <v>324</v>
      </c>
      <c r="B268" s="9" t="str">
        <f>VLOOKUP(A268,Data[],2,FALSE)</f>
        <v>BROOKLYN</v>
      </c>
      <c r="C268" s="9" t="s">
        <v>106</v>
      </c>
      <c r="D268" s="9">
        <f>VLOOKUP(IntComp[[#This Row],[DEVELOPMENT]],Data[],31,FALSE)</f>
        <v>1</v>
      </c>
      <c r="E268" s="66">
        <f>VLOOKUP(IntComp[[#This Row],[DEVELOPMENT]],Data[],8,FALSE)</f>
        <v>0</v>
      </c>
      <c r="F268" s="66">
        <f>VLOOKUP(IntComp[[#This Row],[DEVELOPMENT]],Data[],9,FALSE)</f>
        <v>0</v>
      </c>
      <c r="G268" s="66"/>
      <c r="H268" s="66" t="str">
        <f>IFERROR(VLOOKUP(IntComp[[#This Row],[DEVELOPMENT]],Data[],4,FALSE),"")</f>
        <v/>
      </c>
      <c r="I268" s="66" t="str">
        <f>IF(IntComp[[#This Row],[RAD/PACT]]="","",IF(IntComp[[#This Row],[RAD/PACT]]&lt;=2025,"Yes",""))</f>
        <v/>
      </c>
      <c r="J268" s="67" t="str">
        <f ca="1">IF(VLOOKUP(IntComp[[#This Row],[DEVELOPMENT]],Data[],10,FALSE)=0,"",DATEDIF(VLOOKUP(IntComp[[#This Row],[DEVELOPMENT]],Data[],12,FALSE),TODAY(),"Y"))</f>
        <v/>
      </c>
      <c r="K268" s="67">
        <f>IF(IntComp[[#This Row],[RAD/PACT]]="",VLOOKUP(IntComp[[#This Row],[DEVELOPMENT]],Data[],10,FALSE),IF(IntComp[[#This Row],[RAD/PACT by 2025]]="yes",0,VLOOKUP(IntComp[[#This Row],[DEVELOPMENT]],Data[],10,FALSE)))</f>
        <v>0</v>
      </c>
      <c r="L268" s="63">
        <f ca="1">IF(IntComp[[#This Row],[RAD/PACT by 2025]]="Yes",0,(IntComp[[#This Row],['# Int. Compactors to Replace]]*'Unit Costs'!$B$8)*(1+((IntComp[[#This Row],[est. Year]]-YEAR(TODAY()))*$L$2)))</f>
        <v>73653.394499999995</v>
      </c>
      <c r="M268" s="67">
        <f>SUM(INDEX(IntComp['# to Replace],1):IntComp[[#This Row],['# to Replace]])</f>
        <v>0</v>
      </c>
      <c r="N268" s="67">
        <f>ROUNDDOWN(IntComp[[#This Row],[Count]]/100,0)+$N$1</f>
        <v>2020</v>
      </c>
      <c r="O268" s="86">
        <f t="shared" ca="1" si="4"/>
        <v>125284424.04450008</v>
      </c>
    </row>
    <row r="269" spans="1:15" x14ac:dyDescent="0.25">
      <c r="A269" s="82" t="s">
        <v>45</v>
      </c>
      <c r="B269" s="1" t="str">
        <f>VLOOKUP(A269,Data[],2,FALSE)</f>
        <v>BROOKLYN</v>
      </c>
      <c r="C269" s="9" t="s">
        <v>106</v>
      </c>
      <c r="D269" s="9">
        <f>VLOOKUP(IntComp[[#This Row],[DEVELOPMENT]],Data[],31,FALSE)</f>
        <v>24</v>
      </c>
      <c r="E269" s="9" t="str">
        <f>VLOOKUP(IntComp[[#This Row],[DEVELOPMENT]],Data[],8,FALSE)</f>
        <v>Zone 1</v>
      </c>
      <c r="F269" s="9" t="str">
        <f>VLOOKUP(IntComp[[#This Row],[DEVELOPMENT]],Data[],9,FALSE)</f>
        <v>$</v>
      </c>
      <c r="G269" s="9"/>
      <c r="H269" s="9" t="str">
        <f>IFERROR(VLOOKUP(IntComp[[#This Row],[DEVELOPMENT]],Data[],4,FALSE),"")</f>
        <v/>
      </c>
      <c r="I269" s="9" t="str">
        <f>IF(IntComp[[#This Row],[RAD/PACT]]="","",IF(IntComp[[#This Row],[RAD/PACT]]&lt;=2025,"Yes",""))</f>
        <v/>
      </c>
      <c r="J269" s="1" t="str">
        <f ca="1">IF(VLOOKUP(IntComp[[#This Row],[DEVELOPMENT]],Data[],10,FALSE)=0,"",DATEDIF(VLOOKUP(IntComp[[#This Row],[DEVELOPMENT]],Data[],12,FALSE),TODAY(),"Y"))</f>
        <v/>
      </c>
      <c r="K269" s="1">
        <f>IF(IntComp[[#This Row],[RAD/PACT]]="",VLOOKUP(IntComp[[#This Row],[DEVELOPMENT]],Data[],10,FALSE),IF(IntComp[[#This Row],[RAD/PACT by 2025]]="yes",0,VLOOKUP(IntComp[[#This Row],[DEVELOPMENT]],Data[],10,FALSE)))</f>
        <v>0</v>
      </c>
      <c r="L269" s="63">
        <f ca="1">IF(IntComp[[#This Row],[RAD/PACT by 2025]]="Yes",0,(IntComp[[#This Row],['# Int. Compactors to Replace]]*'Unit Costs'!$B$8)*(1+((IntComp[[#This Row],[est. Year]]-YEAR(TODAY()))*$L$2)))</f>
        <v>1767681.4679999996</v>
      </c>
      <c r="M269" s="1">
        <f>SUM(INDEX(IntComp['# to Replace],1):IntComp[[#This Row],['# to Replace]])</f>
        <v>0</v>
      </c>
      <c r="N269" s="1">
        <f>ROUNDDOWN(IntComp[[#This Row],[Count]]/100,0)+$N$1</f>
        <v>2020</v>
      </c>
      <c r="O269" s="81">
        <f t="shared" ca="1" si="4"/>
        <v>127052105.51250008</v>
      </c>
    </row>
    <row r="270" spans="1:15" x14ac:dyDescent="0.25">
      <c r="A270" s="13" t="s">
        <v>325</v>
      </c>
      <c r="B270" s="9" t="str">
        <f>VLOOKUP(A270,Data[],2,FALSE)</f>
        <v>BROOKLYN</v>
      </c>
      <c r="C270" s="9" t="s">
        <v>106</v>
      </c>
      <c r="D270" s="9">
        <f>VLOOKUP(IntComp[[#This Row],[DEVELOPMENT]],Data[],31,FALSE)</f>
        <v>5</v>
      </c>
      <c r="E270" s="66">
        <f>VLOOKUP(IntComp[[#This Row],[DEVELOPMENT]],Data[],8,FALSE)</f>
        <v>0</v>
      </c>
      <c r="F270" s="66">
        <f>VLOOKUP(IntComp[[#This Row],[DEVELOPMENT]],Data[],9,FALSE)</f>
        <v>0</v>
      </c>
      <c r="G270" s="66"/>
      <c r="H270" s="66" t="str">
        <f>IFERROR(VLOOKUP(IntComp[[#This Row],[DEVELOPMENT]],Data[],4,FALSE),"")</f>
        <v/>
      </c>
      <c r="I270" s="66" t="str">
        <f>IF(IntComp[[#This Row],[RAD/PACT]]="","",IF(IntComp[[#This Row],[RAD/PACT]]&lt;=2025,"Yes",""))</f>
        <v/>
      </c>
      <c r="J270" s="67" t="str">
        <f ca="1">IF(VLOOKUP(IntComp[[#This Row],[DEVELOPMENT]],Data[],10,FALSE)=0,"",DATEDIF(VLOOKUP(IntComp[[#This Row],[DEVELOPMENT]],Data[],12,FALSE),TODAY(),"Y"))</f>
        <v/>
      </c>
      <c r="K270" s="67">
        <f>IF(IntComp[[#This Row],[RAD/PACT]]="",VLOOKUP(IntComp[[#This Row],[DEVELOPMENT]],Data[],10,FALSE),IF(IntComp[[#This Row],[RAD/PACT by 2025]]="yes",0,VLOOKUP(IntComp[[#This Row],[DEVELOPMENT]],Data[],10,FALSE)))</f>
        <v>0</v>
      </c>
      <c r="L270" s="63">
        <f ca="1">IF(IntComp[[#This Row],[RAD/PACT by 2025]]="Yes",0,(IntComp[[#This Row],['# Int. Compactors to Replace]]*'Unit Costs'!$B$8)*(1+((IntComp[[#This Row],[est. Year]]-YEAR(TODAY()))*$L$2)))</f>
        <v>368266.97249999997</v>
      </c>
      <c r="M270" s="67">
        <f>SUM(INDEX(IntComp['# to Replace],1):IntComp[[#This Row],['# to Replace]])</f>
        <v>0</v>
      </c>
      <c r="N270" s="67">
        <f>ROUNDDOWN(IntComp[[#This Row],[Count]]/100,0)+$N$1</f>
        <v>2020</v>
      </c>
      <c r="O270" s="86">
        <f t="shared" ca="1" si="4"/>
        <v>127420372.48500007</v>
      </c>
    </row>
    <row r="271" spans="1:15" x14ac:dyDescent="0.25">
      <c r="A271" s="13" t="s">
        <v>326</v>
      </c>
      <c r="B271" s="9" t="str">
        <f>VLOOKUP(A271,Data[],2,FALSE)</f>
        <v>BROOKLYN</v>
      </c>
      <c r="C271" s="9" t="s">
        <v>106</v>
      </c>
      <c r="D271" s="9">
        <f>VLOOKUP(IntComp[[#This Row],[DEVELOPMENT]],Data[],31,FALSE)</f>
        <v>5</v>
      </c>
      <c r="E271" s="66">
        <f>VLOOKUP(IntComp[[#This Row],[DEVELOPMENT]],Data[],8,FALSE)</f>
        <v>0</v>
      </c>
      <c r="F271" s="66">
        <f>VLOOKUP(IntComp[[#This Row],[DEVELOPMENT]],Data[],9,FALSE)</f>
        <v>0</v>
      </c>
      <c r="G271" s="66"/>
      <c r="H271" s="66">
        <f>IFERROR(VLOOKUP(IntComp[[#This Row],[DEVELOPMENT]],Data[],4,FALSE),"")</f>
        <v>2021</v>
      </c>
      <c r="I271" s="66" t="str">
        <f>IF(IntComp[[#This Row],[RAD/PACT]]="","",IF(IntComp[[#This Row],[RAD/PACT]]&lt;=2025,"Yes",""))</f>
        <v>Yes</v>
      </c>
      <c r="J271" s="67" t="str">
        <f ca="1">IF(VLOOKUP(IntComp[[#This Row],[DEVELOPMENT]],Data[],10,FALSE)=0,"",DATEDIF(VLOOKUP(IntComp[[#This Row],[DEVELOPMENT]],Data[],12,FALSE),TODAY(),"Y"))</f>
        <v/>
      </c>
      <c r="K271" s="67">
        <f>IF(IntComp[[#This Row],[RAD/PACT]]="",VLOOKUP(IntComp[[#This Row],[DEVELOPMENT]],Data[],10,FALSE),IF(IntComp[[#This Row],[RAD/PACT by 2025]]="yes",0,VLOOKUP(IntComp[[#This Row],[DEVELOPMENT]],Data[],10,FALSE)))</f>
        <v>0</v>
      </c>
      <c r="L271" s="63">
        <f ca="1">IF(IntComp[[#This Row],[RAD/PACT by 2025]]="Yes",0,(IntComp[[#This Row],['# Int. Compactors to Replace]]*'Unit Costs'!$B$8)*(1+((IntComp[[#This Row],[est. Year]]-YEAR(TODAY()))*$L$2)))</f>
        <v>0</v>
      </c>
      <c r="M271" s="67">
        <f>SUM(INDEX(IntComp['# to Replace],1):IntComp[[#This Row],['# to Replace]])</f>
        <v>0</v>
      </c>
      <c r="N271" s="67">
        <f>ROUNDDOWN(IntComp[[#This Row],[Count]]/100,0)+$N$1</f>
        <v>2020</v>
      </c>
      <c r="O271" s="86">
        <f t="shared" ca="1" si="4"/>
        <v>127420372.48500007</v>
      </c>
    </row>
    <row r="272" spans="1:15" x14ac:dyDescent="0.25">
      <c r="A272" s="13" t="s">
        <v>128</v>
      </c>
      <c r="B272" s="1" t="str">
        <f>VLOOKUP(A272,Data[],2,FALSE)</f>
        <v>MANHATTAN</v>
      </c>
      <c r="C272" s="9" t="s">
        <v>106</v>
      </c>
      <c r="D272" s="9">
        <f>VLOOKUP(IntComp[[#This Row],[DEVELOPMENT]],Data[],31,FALSE)</f>
        <v>11</v>
      </c>
      <c r="E272" s="9" t="str">
        <f>VLOOKUP(IntComp[[#This Row],[DEVELOPMENT]],Data[],8,FALSE)</f>
        <v>Zone 2</v>
      </c>
      <c r="F272" s="9" t="str">
        <f>VLOOKUP(IntComp[[#This Row],[DEVELOPMENT]],Data[],9,FALSE)</f>
        <v>$$$</v>
      </c>
      <c r="G272" s="9"/>
      <c r="H272" s="9" t="str">
        <f>IFERROR(VLOOKUP(IntComp[[#This Row],[DEVELOPMENT]],Data[],4,FALSE),"")</f>
        <v/>
      </c>
      <c r="I272" s="9" t="str">
        <f>IF(IntComp[[#This Row],[RAD/PACT]]="","",IF(IntComp[[#This Row],[RAD/PACT]]&lt;=2025,"Yes",""))</f>
        <v/>
      </c>
      <c r="J272" s="1" t="str">
        <f ca="1">IF(VLOOKUP(IntComp[[#This Row],[DEVELOPMENT]],Data[],10,FALSE)=0,"",DATEDIF(VLOOKUP(IntComp[[#This Row],[DEVELOPMENT]],Data[],12,FALSE),TODAY(),"Y"))</f>
        <v/>
      </c>
      <c r="K272" s="1">
        <f>IF(IntComp[[#This Row],[RAD/PACT]]="",VLOOKUP(IntComp[[#This Row],[DEVELOPMENT]],Data[],10,FALSE),IF(IntComp[[#This Row],[RAD/PACT by 2025]]="yes",0,VLOOKUP(IntComp[[#This Row],[DEVELOPMENT]],Data[],10,FALSE)))</f>
        <v>0</v>
      </c>
      <c r="L272" s="63">
        <f ca="1">IF(IntComp[[#This Row],[RAD/PACT by 2025]]="Yes",0,(IntComp[[#This Row],['# Int. Compactors to Replace]]*'Unit Costs'!$B$8)*(1+((IntComp[[#This Row],[est. Year]]-YEAR(TODAY()))*$L$2)))</f>
        <v>810187.33949999989</v>
      </c>
      <c r="M272" s="1">
        <f>SUM(INDEX(IntComp['# to Replace],1):IntComp[[#This Row],['# to Replace]])</f>
        <v>0</v>
      </c>
      <c r="N272" s="1">
        <f>ROUNDDOWN(IntComp[[#This Row],[Count]]/100,0)+$N$1</f>
        <v>2020</v>
      </c>
      <c r="O272" s="81">
        <f t="shared" ca="1" si="4"/>
        <v>128230559.82450007</v>
      </c>
    </row>
    <row r="273" spans="1:15" x14ac:dyDescent="0.25">
      <c r="A273" s="13" t="s">
        <v>327</v>
      </c>
      <c r="B273" s="9" t="str">
        <f>VLOOKUP(A273,Data[],2,FALSE)</f>
        <v>BROOKLYN</v>
      </c>
      <c r="C273" s="9" t="s">
        <v>106</v>
      </c>
      <c r="D273" s="9">
        <f>VLOOKUP(IntComp[[#This Row],[DEVELOPMENT]],Data[],31,FALSE)</f>
        <v>9</v>
      </c>
      <c r="E273" s="66">
        <f>VLOOKUP(IntComp[[#This Row],[DEVELOPMENT]],Data[],8,FALSE)</f>
        <v>0</v>
      </c>
      <c r="F273" s="66">
        <f>VLOOKUP(IntComp[[#This Row],[DEVELOPMENT]],Data[],9,FALSE)</f>
        <v>0</v>
      </c>
      <c r="G273" s="66"/>
      <c r="H273" s="66">
        <f>IFERROR(VLOOKUP(IntComp[[#This Row],[DEVELOPMENT]],Data[],4,FALSE),"")</f>
        <v>2021</v>
      </c>
      <c r="I273" s="66" t="str">
        <f>IF(IntComp[[#This Row],[RAD/PACT]]="","",IF(IntComp[[#This Row],[RAD/PACT]]&lt;=2025,"Yes",""))</f>
        <v>Yes</v>
      </c>
      <c r="J273" s="67" t="str">
        <f ca="1">IF(VLOOKUP(IntComp[[#This Row],[DEVELOPMENT]],Data[],10,FALSE)=0,"",DATEDIF(VLOOKUP(IntComp[[#This Row],[DEVELOPMENT]],Data[],12,FALSE),TODAY(),"Y"))</f>
        <v/>
      </c>
      <c r="K273" s="67">
        <f>IF(IntComp[[#This Row],[RAD/PACT]]="",VLOOKUP(IntComp[[#This Row],[DEVELOPMENT]],Data[],10,FALSE),IF(IntComp[[#This Row],[RAD/PACT by 2025]]="yes",0,VLOOKUP(IntComp[[#This Row],[DEVELOPMENT]],Data[],10,FALSE)))</f>
        <v>0</v>
      </c>
      <c r="L273" s="63">
        <f ca="1">IF(IntComp[[#This Row],[RAD/PACT by 2025]]="Yes",0,(IntComp[[#This Row],['# Int. Compactors to Replace]]*'Unit Costs'!$B$8)*(1+((IntComp[[#This Row],[est. Year]]-YEAR(TODAY()))*$L$2)))</f>
        <v>0</v>
      </c>
      <c r="M273" s="67">
        <f>SUM(INDEX(IntComp['# to Replace],1):IntComp[[#This Row],['# to Replace]])</f>
        <v>0</v>
      </c>
      <c r="N273" s="67">
        <f>ROUNDDOWN(IntComp[[#This Row],[Count]]/100,0)+$N$1</f>
        <v>2020</v>
      </c>
      <c r="O273" s="86">
        <f t="shared" ca="1" si="4"/>
        <v>128230559.82450007</v>
      </c>
    </row>
    <row r="274" spans="1:15" x14ac:dyDescent="0.25">
      <c r="A274" s="13" t="s">
        <v>328</v>
      </c>
      <c r="B274" s="9" t="str">
        <f>VLOOKUP(A274,Data[],2,FALSE)</f>
        <v>BROOKLYN</v>
      </c>
      <c r="C274" s="9" t="s">
        <v>106</v>
      </c>
      <c r="D274" s="9">
        <f>VLOOKUP(IntComp[[#This Row],[DEVELOPMENT]],Data[],31,FALSE)</f>
        <v>1</v>
      </c>
      <c r="E274" s="66">
        <f>VLOOKUP(IntComp[[#This Row],[DEVELOPMENT]],Data[],8,FALSE)</f>
        <v>0</v>
      </c>
      <c r="F274" s="66">
        <f>VLOOKUP(IntComp[[#This Row],[DEVELOPMENT]],Data[],9,FALSE)</f>
        <v>0</v>
      </c>
      <c r="G274" s="66"/>
      <c r="H274" s="66" t="str">
        <f>IFERROR(VLOOKUP(IntComp[[#This Row],[DEVELOPMENT]],Data[],4,FALSE),"")</f>
        <v/>
      </c>
      <c r="I274" s="66" t="str">
        <f>IF(IntComp[[#This Row],[RAD/PACT]]="","",IF(IntComp[[#This Row],[RAD/PACT]]&lt;=2025,"Yes",""))</f>
        <v/>
      </c>
      <c r="J274" s="67" t="str">
        <f ca="1">IF(VLOOKUP(IntComp[[#This Row],[DEVELOPMENT]],Data[],10,FALSE)=0,"",DATEDIF(VLOOKUP(IntComp[[#This Row],[DEVELOPMENT]],Data[],12,FALSE),TODAY(),"Y"))</f>
        <v/>
      </c>
      <c r="K274" s="67">
        <f>IF(IntComp[[#This Row],[RAD/PACT]]="",VLOOKUP(IntComp[[#This Row],[DEVELOPMENT]],Data[],10,FALSE),IF(IntComp[[#This Row],[RAD/PACT by 2025]]="yes",0,VLOOKUP(IntComp[[#This Row],[DEVELOPMENT]],Data[],10,FALSE)))</f>
        <v>0</v>
      </c>
      <c r="L274" s="63">
        <f ca="1">IF(IntComp[[#This Row],[RAD/PACT by 2025]]="Yes",0,(IntComp[[#This Row],['# Int. Compactors to Replace]]*'Unit Costs'!$B$8)*(1+((IntComp[[#This Row],[est. Year]]-YEAR(TODAY()))*$L$2)))</f>
        <v>73653.394499999995</v>
      </c>
      <c r="M274" s="67">
        <f>SUM(INDEX(IntComp['# to Replace],1):IntComp[[#This Row],['# to Replace]])</f>
        <v>0</v>
      </c>
      <c r="N274" s="67">
        <f>ROUNDDOWN(IntComp[[#This Row],[Count]]/100,0)+$N$1</f>
        <v>2020</v>
      </c>
      <c r="O274" s="86">
        <f t="shared" ca="1" si="4"/>
        <v>128304213.21900007</v>
      </c>
    </row>
    <row r="275" spans="1:15" x14ac:dyDescent="0.25">
      <c r="A275" s="82" t="s">
        <v>149</v>
      </c>
      <c r="B275" s="1" t="str">
        <f>VLOOKUP(A275,Data[],2,FALSE)</f>
        <v>BRONX</v>
      </c>
      <c r="C275" s="9" t="s">
        <v>106</v>
      </c>
      <c r="D275" s="9">
        <f>VLOOKUP(IntComp[[#This Row],[DEVELOPMENT]],Data[],31,FALSE)</f>
        <v>2</v>
      </c>
      <c r="E275" s="9" t="str">
        <f>VLOOKUP(IntComp[[#This Row],[DEVELOPMENT]],Data[],8,FALSE)</f>
        <v>Zone 1</v>
      </c>
      <c r="F275" s="9" t="str">
        <f>VLOOKUP(IntComp[[#This Row],[DEVELOPMENT]],Data[],9,FALSE)</f>
        <v>$</v>
      </c>
      <c r="G275" s="9"/>
      <c r="H275" s="9">
        <f>IFERROR(VLOOKUP(IntComp[[#This Row],[DEVELOPMENT]],Data[],4,FALSE),"")</f>
        <v>2025</v>
      </c>
      <c r="I275" s="9" t="str">
        <f>IF(IntComp[[#This Row],[RAD/PACT]]="","",IF(IntComp[[#This Row],[RAD/PACT]]&lt;=2025,"Yes",""))</f>
        <v>Yes</v>
      </c>
      <c r="J275" s="1" t="str">
        <f ca="1">IF(VLOOKUP(IntComp[[#This Row],[DEVELOPMENT]],Data[],10,FALSE)=0,"",DATEDIF(VLOOKUP(IntComp[[#This Row],[DEVELOPMENT]],Data[],12,FALSE),TODAY(),"Y"))</f>
        <v/>
      </c>
      <c r="K275" s="1">
        <f>IF(IntComp[[#This Row],[RAD/PACT]]="",VLOOKUP(IntComp[[#This Row],[DEVELOPMENT]],Data[],10,FALSE),IF(IntComp[[#This Row],[RAD/PACT by 2025]]="yes",0,VLOOKUP(IntComp[[#This Row],[DEVELOPMENT]],Data[],10,FALSE)))</f>
        <v>0</v>
      </c>
      <c r="L275" s="63">
        <f ca="1">IF(IntComp[[#This Row],[RAD/PACT by 2025]]="Yes",0,(IntComp[[#This Row],['# Int. Compactors to Replace]]*'Unit Costs'!$B$8)*(1+((IntComp[[#This Row],[est. Year]]-YEAR(TODAY()))*$L$2)))</f>
        <v>0</v>
      </c>
      <c r="M275" s="1">
        <f>SUM(INDEX(IntComp['# to Replace],1):IntComp[[#This Row],['# to Replace]])</f>
        <v>0</v>
      </c>
      <c r="N275" s="1">
        <f>ROUNDDOWN(IntComp[[#This Row],[Count]]/100,0)+$N$1</f>
        <v>2020</v>
      </c>
      <c r="O275" s="81">
        <f t="shared" ca="1" si="4"/>
        <v>128304213.21900007</v>
      </c>
    </row>
    <row r="276" spans="1:15" x14ac:dyDescent="0.25">
      <c r="A276" s="13" t="s">
        <v>329</v>
      </c>
      <c r="B276" s="9" t="str">
        <f>VLOOKUP(A276,Data[],2,FALSE)</f>
        <v>MANHATTAN</v>
      </c>
      <c r="C276" s="9" t="s">
        <v>106</v>
      </c>
      <c r="D276" s="9">
        <f>VLOOKUP(IntComp[[#This Row],[DEVELOPMENT]],Data[],31,FALSE)</f>
        <v>1</v>
      </c>
      <c r="E276" s="66" t="str">
        <f>VLOOKUP(IntComp[[#This Row],[DEVELOPMENT]],Data[],8,FALSE)</f>
        <v>Zone 4</v>
      </c>
      <c r="F276" s="66">
        <f>VLOOKUP(IntComp[[#This Row],[DEVELOPMENT]],Data[],9,FALSE)</f>
        <v>0</v>
      </c>
      <c r="G276" s="66"/>
      <c r="H276" s="66" t="str">
        <f>IFERROR(VLOOKUP(IntComp[[#This Row],[DEVELOPMENT]],Data[],4,FALSE),"")</f>
        <v/>
      </c>
      <c r="I276" s="66" t="str">
        <f>IF(IntComp[[#This Row],[RAD/PACT]]="","",IF(IntComp[[#This Row],[RAD/PACT]]&lt;=2025,"Yes",""))</f>
        <v/>
      </c>
      <c r="J276" s="67" t="str">
        <f ca="1">IF(VLOOKUP(IntComp[[#This Row],[DEVELOPMENT]],Data[],10,FALSE)=0,"",DATEDIF(VLOOKUP(IntComp[[#This Row],[DEVELOPMENT]],Data[],12,FALSE),TODAY(),"Y"))</f>
        <v/>
      </c>
      <c r="K276" s="67">
        <f>IF(IntComp[[#This Row],[RAD/PACT]]="",VLOOKUP(IntComp[[#This Row],[DEVELOPMENT]],Data[],10,FALSE),IF(IntComp[[#This Row],[RAD/PACT by 2025]]="yes",0,VLOOKUP(IntComp[[#This Row],[DEVELOPMENT]],Data[],10,FALSE)))</f>
        <v>0</v>
      </c>
      <c r="L276" s="63">
        <f ca="1">IF(IntComp[[#This Row],[RAD/PACT by 2025]]="Yes",0,(IntComp[[#This Row],['# Int. Compactors to Replace]]*'Unit Costs'!$B$8)*(1+((IntComp[[#This Row],[est. Year]]-YEAR(TODAY()))*$L$2)))</f>
        <v>73653.394499999995</v>
      </c>
      <c r="M276" s="67">
        <f>SUM(INDEX(IntComp['# to Replace],1):IntComp[[#This Row],['# to Replace]])</f>
        <v>0</v>
      </c>
      <c r="N276" s="67">
        <f>ROUNDDOWN(IntComp[[#This Row],[Count]]/100,0)+$N$1</f>
        <v>2020</v>
      </c>
      <c r="O276" s="86">
        <f t="shared" ca="1" si="4"/>
        <v>128377866.61350007</v>
      </c>
    </row>
    <row r="277" spans="1:15" x14ac:dyDescent="0.25">
      <c r="A277" s="13" t="s">
        <v>330</v>
      </c>
      <c r="B277" s="9" t="str">
        <f>VLOOKUP(A277,Data[],2,FALSE)</f>
        <v>BRONX</v>
      </c>
      <c r="C277" s="9" t="s">
        <v>106</v>
      </c>
      <c r="D277" s="9">
        <f>VLOOKUP(IntComp[[#This Row],[DEVELOPMENT]],Data[],31,FALSE)</f>
        <v>60</v>
      </c>
      <c r="E277" s="66">
        <f>VLOOKUP(IntComp[[#This Row],[DEVELOPMENT]],Data[],8,FALSE)</f>
        <v>0</v>
      </c>
      <c r="F277" s="66">
        <f>VLOOKUP(IntComp[[#This Row],[DEVELOPMENT]],Data[],9,FALSE)</f>
        <v>0</v>
      </c>
      <c r="G277" s="66"/>
      <c r="H277" s="66">
        <f>IFERROR(VLOOKUP(IntComp[[#This Row],[DEVELOPMENT]],Data[],4,FALSE),"")</f>
        <v>2022</v>
      </c>
      <c r="I277" s="66" t="str">
        <f>IF(IntComp[[#This Row],[RAD/PACT]]="","",IF(IntComp[[#This Row],[RAD/PACT]]&lt;=2025,"Yes",""))</f>
        <v>Yes</v>
      </c>
      <c r="J277" s="67" t="str">
        <f ca="1">IF(VLOOKUP(IntComp[[#This Row],[DEVELOPMENT]],Data[],10,FALSE)=0,"",DATEDIF(VLOOKUP(IntComp[[#This Row],[DEVELOPMENT]],Data[],12,FALSE),TODAY(),"Y"))</f>
        <v/>
      </c>
      <c r="K277" s="67">
        <f>IF(IntComp[[#This Row],[RAD/PACT]]="",VLOOKUP(IntComp[[#This Row],[DEVELOPMENT]],Data[],10,FALSE),IF(IntComp[[#This Row],[RAD/PACT by 2025]]="yes",0,VLOOKUP(IntComp[[#This Row],[DEVELOPMENT]],Data[],10,FALSE)))</f>
        <v>0</v>
      </c>
      <c r="L277" s="63">
        <f ca="1">IF(IntComp[[#This Row],[RAD/PACT by 2025]]="Yes",0,(IntComp[[#This Row],['# Int. Compactors to Replace]]*'Unit Costs'!$B$8)*(1+((IntComp[[#This Row],[est. Year]]-YEAR(TODAY()))*$L$2)))</f>
        <v>0</v>
      </c>
      <c r="M277" s="67">
        <f>SUM(INDEX(IntComp['# to Replace],1):IntComp[[#This Row],['# to Replace]])</f>
        <v>0</v>
      </c>
      <c r="N277" s="67">
        <f>ROUNDDOWN(IntComp[[#This Row],[Count]]/100,0)+$N$1</f>
        <v>2020</v>
      </c>
      <c r="O277" s="86">
        <f t="shared" ca="1" si="4"/>
        <v>128377866.61350007</v>
      </c>
    </row>
    <row r="278" spans="1:15" x14ac:dyDescent="0.25">
      <c r="A278" s="13" t="s">
        <v>331</v>
      </c>
      <c r="B278" s="9" t="str">
        <f>VLOOKUP(A278,Data[],2,FALSE)</f>
        <v>BRONX</v>
      </c>
      <c r="C278" s="9" t="s">
        <v>106</v>
      </c>
      <c r="D278" s="9">
        <f>VLOOKUP(IntComp[[#This Row],[DEVELOPMENT]],Data[],31,FALSE)</f>
        <v>4</v>
      </c>
      <c r="E278" s="66">
        <f>VLOOKUP(IntComp[[#This Row],[DEVELOPMENT]],Data[],8,FALSE)</f>
        <v>0</v>
      </c>
      <c r="F278" s="66">
        <f>VLOOKUP(IntComp[[#This Row],[DEVELOPMENT]],Data[],9,FALSE)</f>
        <v>0</v>
      </c>
      <c r="G278" s="66"/>
      <c r="H278" s="66">
        <f>IFERROR(VLOOKUP(IntComp[[#This Row],[DEVELOPMENT]],Data[],4,FALSE),"")</f>
        <v>2022</v>
      </c>
      <c r="I278" s="66" t="str">
        <f>IF(IntComp[[#This Row],[RAD/PACT]]="","",IF(IntComp[[#This Row],[RAD/PACT]]&lt;=2025,"Yes",""))</f>
        <v>Yes</v>
      </c>
      <c r="J278" s="67" t="str">
        <f ca="1">IF(VLOOKUP(IntComp[[#This Row],[DEVELOPMENT]],Data[],10,FALSE)=0,"",DATEDIF(VLOOKUP(IntComp[[#This Row],[DEVELOPMENT]],Data[],12,FALSE),TODAY(),"Y"))</f>
        <v/>
      </c>
      <c r="K278" s="67">
        <f>IF(IntComp[[#This Row],[RAD/PACT]]="",VLOOKUP(IntComp[[#This Row],[DEVELOPMENT]],Data[],10,FALSE),IF(IntComp[[#This Row],[RAD/PACT by 2025]]="yes",0,VLOOKUP(IntComp[[#This Row],[DEVELOPMENT]],Data[],10,FALSE)))</f>
        <v>0</v>
      </c>
      <c r="L278" s="63">
        <f ca="1">IF(IntComp[[#This Row],[RAD/PACT by 2025]]="Yes",0,(IntComp[[#This Row],['# Int. Compactors to Replace]]*'Unit Costs'!$B$8)*(1+((IntComp[[#This Row],[est. Year]]-YEAR(TODAY()))*$L$2)))</f>
        <v>0</v>
      </c>
      <c r="M278" s="67">
        <f>SUM(INDEX(IntComp['# to Replace],1):IntComp[[#This Row],['# to Replace]])</f>
        <v>0</v>
      </c>
      <c r="N278" s="67">
        <f>ROUNDDOWN(IntComp[[#This Row],[Count]]/100,0)+$N$1</f>
        <v>2020</v>
      </c>
      <c r="O278" s="86">
        <f t="shared" ca="1" si="4"/>
        <v>128377866.61350007</v>
      </c>
    </row>
    <row r="279" spans="1:15" x14ac:dyDescent="0.25">
      <c r="A279" s="13" t="s">
        <v>332</v>
      </c>
      <c r="B279" s="9" t="str">
        <f>VLOOKUP(A279,Data[],2,FALSE)</f>
        <v>BROOKLYN</v>
      </c>
      <c r="C279" s="9" t="s">
        <v>106</v>
      </c>
      <c r="D279" s="9">
        <f>VLOOKUP(IntComp[[#This Row],[DEVELOPMENT]],Data[],31,FALSE)</f>
        <v>8</v>
      </c>
      <c r="E279" s="66">
        <f>VLOOKUP(IntComp[[#This Row],[DEVELOPMENT]],Data[],8,FALSE)</f>
        <v>0</v>
      </c>
      <c r="F279" s="66">
        <f>VLOOKUP(IntComp[[#This Row],[DEVELOPMENT]],Data[],9,FALSE)</f>
        <v>0</v>
      </c>
      <c r="G279" s="66"/>
      <c r="H279" s="66" t="str">
        <f>IFERROR(VLOOKUP(IntComp[[#This Row],[DEVELOPMENT]],Data[],4,FALSE),"")</f>
        <v/>
      </c>
      <c r="I279" s="66" t="str">
        <f>IF(IntComp[[#This Row],[RAD/PACT]]="","",IF(IntComp[[#This Row],[RAD/PACT]]&lt;=2025,"Yes",""))</f>
        <v/>
      </c>
      <c r="J279" s="67" t="str">
        <f ca="1">IF(VLOOKUP(IntComp[[#This Row],[DEVELOPMENT]],Data[],10,FALSE)=0,"",DATEDIF(VLOOKUP(IntComp[[#This Row],[DEVELOPMENT]],Data[],12,FALSE),TODAY(),"Y"))</f>
        <v/>
      </c>
      <c r="K279" s="67">
        <f>IF(IntComp[[#This Row],[RAD/PACT]]="",VLOOKUP(IntComp[[#This Row],[DEVELOPMENT]],Data[],10,FALSE),IF(IntComp[[#This Row],[RAD/PACT by 2025]]="yes",0,VLOOKUP(IntComp[[#This Row],[DEVELOPMENT]],Data[],10,FALSE)))</f>
        <v>0</v>
      </c>
      <c r="L279" s="63">
        <f ca="1">IF(IntComp[[#This Row],[RAD/PACT by 2025]]="Yes",0,(IntComp[[#This Row],['# Int. Compactors to Replace]]*'Unit Costs'!$B$8)*(1+((IntComp[[#This Row],[est. Year]]-YEAR(TODAY()))*$L$2)))</f>
        <v>589227.15599999996</v>
      </c>
      <c r="M279" s="67">
        <f>SUM(INDEX(IntComp['# to Replace],1):IntComp[[#This Row],['# to Replace]])</f>
        <v>0</v>
      </c>
      <c r="N279" s="67">
        <f>ROUNDDOWN(IntComp[[#This Row],[Count]]/100,0)+$N$1</f>
        <v>2020</v>
      </c>
      <c r="O279" s="86">
        <f t="shared" ca="1" si="4"/>
        <v>128967093.76950008</v>
      </c>
    </row>
    <row r="280" spans="1:15" x14ac:dyDescent="0.25">
      <c r="A280" s="13" t="s">
        <v>333</v>
      </c>
      <c r="B280" s="9" t="str">
        <f>VLOOKUP(A280,Data[],2,FALSE)</f>
        <v>STATEN ISLAND</v>
      </c>
      <c r="C280" s="9" t="s">
        <v>106</v>
      </c>
      <c r="D280" s="9">
        <f>VLOOKUP(IntComp[[#This Row],[DEVELOPMENT]],Data[],31,FALSE)</f>
        <v>13</v>
      </c>
      <c r="E280" s="66">
        <f>VLOOKUP(IntComp[[#This Row],[DEVELOPMENT]],Data[],8,FALSE)</f>
        <v>0</v>
      </c>
      <c r="F280" s="66">
        <f>VLOOKUP(IntComp[[#This Row],[DEVELOPMENT]],Data[],9,FALSE)</f>
        <v>0</v>
      </c>
      <c r="G280" s="66"/>
      <c r="H280" s="66" t="str">
        <f>IFERROR(VLOOKUP(IntComp[[#This Row],[DEVELOPMENT]],Data[],4,FALSE),"")</f>
        <v/>
      </c>
      <c r="I280" s="66" t="str">
        <f>IF(IntComp[[#This Row],[RAD/PACT]]="","",IF(IntComp[[#This Row],[RAD/PACT]]&lt;=2025,"Yes",""))</f>
        <v/>
      </c>
      <c r="J280" s="67" t="str">
        <f ca="1">IF(VLOOKUP(IntComp[[#This Row],[DEVELOPMENT]],Data[],10,FALSE)=0,"",DATEDIF(VLOOKUP(IntComp[[#This Row],[DEVELOPMENT]],Data[],12,FALSE),TODAY(),"Y"))</f>
        <v/>
      </c>
      <c r="K280" s="67">
        <f>IF(IntComp[[#This Row],[RAD/PACT]]="",VLOOKUP(IntComp[[#This Row],[DEVELOPMENT]],Data[],10,FALSE),IF(IntComp[[#This Row],[RAD/PACT by 2025]]="yes",0,VLOOKUP(IntComp[[#This Row],[DEVELOPMENT]],Data[],10,FALSE)))</f>
        <v>0</v>
      </c>
      <c r="L280" s="63">
        <f ca="1">IF(IntComp[[#This Row],[RAD/PACT by 2025]]="Yes",0,(IntComp[[#This Row],['# Int. Compactors to Replace]]*'Unit Costs'!$B$8)*(1+((IntComp[[#This Row],[est. Year]]-YEAR(TODAY()))*$L$2)))</f>
        <v>957494.12849999988</v>
      </c>
      <c r="M280" s="67">
        <f>SUM(INDEX(IntComp['# to Replace],1):IntComp[[#This Row],['# to Replace]])</f>
        <v>0</v>
      </c>
      <c r="N280" s="67">
        <f>ROUNDDOWN(IntComp[[#This Row],[Count]]/100,0)+$N$1</f>
        <v>2020</v>
      </c>
      <c r="O280" s="86">
        <f t="shared" ca="1" si="4"/>
        <v>129924587.89800008</v>
      </c>
    </row>
    <row r="281" spans="1:15" x14ac:dyDescent="0.25">
      <c r="A281" s="82" t="s">
        <v>46</v>
      </c>
      <c r="B281" s="1" t="str">
        <f>VLOOKUP(A281,Data[],2,FALSE)</f>
        <v>BROOKLYN</v>
      </c>
      <c r="C281" s="9" t="s">
        <v>106</v>
      </c>
      <c r="D281" s="9">
        <f>VLOOKUP(IntComp[[#This Row],[DEVELOPMENT]],Data[],31,FALSE)</f>
        <v>11</v>
      </c>
      <c r="E281" s="9" t="str">
        <f>VLOOKUP(IntComp[[#This Row],[DEVELOPMENT]],Data[],8,FALSE)</f>
        <v>Zone 1</v>
      </c>
      <c r="F281" s="9" t="str">
        <f>VLOOKUP(IntComp[[#This Row],[DEVELOPMENT]],Data[],9,FALSE)</f>
        <v>$</v>
      </c>
      <c r="G281" s="9"/>
      <c r="H281" s="9" t="str">
        <f>IFERROR(VLOOKUP(IntComp[[#This Row],[DEVELOPMENT]],Data[],4,FALSE),"")</f>
        <v/>
      </c>
      <c r="I281" s="9" t="str">
        <f>IF(IntComp[[#This Row],[RAD/PACT]]="","",IF(IntComp[[#This Row],[RAD/PACT]]&lt;=2025,"Yes",""))</f>
        <v/>
      </c>
      <c r="J281" s="1" t="str">
        <f ca="1">IF(VLOOKUP(IntComp[[#This Row],[DEVELOPMENT]],Data[],10,FALSE)=0,"",DATEDIF(VLOOKUP(IntComp[[#This Row],[DEVELOPMENT]],Data[],12,FALSE),TODAY(),"Y"))</f>
        <v/>
      </c>
      <c r="K281" s="1">
        <f>IF(IntComp[[#This Row],[RAD/PACT]]="",VLOOKUP(IntComp[[#This Row],[DEVELOPMENT]],Data[],10,FALSE),IF(IntComp[[#This Row],[RAD/PACT by 2025]]="yes",0,VLOOKUP(IntComp[[#This Row],[DEVELOPMENT]],Data[],10,FALSE)))</f>
        <v>0</v>
      </c>
      <c r="L281" s="63">
        <f ca="1">IF(IntComp[[#This Row],[RAD/PACT by 2025]]="Yes",0,(IntComp[[#This Row],['# Int. Compactors to Replace]]*'Unit Costs'!$B$8)*(1+((IntComp[[#This Row],[est. Year]]-YEAR(TODAY()))*$L$2)))</f>
        <v>810187.33949999989</v>
      </c>
      <c r="M281" s="1">
        <f>SUM(INDEX(IntComp['# to Replace],1):IntComp[[#This Row],['# to Replace]])</f>
        <v>0</v>
      </c>
      <c r="N281" s="1">
        <f>ROUNDDOWN(IntComp[[#This Row],[Count]]/100,0)+$N$1</f>
        <v>2020</v>
      </c>
      <c r="O281" s="81">
        <f t="shared" ca="1" si="4"/>
        <v>130734775.23750007</v>
      </c>
    </row>
    <row r="282" spans="1:15" x14ac:dyDescent="0.25">
      <c r="A282" s="82" t="s">
        <v>138</v>
      </c>
      <c r="B282" s="1" t="str">
        <f>VLOOKUP(A282,Data[],2,FALSE)</f>
        <v>BRONX</v>
      </c>
      <c r="C282" s="9" t="s">
        <v>106</v>
      </c>
      <c r="D282" s="9">
        <f>VLOOKUP(IntComp[[#This Row],[DEVELOPMENT]],Data[],31,FALSE)</f>
        <v>1</v>
      </c>
      <c r="E282" s="9" t="str">
        <f>VLOOKUP(IntComp[[#This Row],[DEVELOPMENT]],Data[],8,FALSE)</f>
        <v>Zone 1</v>
      </c>
      <c r="F282" s="9" t="str">
        <f>VLOOKUP(IntComp[[#This Row],[DEVELOPMENT]],Data[],9,FALSE)</f>
        <v>$</v>
      </c>
      <c r="G282" s="9"/>
      <c r="H282" s="9" t="str">
        <f>IFERROR(VLOOKUP(IntComp[[#This Row],[DEVELOPMENT]],Data[],4,FALSE),"")</f>
        <v/>
      </c>
      <c r="I282" s="9" t="str">
        <f>IF(IntComp[[#This Row],[RAD/PACT]]="","",IF(IntComp[[#This Row],[RAD/PACT]]&lt;=2025,"Yes",""))</f>
        <v/>
      </c>
      <c r="J282" s="1" t="str">
        <f ca="1">IF(VLOOKUP(IntComp[[#This Row],[DEVELOPMENT]],Data[],10,FALSE)=0,"",DATEDIF(VLOOKUP(IntComp[[#This Row],[DEVELOPMENT]],Data[],12,FALSE),TODAY(),"Y"))</f>
        <v/>
      </c>
      <c r="K282" s="1">
        <f>IF(IntComp[[#This Row],[RAD/PACT]]="",VLOOKUP(IntComp[[#This Row],[DEVELOPMENT]],Data[],10,FALSE),IF(IntComp[[#This Row],[RAD/PACT by 2025]]="yes",0,VLOOKUP(IntComp[[#This Row],[DEVELOPMENT]],Data[],10,FALSE)))</f>
        <v>0</v>
      </c>
      <c r="L282" s="63">
        <f ca="1">IF(IntComp[[#This Row],[RAD/PACT by 2025]]="Yes",0,(IntComp[[#This Row],['# Int. Compactors to Replace]]*'Unit Costs'!$B$8)*(1+((IntComp[[#This Row],[est. Year]]-YEAR(TODAY()))*$L$2)))</f>
        <v>73653.394499999995</v>
      </c>
      <c r="M282" s="1">
        <f>SUM(INDEX(IntComp['# to Replace],1):IntComp[[#This Row],['# to Replace]])</f>
        <v>0</v>
      </c>
      <c r="N282" s="1">
        <f>ROUNDDOWN(IntComp[[#This Row],[Count]]/100,0)+$N$1</f>
        <v>2020</v>
      </c>
      <c r="O282" s="81">
        <f t="shared" ca="1" si="4"/>
        <v>130808428.63200007</v>
      </c>
    </row>
    <row r="283" spans="1:15" x14ac:dyDescent="0.25">
      <c r="A283" s="82" t="s">
        <v>51</v>
      </c>
      <c r="B283" s="1" t="str">
        <f>VLOOKUP(A283,Data[],2,FALSE)</f>
        <v>MANHATTAN</v>
      </c>
      <c r="C283" s="9" t="s">
        <v>106</v>
      </c>
      <c r="D283" s="9">
        <f>VLOOKUP(IntComp[[#This Row],[DEVELOPMENT]],Data[],31,FALSE)</f>
        <v>1</v>
      </c>
      <c r="E283" s="9" t="str">
        <f>VLOOKUP(IntComp[[#This Row],[DEVELOPMENT]],Data[],8,FALSE)</f>
        <v>Zone 1</v>
      </c>
      <c r="F283" s="9" t="str">
        <f>VLOOKUP(IntComp[[#This Row],[DEVELOPMENT]],Data[],9,FALSE)</f>
        <v>$</v>
      </c>
      <c r="G283" s="9"/>
      <c r="H283" s="9" t="str">
        <f>IFERROR(VLOOKUP(IntComp[[#This Row],[DEVELOPMENT]],Data[],4,FALSE),"")</f>
        <v/>
      </c>
      <c r="I283" s="9" t="str">
        <f>IF(IntComp[[#This Row],[RAD/PACT]]="","",IF(IntComp[[#This Row],[RAD/PACT]]&lt;=2025,"Yes",""))</f>
        <v/>
      </c>
      <c r="J283" s="1" t="str">
        <f ca="1">IF(VLOOKUP(IntComp[[#This Row],[DEVELOPMENT]],Data[],10,FALSE)=0,"",DATEDIF(VLOOKUP(IntComp[[#This Row],[DEVELOPMENT]],Data[],12,FALSE),TODAY(),"Y"))</f>
        <v/>
      </c>
      <c r="K283" s="1">
        <f>IF(IntComp[[#This Row],[RAD/PACT]]="",VLOOKUP(IntComp[[#This Row],[DEVELOPMENT]],Data[],10,FALSE),IF(IntComp[[#This Row],[RAD/PACT by 2025]]="yes",0,VLOOKUP(IntComp[[#This Row],[DEVELOPMENT]],Data[],10,FALSE)))</f>
        <v>0</v>
      </c>
      <c r="L283" s="63">
        <f ca="1">IF(IntComp[[#This Row],[RAD/PACT by 2025]]="Yes",0,(IntComp[[#This Row],['# Int. Compactors to Replace]]*'Unit Costs'!$B$8)*(1+((IntComp[[#This Row],[est. Year]]-YEAR(TODAY()))*$L$2)))</f>
        <v>73653.394499999995</v>
      </c>
      <c r="M283" s="1">
        <f>SUM(INDEX(IntComp['# to Replace],1):IntComp[[#This Row],['# to Replace]])</f>
        <v>0</v>
      </c>
      <c r="N283" s="1">
        <f>ROUNDDOWN(IntComp[[#This Row],[Count]]/100,0)+$N$1</f>
        <v>2020</v>
      </c>
      <c r="O283" s="81">
        <f t="shared" ca="1" si="4"/>
        <v>130882082.02650008</v>
      </c>
    </row>
    <row r="284" spans="1:15" x14ac:dyDescent="0.25">
      <c r="A284" s="13" t="s">
        <v>98</v>
      </c>
      <c r="B284" s="1" t="str">
        <f>VLOOKUP(A284,Data[],2,FALSE)</f>
        <v>BRONX</v>
      </c>
      <c r="C284" s="9" t="s">
        <v>106</v>
      </c>
      <c r="D284" s="9">
        <f>VLOOKUP(IntComp[[#This Row],[DEVELOPMENT]],Data[],31,FALSE)</f>
        <v>1</v>
      </c>
      <c r="E284" s="9" t="str">
        <f>VLOOKUP(IntComp[[#This Row],[DEVELOPMENT]],Data[],8,FALSE)</f>
        <v>Zone 3</v>
      </c>
      <c r="F284" s="9" t="str">
        <f>VLOOKUP(IntComp[[#This Row],[DEVELOPMENT]],Data[],9,FALSE)</f>
        <v>$</v>
      </c>
      <c r="G284" s="9"/>
      <c r="H284" s="9">
        <f>IFERROR(VLOOKUP(IntComp[[#This Row],[DEVELOPMENT]],Data[],4,FALSE),"")</f>
        <v>2026</v>
      </c>
      <c r="I284" s="9" t="str">
        <f>IF(IntComp[[#This Row],[RAD/PACT]]="","",IF(IntComp[[#This Row],[RAD/PACT]]&lt;=2025,"Yes",""))</f>
        <v/>
      </c>
      <c r="J284" s="1" t="str">
        <f ca="1">IF(VLOOKUP(IntComp[[#This Row],[DEVELOPMENT]],Data[],10,FALSE)=0,"",DATEDIF(VLOOKUP(IntComp[[#This Row],[DEVELOPMENT]],Data[],12,FALSE),TODAY(),"Y"))</f>
        <v/>
      </c>
      <c r="K284" s="1">
        <f>IF(IntComp[[#This Row],[RAD/PACT]]="",VLOOKUP(IntComp[[#This Row],[DEVELOPMENT]],Data[],10,FALSE),IF(IntComp[[#This Row],[RAD/PACT by 2025]]="yes",0,VLOOKUP(IntComp[[#This Row],[DEVELOPMENT]],Data[],10,FALSE)))</f>
        <v>0</v>
      </c>
      <c r="L284" s="63">
        <f ca="1">IF(IntComp[[#This Row],[RAD/PACT by 2025]]="Yes",0,(IntComp[[#This Row],['# Int. Compactors to Replace]]*'Unit Costs'!$B$8)*(1+((IntComp[[#This Row],[est. Year]]-YEAR(TODAY()))*$L$2)))</f>
        <v>73653.394499999995</v>
      </c>
      <c r="M284" s="1">
        <f>SUM(INDEX(IntComp['# to Replace],1):IntComp[[#This Row],['# to Replace]])</f>
        <v>0</v>
      </c>
      <c r="N284" s="1">
        <f>ROUNDDOWN(IntComp[[#This Row],[Count]]/100,0)+$N$1</f>
        <v>2020</v>
      </c>
      <c r="O284" s="81">
        <f t="shared" ca="1" si="4"/>
        <v>130955735.42100008</v>
      </c>
    </row>
    <row r="285" spans="1:15" x14ac:dyDescent="0.25">
      <c r="A285" s="13" t="s">
        <v>99</v>
      </c>
      <c r="B285" s="1" t="str">
        <f>VLOOKUP(A285,Data[],2,FALSE)</f>
        <v>BRONX</v>
      </c>
      <c r="C285" s="9" t="s">
        <v>106</v>
      </c>
      <c r="D285" s="9">
        <f>VLOOKUP(IntComp[[#This Row],[DEVELOPMENT]],Data[],31,FALSE)</f>
        <v>0</v>
      </c>
      <c r="E285" s="9" t="str">
        <f>VLOOKUP(IntComp[[#This Row],[DEVELOPMENT]],Data[],8,FALSE)</f>
        <v>Zone 3</v>
      </c>
      <c r="F285" s="9" t="str">
        <f>VLOOKUP(IntComp[[#This Row],[DEVELOPMENT]],Data[],9,FALSE)</f>
        <v>$</v>
      </c>
      <c r="G285" s="9"/>
      <c r="H285" s="9">
        <f>IFERROR(VLOOKUP(IntComp[[#This Row],[DEVELOPMENT]],Data[],4,FALSE),"")</f>
        <v>2026</v>
      </c>
      <c r="I285" s="9" t="str">
        <f>IF(IntComp[[#This Row],[RAD/PACT]]="","",IF(IntComp[[#This Row],[RAD/PACT]]&lt;=2025,"Yes",""))</f>
        <v/>
      </c>
      <c r="J285" s="1" t="str">
        <f ca="1">IF(VLOOKUP(IntComp[[#This Row],[DEVELOPMENT]],Data[],10,FALSE)=0,"",DATEDIF(VLOOKUP(IntComp[[#This Row],[DEVELOPMENT]],Data[],12,FALSE),TODAY(),"Y"))</f>
        <v/>
      </c>
      <c r="K285" s="1">
        <f>IF(IntComp[[#This Row],[RAD/PACT]]="",VLOOKUP(IntComp[[#This Row],[DEVELOPMENT]],Data[],10,FALSE),IF(IntComp[[#This Row],[RAD/PACT by 2025]]="yes",0,VLOOKUP(IntComp[[#This Row],[DEVELOPMENT]],Data[],10,FALSE)))</f>
        <v>0</v>
      </c>
      <c r="L285" s="63">
        <f ca="1">IF(IntComp[[#This Row],[RAD/PACT by 2025]]="Yes",0,(IntComp[[#This Row],['# Int. Compactors to Replace]]*'Unit Costs'!$B$8)*(1+((IntComp[[#This Row],[est. Year]]-YEAR(TODAY()))*$L$2)))</f>
        <v>0</v>
      </c>
      <c r="M285" s="1">
        <f>SUM(INDEX(IntComp['# to Replace],1):IntComp[[#This Row],['# to Replace]])</f>
        <v>0</v>
      </c>
      <c r="N285" s="1">
        <f>ROUNDDOWN(IntComp[[#This Row],[Count]]/100,0)+$N$1</f>
        <v>2020</v>
      </c>
      <c r="O285" s="81">
        <f t="shared" ca="1" si="4"/>
        <v>130955735.42100008</v>
      </c>
    </row>
    <row r="286" spans="1:15" x14ac:dyDescent="0.25">
      <c r="A286" s="13" t="s">
        <v>334</v>
      </c>
      <c r="B286" s="9" t="str">
        <f>VLOOKUP(A286,Data[],2,FALSE)</f>
        <v>BROOKLYN</v>
      </c>
      <c r="C286" s="9" t="s">
        <v>106</v>
      </c>
      <c r="D286" s="9">
        <f>VLOOKUP(IntComp[[#This Row],[DEVELOPMENT]],Data[],31,FALSE)</f>
        <v>3</v>
      </c>
      <c r="E286" s="66">
        <f>VLOOKUP(IntComp[[#This Row],[DEVELOPMENT]],Data[],8,FALSE)</f>
        <v>0</v>
      </c>
      <c r="F286" s="66">
        <f>VLOOKUP(IntComp[[#This Row],[DEVELOPMENT]],Data[],9,FALSE)</f>
        <v>0</v>
      </c>
      <c r="G286" s="66"/>
      <c r="H286" s="66">
        <f>IFERROR(VLOOKUP(IntComp[[#This Row],[DEVELOPMENT]],Data[],4,FALSE),"")</f>
        <v>2026</v>
      </c>
      <c r="I286" s="66" t="str">
        <f>IF(IntComp[[#This Row],[RAD/PACT]]="","",IF(IntComp[[#This Row],[RAD/PACT]]&lt;=2025,"Yes",""))</f>
        <v/>
      </c>
      <c r="J286" s="67" t="str">
        <f ca="1">IF(VLOOKUP(IntComp[[#This Row],[DEVELOPMENT]],Data[],10,FALSE)=0,"",DATEDIF(VLOOKUP(IntComp[[#This Row],[DEVELOPMENT]],Data[],12,FALSE),TODAY(),"Y"))</f>
        <v/>
      </c>
      <c r="K286" s="67">
        <f>IF(IntComp[[#This Row],[RAD/PACT]]="",VLOOKUP(IntComp[[#This Row],[DEVELOPMENT]],Data[],10,FALSE),IF(IntComp[[#This Row],[RAD/PACT by 2025]]="yes",0,VLOOKUP(IntComp[[#This Row],[DEVELOPMENT]],Data[],10,FALSE)))</f>
        <v>0</v>
      </c>
      <c r="L286" s="63">
        <f ca="1">IF(IntComp[[#This Row],[RAD/PACT by 2025]]="Yes",0,(IntComp[[#This Row],['# Int. Compactors to Replace]]*'Unit Costs'!$B$8)*(1+((IntComp[[#This Row],[est. Year]]-YEAR(TODAY()))*$L$2)))</f>
        <v>220960.18349999996</v>
      </c>
      <c r="M286" s="67">
        <f>SUM(INDEX(IntComp['# to Replace],1):IntComp[[#This Row],['# to Replace]])</f>
        <v>0</v>
      </c>
      <c r="N286" s="67">
        <f>ROUNDDOWN(IntComp[[#This Row],[Count]]/100,0)+$N$1</f>
        <v>2020</v>
      </c>
      <c r="O286" s="86">
        <f t="shared" ca="1" si="4"/>
        <v>131176695.60450009</v>
      </c>
    </row>
    <row r="287" spans="1:15" x14ac:dyDescent="0.25">
      <c r="A287" s="13" t="s">
        <v>335</v>
      </c>
      <c r="B287" s="9" t="str">
        <f>VLOOKUP(A287,Data[],2,FALSE)</f>
        <v>BROOKLYN</v>
      </c>
      <c r="C287" s="9" t="s">
        <v>106</v>
      </c>
      <c r="D287" s="9">
        <f>VLOOKUP(IntComp[[#This Row],[DEVELOPMENT]],Data[],31,FALSE)</f>
        <v>12</v>
      </c>
      <c r="E287" s="66">
        <f>VLOOKUP(IntComp[[#This Row],[DEVELOPMENT]],Data[],8,FALSE)</f>
        <v>0</v>
      </c>
      <c r="F287" s="66">
        <f>VLOOKUP(IntComp[[#This Row],[DEVELOPMENT]],Data[],9,FALSE)</f>
        <v>0</v>
      </c>
      <c r="G287" s="66"/>
      <c r="H287" s="66">
        <f>IFERROR(VLOOKUP(IntComp[[#This Row],[DEVELOPMENT]],Data[],4,FALSE),"")</f>
        <v>2026</v>
      </c>
      <c r="I287" s="66" t="str">
        <f>IF(IntComp[[#This Row],[RAD/PACT]]="","",IF(IntComp[[#This Row],[RAD/PACT]]&lt;=2025,"Yes",""))</f>
        <v/>
      </c>
      <c r="J287" s="67" t="str">
        <f ca="1">IF(VLOOKUP(IntComp[[#This Row],[DEVELOPMENT]],Data[],10,FALSE)=0,"",DATEDIF(VLOOKUP(IntComp[[#This Row],[DEVELOPMENT]],Data[],12,FALSE),TODAY(),"Y"))</f>
        <v/>
      </c>
      <c r="K287" s="67">
        <f>IF(IntComp[[#This Row],[RAD/PACT]]="",VLOOKUP(IntComp[[#This Row],[DEVELOPMENT]],Data[],10,FALSE),IF(IntComp[[#This Row],[RAD/PACT by 2025]]="yes",0,VLOOKUP(IntComp[[#This Row],[DEVELOPMENT]],Data[],10,FALSE)))</f>
        <v>0</v>
      </c>
      <c r="L287" s="63">
        <f ca="1">IF(IntComp[[#This Row],[RAD/PACT by 2025]]="Yes",0,(IntComp[[#This Row],['# Int. Compactors to Replace]]*'Unit Costs'!$B$8)*(1+((IntComp[[#This Row],[est. Year]]-YEAR(TODAY()))*$L$2)))</f>
        <v>883840.73399999982</v>
      </c>
      <c r="M287" s="67">
        <f>SUM(INDEX(IntComp['# to Replace],1):IntComp[[#This Row],['# to Replace]])</f>
        <v>0</v>
      </c>
      <c r="N287" s="67">
        <f>ROUNDDOWN(IntComp[[#This Row],[Count]]/100,0)+$N$1</f>
        <v>2020</v>
      </c>
      <c r="O287" s="86">
        <f t="shared" ca="1" si="4"/>
        <v>132060536.33850008</v>
      </c>
    </row>
    <row r="288" spans="1:15" x14ac:dyDescent="0.25">
      <c r="A288" s="13" t="s">
        <v>336</v>
      </c>
      <c r="B288" s="9" t="str">
        <f>VLOOKUP(A288,Data[],2,FALSE)</f>
        <v>BRONX</v>
      </c>
      <c r="C288" s="9" t="s">
        <v>106</v>
      </c>
      <c r="D288" s="9">
        <f>VLOOKUP(IntComp[[#This Row],[DEVELOPMENT]],Data[],31,FALSE)</f>
        <v>5</v>
      </c>
      <c r="E288" s="66">
        <f>VLOOKUP(IntComp[[#This Row],[DEVELOPMENT]],Data[],8,FALSE)</f>
        <v>0</v>
      </c>
      <c r="F288" s="66">
        <f>VLOOKUP(IntComp[[#This Row],[DEVELOPMENT]],Data[],9,FALSE)</f>
        <v>0</v>
      </c>
      <c r="G288" s="66"/>
      <c r="H288" s="66" t="str">
        <f>IFERROR(VLOOKUP(IntComp[[#This Row],[DEVELOPMENT]],Data[],4,FALSE),"")</f>
        <v/>
      </c>
      <c r="I288" s="66" t="str">
        <f>IF(IntComp[[#This Row],[RAD/PACT]]="","",IF(IntComp[[#This Row],[RAD/PACT]]&lt;=2025,"Yes",""))</f>
        <v/>
      </c>
      <c r="J288" s="67" t="str">
        <f ca="1">IF(VLOOKUP(IntComp[[#This Row],[DEVELOPMENT]],Data[],10,FALSE)=0,"",DATEDIF(VLOOKUP(IntComp[[#This Row],[DEVELOPMENT]],Data[],12,FALSE),TODAY(),"Y"))</f>
        <v/>
      </c>
      <c r="K288" s="67">
        <f>IF(IntComp[[#This Row],[RAD/PACT]]="",VLOOKUP(IntComp[[#This Row],[DEVELOPMENT]],Data[],10,FALSE),IF(IntComp[[#This Row],[RAD/PACT by 2025]]="yes",0,VLOOKUP(IntComp[[#This Row],[DEVELOPMENT]],Data[],10,FALSE)))</f>
        <v>0</v>
      </c>
      <c r="L288" s="63">
        <f ca="1">IF(IntComp[[#This Row],[RAD/PACT by 2025]]="Yes",0,(IntComp[[#This Row],['# Int. Compactors to Replace]]*'Unit Costs'!$B$8)*(1+((IntComp[[#This Row],[est. Year]]-YEAR(TODAY()))*$L$2)))</f>
        <v>368266.97249999997</v>
      </c>
      <c r="M288" s="67">
        <f>SUM(INDEX(IntComp['# to Replace],1):IntComp[[#This Row],['# to Replace]])</f>
        <v>0</v>
      </c>
      <c r="N288" s="67">
        <f>ROUNDDOWN(IntComp[[#This Row],[Count]]/100,0)+$N$1</f>
        <v>2020</v>
      </c>
      <c r="O288" s="86">
        <f t="shared" ca="1" si="4"/>
        <v>132428803.31100008</v>
      </c>
    </row>
    <row r="289" spans="1:15" x14ac:dyDescent="0.25">
      <c r="A289" s="13" t="s">
        <v>126</v>
      </c>
      <c r="B289" s="1" t="str">
        <f>VLOOKUP(A289,Data[],2,FALSE)</f>
        <v>MANHATTAN</v>
      </c>
      <c r="C289" s="9" t="s">
        <v>106</v>
      </c>
      <c r="D289" s="9">
        <f>VLOOKUP(IntComp[[#This Row],[DEVELOPMENT]],Data[],31,FALSE)</f>
        <v>1</v>
      </c>
      <c r="E289" s="9" t="str">
        <f>VLOOKUP(IntComp[[#This Row],[DEVELOPMENT]],Data[],8,FALSE)</f>
        <v>Zone 2</v>
      </c>
      <c r="F289" s="9" t="str">
        <f>VLOOKUP(IntComp[[#This Row],[DEVELOPMENT]],Data[],9,FALSE)</f>
        <v>$</v>
      </c>
      <c r="G289" s="9"/>
      <c r="H289" s="9" t="str">
        <f>IFERROR(VLOOKUP(IntComp[[#This Row],[DEVELOPMENT]],Data[],4,FALSE),"")</f>
        <v/>
      </c>
      <c r="I289" s="9" t="str">
        <f>IF(IntComp[[#This Row],[RAD/PACT]]="","",IF(IntComp[[#This Row],[RAD/PACT]]&lt;=2025,"Yes",""))</f>
        <v/>
      </c>
      <c r="J289" s="1" t="str">
        <f ca="1">IF(VLOOKUP(IntComp[[#This Row],[DEVELOPMENT]],Data[],10,FALSE)=0,"",DATEDIF(VLOOKUP(IntComp[[#This Row],[DEVELOPMENT]],Data[],12,FALSE),TODAY(),"Y"))</f>
        <v/>
      </c>
      <c r="K289" s="1">
        <f>IF(IntComp[[#This Row],[RAD/PACT]]="",VLOOKUP(IntComp[[#This Row],[DEVELOPMENT]],Data[],10,FALSE),IF(IntComp[[#This Row],[RAD/PACT by 2025]]="yes",0,VLOOKUP(IntComp[[#This Row],[DEVELOPMENT]],Data[],10,FALSE)))</f>
        <v>0</v>
      </c>
      <c r="L289" s="63">
        <f ca="1">IF(IntComp[[#This Row],[RAD/PACT by 2025]]="Yes",0,(IntComp[[#This Row],['# Int. Compactors to Replace]]*'Unit Costs'!$B$8)*(1+((IntComp[[#This Row],[est. Year]]-YEAR(TODAY()))*$L$2)))</f>
        <v>73653.394499999995</v>
      </c>
      <c r="M289" s="1">
        <f>SUM(INDEX(IntComp['# to Replace],1):IntComp[[#This Row],['# to Replace]])</f>
        <v>0</v>
      </c>
      <c r="N289" s="1">
        <f>ROUNDDOWN(IntComp[[#This Row],[Count]]/100,0)+$N$1</f>
        <v>2020</v>
      </c>
      <c r="O289" s="81">
        <f t="shared" ca="1" si="4"/>
        <v>132502456.70550008</v>
      </c>
    </row>
    <row r="290" spans="1:15" x14ac:dyDescent="0.25">
      <c r="A290" s="13" t="s">
        <v>100</v>
      </c>
      <c r="B290" s="1" t="str">
        <f>VLOOKUP(A290,Data[],2,FALSE)</f>
        <v>MANHATTAN</v>
      </c>
      <c r="C290" s="9" t="s">
        <v>106</v>
      </c>
      <c r="D290" s="9">
        <f>VLOOKUP(IntComp[[#This Row],[DEVELOPMENT]],Data[],31,FALSE)</f>
        <v>1</v>
      </c>
      <c r="E290" s="9" t="str">
        <f>VLOOKUP(IntComp[[#This Row],[DEVELOPMENT]],Data[],8,FALSE)</f>
        <v>Zone 2</v>
      </c>
      <c r="F290" s="9" t="str">
        <f>VLOOKUP(IntComp[[#This Row],[DEVELOPMENT]],Data[],9,FALSE)</f>
        <v>$</v>
      </c>
      <c r="G290" s="9"/>
      <c r="H290" s="9" t="str">
        <f>IFERROR(VLOOKUP(IntComp[[#This Row],[DEVELOPMENT]],Data[],4,FALSE),"")</f>
        <v/>
      </c>
      <c r="I290" s="9" t="str">
        <f>IF(IntComp[[#This Row],[RAD/PACT]]="","",IF(IntComp[[#This Row],[RAD/PACT]]&lt;=2025,"Yes",""))</f>
        <v/>
      </c>
      <c r="J290" s="1" t="str">
        <f ca="1">IF(VLOOKUP(IntComp[[#This Row],[DEVELOPMENT]],Data[],10,FALSE)=0,"",DATEDIF(VLOOKUP(IntComp[[#This Row],[DEVELOPMENT]],Data[],12,FALSE),TODAY(),"Y"))</f>
        <v/>
      </c>
      <c r="K290" s="1">
        <f>IF(IntComp[[#This Row],[RAD/PACT]]="",VLOOKUP(IntComp[[#This Row],[DEVELOPMENT]],Data[],10,FALSE),IF(IntComp[[#This Row],[RAD/PACT by 2025]]="yes",0,VLOOKUP(IntComp[[#This Row],[DEVELOPMENT]],Data[],10,FALSE)))</f>
        <v>0</v>
      </c>
      <c r="L290" s="63">
        <f ca="1">IF(IntComp[[#This Row],[RAD/PACT by 2025]]="Yes",0,(IntComp[[#This Row],['# Int. Compactors to Replace]]*'Unit Costs'!$B$8)*(1+((IntComp[[#This Row],[est. Year]]-YEAR(TODAY()))*$L$2)))</f>
        <v>73653.394499999995</v>
      </c>
      <c r="M290" s="1">
        <f>SUM(INDEX(IntComp['# to Replace],1):IntComp[[#This Row],['# to Replace]])</f>
        <v>0</v>
      </c>
      <c r="N290" s="1">
        <f>ROUNDDOWN(IntComp[[#This Row],[Count]]/100,0)+$N$1</f>
        <v>2020</v>
      </c>
      <c r="O290" s="81">
        <f t="shared" ca="1" si="4"/>
        <v>132576110.10000008</v>
      </c>
    </row>
    <row r="291" spans="1:15" x14ac:dyDescent="0.25">
      <c r="A291" s="13" t="s">
        <v>337</v>
      </c>
      <c r="B291" s="9" t="str">
        <f>VLOOKUP(A291,Data[],2,FALSE)</f>
        <v>BROOKLYN</v>
      </c>
      <c r="C291" s="9" t="s">
        <v>106</v>
      </c>
      <c r="D291" s="9">
        <f>VLOOKUP(IntComp[[#This Row],[DEVELOPMENT]],Data[],31,FALSE)</f>
        <v>31</v>
      </c>
      <c r="E291" s="66">
        <f>VLOOKUP(IntComp[[#This Row],[DEVELOPMENT]],Data[],8,FALSE)</f>
        <v>0</v>
      </c>
      <c r="F291" s="66">
        <f>VLOOKUP(IntComp[[#This Row],[DEVELOPMENT]],Data[],9,FALSE)</f>
        <v>0</v>
      </c>
      <c r="G291" s="66"/>
      <c r="H291" s="66">
        <f>IFERROR(VLOOKUP(IntComp[[#This Row],[DEVELOPMENT]],Data[],4,FALSE),"")</f>
        <v>2024</v>
      </c>
      <c r="I291" s="66" t="str">
        <f>IF(IntComp[[#This Row],[RAD/PACT]]="","",IF(IntComp[[#This Row],[RAD/PACT]]&lt;=2025,"Yes",""))</f>
        <v>Yes</v>
      </c>
      <c r="J291" s="67" t="str">
        <f ca="1">IF(VLOOKUP(IntComp[[#This Row],[DEVELOPMENT]],Data[],10,FALSE)=0,"",DATEDIF(VLOOKUP(IntComp[[#This Row],[DEVELOPMENT]],Data[],12,FALSE),TODAY(),"Y"))</f>
        <v/>
      </c>
      <c r="K291" s="67">
        <f>IF(IntComp[[#This Row],[RAD/PACT]]="",VLOOKUP(IntComp[[#This Row],[DEVELOPMENT]],Data[],10,FALSE),IF(IntComp[[#This Row],[RAD/PACT by 2025]]="yes",0,VLOOKUP(IntComp[[#This Row],[DEVELOPMENT]],Data[],10,FALSE)))</f>
        <v>0</v>
      </c>
      <c r="L291" s="63">
        <f ca="1">IF(IntComp[[#This Row],[RAD/PACT by 2025]]="Yes",0,(IntComp[[#This Row],['# Int. Compactors to Replace]]*'Unit Costs'!$B$8)*(1+((IntComp[[#This Row],[est. Year]]-YEAR(TODAY()))*$L$2)))</f>
        <v>0</v>
      </c>
      <c r="M291" s="67">
        <f>SUM(INDEX(IntComp['# to Replace],1):IntComp[[#This Row],['# to Replace]])</f>
        <v>0</v>
      </c>
      <c r="N291" s="67">
        <f>ROUNDDOWN(IntComp[[#This Row],[Count]]/100,0)+$N$1</f>
        <v>2020</v>
      </c>
      <c r="O291" s="86">
        <f t="shared" ca="1" si="4"/>
        <v>132576110.10000008</v>
      </c>
    </row>
    <row r="292" spans="1:15" x14ac:dyDescent="0.25">
      <c r="A292" s="13" t="s">
        <v>338</v>
      </c>
      <c r="B292" s="9" t="str">
        <f>VLOOKUP(A292,Data[],2,FALSE)</f>
        <v>BROOKLYN</v>
      </c>
      <c r="C292" s="9" t="s">
        <v>106</v>
      </c>
      <c r="D292" s="9">
        <f>VLOOKUP(IntComp[[#This Row],[DEVELOPMENT]],Data[],31,FALSE)</f>
        <v>1</v>
      </c>
      <c r="E292" s="66">
        <f>VLOOKUP(IntComp[[#This Row],[DEVELOPMENT]],Data[],8,FALSE)</f>
        <v>0</v>
      </c>
      <c r="F292" s="66">
        <f>VLOOKUP(IntComp[[#This Row],[DEVELOPMENT]],Data[],9,FALSE)</f>
        <v>0</v>
      </c>
      <c r="G292" s="66"/>
      <c r="H292" s="66" t="str">
        <f>IFERROR(VLOOKUP(IntComp[[#This Row],[DEVELOPMENT]],Data[],4,FALSE),"")</f>
        <v/>
      </c>
      <c r="I292" s="66" t="str">
        <f>IF(IntComp[[#This Row],[RAD/PACT]]="","",IF(IntComp[[#This Row],[RAD/PACT]]&lt;=2025,"Yes",""))</f>
        <v/>
      </c>
      <c r="J292" s="67" t="str">
        <f ca="1">IF(VLOOKUP(IntComp[[#This Row],[DEVELOPMENT]],Data[],10,FALSE)=0,"",DATEDIF(VLOOKUP(IntComp[[#This Row],[DEVELOPMENT]],Data[],12,FALSE),TODAY(),"Y"))</f>
        <v/>
      </c>
      <c r="K292" s="67">
        <f>IF(IntComp[[#This Row],[RAD/PACT]]="",VLOOKUP(IntComp[[#This Row],[DEVELOPMENT]],Data[],10,FALSE),IF(IntComp[[#This Row],[RAD/PACT by 2025]]="yes",0,VLOOKUP(IntComp[[#This Row],[DEVELOPMENT]],Data[],10,FALSE)))</f>
        <v>0</v>
      </c>
      <c r="L292" s="63">
        <f ca="1">IF(IntComp[[#This Row],[RAD/PACT by 2025]]="Yes",0,(IntComp[[#This Row],['# Int. Compactors to Replace]]*'Unit Costs'!$B$8)*(1+((IntComp[[#This Row],[est. Year]]-YEAR(TODAY()))*$L$2)))</f>
        <v>73653.394499999995</v>
      </c>
      <c r="M292" s="67">
        <f>SUM(INDEX(IntComp['# to Replace],1):IntComp[[#This Row],['# to Replace]])</f>
        <v>0</v>
      </c>
      <c r="N292" s="67">
        <f>ROUNDDOWN(IntComp[[#This Row],[Count]]/100,0)+$N$1</f>
        <v>2020</v>
      </c>
      <c r="O292" s="86">
        <f t="shared" ca="1" si="4"/>
        <v>132649763.49450009</v>
      </c>
    </row>
    <row r="293" spans="1:15" x14ac:dyDescent="0.25">
      <c r="A293" s="13" t="s">
        <v>339</v>
      </c>
      <c r="B293" s="9" t="str">
        <f>VLOOKUP(A293,Data[],2,FALSE)</f>
        <v>BROOKLYN</v>
      </c>
      <c r="C293" s="9" t="s">
        <v>106</v>
      </c>
      <c r="D293" s="9">
        <f>VLOOKUP(IntComp[[#This Row],[DEVELOPMENT]],Data[],31,FALSE)</f>
        <v>2</v>
      </c>
      <c r="E293" s="66">
        <f>VLOOKUP(IntComp[[#This Row],[DEVELOPMENT]],Data[],8,FALSE)</f>
        <v>0</v>
      </c>
      <c r="F293" s="66">
        <f>VLOOKUP(IntComp[[#This Row],[DEVELOPMENT]],Data[],9,FALSE)</f>
        <v>0</v>
      </c>
      <c r="G293" s="66"/>
      <c r="H293" s="66" t="str">
        <f>IFERROR(VLOOKUP(IntComp[[#This Row],[DEVELOPMENT]],Data[],4,FALSE),"")</f>
        <v/>
      </c>
      <c r="I293" s="66" t="str">
        <f>IF(IntComp[[#This Row],[RAD/PACT]]="","",IF(IntComp[[#This Row],[RAD/PACT]]&lt;=2025,"Yes",""))</f>
        <v/>
      </c>
      <c r="J293" s="67" t="str">
        <f ca="1">IF(VLOOKUP(IntComp[[#This Row],[DEVELOPMENT]],Data[],10,FALSE)=0,"",DATEDIF(VLOOKUP(IntComp[[#This Row],[DEVELOPMENT]],Data[],12,FALSE),TODAY(),"Y"))</f>
        <v/>
      </c>
      <c r="K293" s="67">
        <f>IF(IntComp[[#This Row],[RAD/PACT]]="",VLOOKUP(IntComp[[#This Row],[DEVELOPMENT]],Data[],10,FALSE),IF(IntComp[[#This Row],[RAD/PACT by 2025]]="yes",0,VLOOKUP(IntComp[[#This Row],[DEVELOPMENT]],Data[],10,FALSE)))</f>
        <v>0</v>
      </c>
      <c r="L293" s="63">
        <f ca="1">IF(IntComp[[#This Row],[RAD/PACT by 2025]]="Yes",0,(IntComp[[#This Row],['# Int. Compactors to Replace]]*'Unit Costs'!$B$8)*(1+((IntComp[[#This Row],[est. Year]]-YEAR(TODAY()))*$L$2)))</f>
        <v>147306.78899999999</v>
      </c>
      <c r="M293" s="67">
        <f>SUM(INDEX(IntComp['# to Replace],1):IntComp[[#This Row],['# to Replace]])</f>
        <v>0</v>
      </c>
      <c r="N293" s="67">
        <f>ROUNDDOWN(IntComp[[#This Row],[Count]]/100,0)+$N$1</f>
        <v>2020</v>
      </c>
      <c r="O293" s="86">
        <f t="shared" ca="1" si="4"/>
        <v>132797070.28350009</v>
      </c>
    </row>
    <row r="294" spans="1:15" x14ac:dyDescent="0.25">
      <c r="A294" s="82" t="s">
        <v>56</v>
      </c>
      <c r="B294" s="1" t="str">
        <f>VLOOKUP(A294,Data[],2,FALSE)</f>
        <v>MANHATTAN</v>
      </c>
      <c r="C294" s="9" t="s">
        <v>106</v>
      </c>
      <c r="D294" s="9">
        <f>VLOOKUP(IntComp[[#This Row],[DEVELOPMENT]],Data[],31,FALSE)</f>
        <v>2</v>
      </c>
      <c r="E294" s="9" t="str">
        <f>VLOOKUP(IntComp[[#This Row],[DEVELOPMENT]],Data[],8,FALSE)</f>
        <v>Zone 1</v>
      </c>
      <c r="F294" s="9" t="str">
        <f>VLOOKUP(IntComp[[#This Row],[DEVELOPMENT]],Data[],9,FALSE)</f>
        <v>$$</v>
      </c>
      <c r="G294" s="9"/>
      <c r="H294" s="9" t="str">
        <f>IFERROR(VLOOKUP(IntComp[[#This Row],[DEVELOPMENT]],Data[],4,FALSE),"")</f>
        <v/>
      </c>
      <c r="I294" s="9" t="str">
        <f>IF(IntComp[[#This Row],[RAD/PACT]]="","",IF(IntComp[[#This Row],[RAD/PACT]]&lt;=2025,"Yes",""))</f>
        <v/>
      </c>
      <c r="J294" s="1" t="str">
        <f ca="1">IF(VLOOKUP(IntComp[[#This Row],[DEVELOPMENT]],Data[],10,FALSE)=0,"",DATEDIF(VLOOKUP(IntComp[[#This Row],[DEVELOPMENT]],Data[],12,FALSE),TODAY(),"Y"))</f>
        <v/>
      </c>
      <c r="K294" s="1">
        <f>IF(IntComp[[#This Row],[RAD/PACT]]="",VLOOKUP(IntComp[[#This Row],[DEVELOPMENT]],Data[],10,FALSE),IF(IntComp[[#This Row],[RAD/PACT by 2025]]="yes",0,VLOOKUP(IntComp[[#This Row],[DEVELOPMENT]],Data[],10,FALSE)))</f>
        <v>0</v>
      </c>
      <c r="L294" s="63">
        <f ca="1">IF(IntComp[[#This Row],[RAD/PACT by 2025]]="Yes",0,(IntComp[[#This Row],['# Int. Compactors to Replace]]*'Unit Costs'!$B$8)*(1+((IntComp[[#This Row],[est. Year]]-YEAR(TODAY()))*$L$2)))</f>
        <v>147306.78899999999</v>
      </c>
      <c r="M294" s="1">
        <f>SUM(INDEX(IntComp['# to Replace],1):IntComp[[#This Row],['# to Replace]])</f>
        <v>0</v>
      </c>
      <c r="N294" s="1">
        <f>ROUNDDOWN(IntComp[[#This Row],[Count]]/100,0)+$N$1</f>
        <v>2020</v>
      </c>
      <c r="O294" s="81">
        <f t="shared" ca="1" si="4"/>
        <v>132944377.07250009</v>
      </c>
    </row>
    <row r="295" spans="1:15" x14ac:dyDescent="0.25">
      <c r="A295" s="13" t="s">
        <v>108</v>
      </c>
      <c r="B295" s="1" t="str">
        <f>VLOOKUP(A295,Data[],2,FALSE)</f>
        <v>MANHATTAN</v>
      </c>
      <c r="C295" s="9" t="s">
        <v>106</v>
      </c>
      <c r="D295" s="9">
        <f>VLOOKUP(IntComp[[#This Row],[DEVELOPMENT]],Data[],31,FALSE)</f>
        <v>7</v>
      </c>
      <c r="E295" s="9" t="str">
        <f>VLOOKUP(IntComp[[#This Row],[DEVELOPMENT]],Data[],8,FALSE)</f>
        <v>Zone 1</v>
      </c>
      <c r="F295" s="9" t="str">
        <f>VLOOKUP(IntComp[[#This Row],[DEVELOPMENT]],Data[],9,FALSE)</f>
        <v>$</v>
      </c>
      <c r="G295" s="9"/>
      <c r="H295" s="9" t="str">
        <f>IFERROR(VLOOKUP(IntComp[[#This Row],[DEVELOPMENT]],Data[],4,FALSE),"")</f>
        <v/>
      </c>
      <c r="I295" s="9" t="str">
        <f>IF(IntComp[[#This Row],[RAD/PACT]]="","",IF(IntComp[[#This Row],[RAD/PACT]]&lt;=2025,"Yes",""))</f>
        <v/>
      </c>
      <c r="J295" s="1" t="str">
        <f ca="1">IF(VLOOKUP(IntComp[[#This Row],[DEVELOPMENT]],Data[],10,FALSE)=0,"",DATEDIF(VLOOKUP(IntComp[[#This Row],[DEVELOPMENT]],Data[],12,FALSE),TODAY(),"Y"))</f>
        <v/>
      </c>
      <c r="K295" s="1">
        <f>IF(IntComp[[#This Row],[RAD/PACT]]="",VLOOKUP(IntComp[[#This Row],[DEVELOPMENT]],Data[],10,FALSE),IF(IntComp[[#This Row],[RAD/PACT by 2025]]="yes",0,VLOOKUP(IntComp[[#This Row],[DEVELOPMENT]],Data[],10,FALSE)))</f>
        <v>0</v>
      </c>
      <c r="L295" s="63">
        <f ca="1">IF(IntComp[[#This Row],[RAD/PACT by 2025]]="Yes",0,(IntComp[[#This Row],['# Int. Compactors to Replace]]*'Unit Costs'!$B$8)*(1+((IntComp[[#This Row],[est. Year]]-YEAR(TODAY()))*$L$2)))</f>
        <v>515573.76149999991</v>
      </c>
      <c r="M295" s="1">
        <f>SUM(INDEX(IntComp['# to Replace],1):IntComp[[#This Row],['# to Replace]])</f>
        <v>0</v>
      </c>
      <c r="N295" s="1">
        <f>ROUNDDOWN(IntComp[[#This Row],[Count]]/100,0)+$N$1</f>
        <v>2020</v>
      </c>
      <c r="O295" s="81">
        <f t="shared" ca="1" si="4"/>
        <v>133459950.8340001</v>
      </c>
    </row>
    <row r="296" spans="1:15" x14ac:dyDescent="0.25">
      <c r="A296" s="13" t="s">
        <v>127</v>
      </c>
      <c r="B296" s="1" t="str">
        <f>VLOOKUP(A296,Data[],2,FALSE)</f>
        <v>MANHATTAN</v>
      </c>
      <c r="C296" s="9" t="s">
        <v>106</v>
      </c>
      <c r="D296" s="9">
        <f>VLOOKUP(IntComp[[#This Row],[DEVELOPMENT]],Data[],31,FALSE)</f>
        <v>22</v>
      </c>
      <c r="E296" s="9" t="str">
        <f>VLOOKUP(IntComp[[#This Row],[DEVELOPMENT]],Data[],8,FALSE)</f>
        <v>Zone 2</v>
      </c>
      <c r="F296" s="9" t="str">
        <f>VLOOKUP(IntComp[[#This Row],[DEVELOPMENT]],Data[],9,FALSE)</f>
        <v>$</v>
      </c>
      <c r="G296" s="9"/>
      <c r="H296" s="9" t="str">
        <f>IFERROR(VLOOKUP(IntComp[[#This Row],[DEVELOPMENT]],Data[],4,FALSE),"")</f>
        <v/>
      </c>
      <c r="I296" s="9" t="str">
        <f>IF(IntComp[[#This Row],[RAD/PACT]]="","",IF(IntComp[[#This Row],[RAD/PACT]]&lt;=2025,"Yes",""))</f>
        <v/>
      </c>
      <c r="J296" s="1" t="str">
        <f ca="1">IF(VLOOKUP(IntComp[[#This Row],[DEVELOPMENT]],Data[],10,FALSE)=0,"",DATEDIF(VLOOKUP(IntComp[[#This Row],[DEVELOPMENT]],Data[],12,FALSE),TODAY(),"Y"))</f>
        <v/>
      </c>
      <c r="K296" s="1">
        <f>IF(IntComp[[#This Row],[RAD/PACT]]="",VLOOKUP(IntComp[[#This Row],[DEVELOPMENT]],Data[],10,FALSE),IF(IntComp[[#This Row],[RAD/PACT by 2025]]="yes",0,VLOOKUP(IntComp[[#This Row],[DEVELOPMENT]],Data[],10,FALSE)))</f>
        <v>0</v>
      </c>
      <c r="L296" s="63">
        <f ca="1">IF(IntComp[[#This Row],[RAD/PACT by 2025]]="Yes",0,(IntComp[[#This Row],['# Int. Compactors to Replace]]*'Unit Costs'!$B$8)*(1+((IntComp[[#This Row],[est. Year]]-YEAR(TODAY()))*$L$2)))</f>
        <v>1620374.6789999998</v>
      </c>
      <c r="M296" s="1">
        <f>SUM(INDEX(IntComp['# to Replace],1):IntComp[[#This Row],['# to Replace]])</f>
        <v>0</v>
      </c>
      <c r="N296" s="1">
        <f>ROUNDDOWN(IntComp[[#This Row],[Count]]/100,0)+$N$1</f>
        <v>2020</v>
      </c>
      <c r="O296" s="81">
        <f t="shared" ca="1" si="4"/>
        <v>135080325.5130001</v>
      </c>
    </row>
    <row r="297" spans="1:15" x14ac:dyDescent="0.25">
      <c r="A297" s="82" t="s">
        <v>66</v>
      </c>
      <c r="B297" s="1" t="str">
        <f>VLOOKUP(A297,Data[],2,FALSE)</f>
        <v>MANHATTAN</v>
      </c>
      <c r="C297" s="9" t="s">
        <v>106</v>
      </c>
      <c r="D297" s="9">
        <f>VLOOKUP(IntComp[[#This Row],[DEVELOPMENT]],Data[],31,FALSE)</f>
        <v>17</v>
      </c>
      <c r="E297" s="9" t="str">
        <f>VLOOKUP(IntComp[[#This Row],[DEVELOPMENT]],Data[],8,FALSE)</f>
        <v>Zone 1</v>
      </c>
      <c r="F297" s="9" t="str">
        <f>VLOOKUP(IntComp[[#This Row],[DEVELOPMENT]],Data[],9,FALSE)</f>
        <v>$</v>
      </c>
      <c r="G297" s="9"/>
      <c r="H297" s="9" t="str">
        <f>IFERROR(VLOOKUP(IntComp[[#This Row],[DEVELOPMENT]],Data[],4,FALSE),"")</f>
        <v/>
      </c>
      <c r="I297" s="9" t="str">
        <f>IF(IntComp[[#This Row],[RAD/PACT]]="","",IF(IntComp[[#This Row],[RAD/PACT]]&lt;=2025,"Yes",""))</f>
        <v/>
      </c>
      <c r="J297" s="1" t="str">
        <f ca="1">IF(VLOOKUP(IntComp[[#This Row],[DEVELOPMENT]],Data[],10,FALSE)=0,"",DATEDIF(VLOOKUP(IntComp[[#This Row],[DEVELOPMENT]],Data[],12,FALSE),TODAY(),"Y"))</f>
        <v/>
      </c>
      <c r="K297" s="1">
        <f>IF(IntComp[[#This Row],[RAD/PACT]]="",VLOOKUP(IntComp[[#This Row],[DEVELOPMENT]],Data[],10,FALSE),IF(IntComp[[#This Row],[RAD/PACT by 2025]]="yes",0,VLOOKUP(IntComp[[#This Row],[DEVELOPMENT]],Data[],10,FALSE)))</f>
        <v>0</v>
      </c>
      <c r="L297" s="63">
        <f ca="1">IF(IntComp[[#This Row],[RAD/PACT by 2025]]="Yes",0,(IntComp[[#This Row],['# Int. Compactors to Replace]]*'Unit Costs'!$B$8)*(1+((IntComp[[#This Row],[est. Year]]-YEAR(TODAY()))*$L$2)))</f>
        <v>1252107.7064999999</v>
      </c>
      <c r="M297" s="1">
        <f>SUM(INDEX(IntComp['# to Replace],1):IntComp[[#This Row],['# to Replace]])</f>
        <v>0</v>
      </c>
      <c r="N297" s="1">
        <f>ROUNDDOWN(IntComp[[#This Row],[Count]]/100,0)+$N$1</f>
        <v>2020</v>
      </c>
      <c r="O297" s="81">
        <f t="shared" ca="1" si="4"/>
        <v>136332433.21950009</v>
      </c>
    </row>
    <row r="298" spans="1:15" x14ac:dyDescent="0.25">
      <c r="A298" s="13" t="s">
        <v>137</v>
      </c>
      <c r="B298" s="1" t="str">
        <f>VLOOKUP(A298,Data[],2,FALSE)</f>
        <v>MANHATTAN</v>
      </c>
      <c r="C298" s="9" t="s">
        <v>106</v>
      </c>
      <c r="D298" s="9">
        <f>VLOOKUP(IntComp[[#This Row],[DEVELOPMENT]],Data[],31,FALSE)</f>
        <v>14</v>
      </c>
      <c r="E298" s="9" t="str">
        <f>VLOOKUP(IntComp[[#This Row],[DEVELOPMENT]],Data[],8,FALSE)</f>
        <v>Zone 2</v>
      </c>
      <c r="F298" s="9" t="str">
        <f>VLOOKUP(IntComp[[#This Row],[DEVELOPMENT]],Data[],9,FALSE)</f>
        <v>$$$</v>
      </c>
      <c r="G298" s="9"/>
      <c r="H298" s="9">
        <f>IFERROR(VLOOKUP(IntComp[[#This Row],[DEVELOPMENT]],Data[],4,FALSE),"")</f>
        <v>2023</v>
      </c>
      <c r="I298" s="9" t="str">
        <f>IF(IntComp[[#This Row],[RAD/PACT]]="","",IF(IntComp[[#This Row],[RAD/PACT]]&lt;=2025,"Yes",""))</f>
        <v>Yes</v>
      </c>
      <c r="J298" s="1" t="str">
        <f ca="1">IF(VLOOKUP(IntComp[[#This Row],[DEVELOPMENT]],Data[],10,FALSE)=0,"",DATEDIF(VLOOKUP(IntComp[[#This Row],[DEVELOPMENT]],Data[],12,FALSE),TODAY(),"Y"))</f>
        <v/>
      </c>
      <c r="K298" s="1">
        <f>IF(IntComp[[#This Row],[RAD/PACT]]="",VLOOKUP(IntComp[[#This Row],[DEVELOPMENT]],Data[],10,FALSE),IF(IntComp[[#This Row],[RAD/PACT by 2025]]="yes",0,VLOOKUP(IntComp[[#This Row],[DEVELOPMENT]],Data[],10,FALSE)))</f>
        <v>0</v>
      </c>
      <c r="L298" s="63">
        <f ca="1">IF(IntComp[[#This Row],[RAD/PACT by 2025]]="Yes",0,(IntComp[[#This Row],['# Int. Compactors to Replace]]*'Unit Costs'!$B$8)*(1+((IntComp[[#This Row],[est. Year]]-YEAR(TODAY()))*$L$2)))</f>
        <v>0</v>
      </c>
      <c r="M298" s="1">
        <f>SUM(INDEX(IntComp['# to Replace],1):IntComp[[#This Row],['# to Replace]])</f>
        <v>0</v>
      </c>
      <c r="N298" s="1">
        <f>ROUNDDOWN(IntComp[[#This Row],[Count]]/100,0)+$N$1</f>
        <v>2020</v>
      </c>
      <c r="O298" s="81">
        <f t="shared" ca="1" si="4"/>
        <v>136332433.21950009</v>
      </c>
    </row>
    <row r="299" spans="1:15" x14ac:dyDescent="0.25">
      <c r="A299" s="13" t="s">
        <v>340</v>
      </c>
      <c r="B299" s="9" t="str">
        <f>VLOOKUP(A299,Data[],2,FALSE)</f>
        <v>MANHATTAN</v>
      </c>
      <c r="C299" s="9" t="s">
        <v>106</v>
      </c>
      <c r="D299" s="9">
        <f>VLOOKUP(IntComp[[#This Row],[DEVELOPMENT]],Data[],31,FALSE)</f>
        <v>6</v>
      </c>
      <c r="E299" s="66">
        <f>VLOOKUP(IntComp[[#This Row],[DEVELOPMENT]],Data[],8,FALSE)</f>
        <v>0</v>
      </c>
      <c r="F299" s="66">
        <f>VLOOKUP(IntComp[[#This Row],[DEVELOPMENT]],Data[],9,FALSE)</f>
        <v>0</v>
      </c>
      <c r="G299" s="66"/>
      <c r="H299" s="66">
        <f>IFERROR(VLOOKUP(IntComp[[#This Row],[DEVELOPMENT]],Data[],4,FALSE),"")</f>
        <v>2019</v>
      </c>
      <c r="I299" s="66" t="str">
        <f>IF(IntComp[[#This Row],[RAD/PACT]]="","",IF(IntComp[[#This Row],[RAD/PACT]]&lt;=2025,"Yes",""))</f>
        <v>Yes</v>
      </c>
      <c r="J299" s="67" t="str">
        <f ca="1">IF(VLOOKUP(IntComp[[#This Row],[DEVELOPMENT]],Data[],10,FALSE)=0,"",DATEDIF(VLOOKUP(IntComp[[#This Row],[DEVELOPMENT]],Data[],12,FALSE),TODAY(),"Y"))</f>
        <v/>
      </c>
      <c r="K299" s="67">
        <f>IF(IntComp[[#This Row],[RAD/PACT]]="",VLOOKUP(IntComp[[#This Row],[DEVELOPMENT]],Data[],10,FALSE),IF(IntComp[[#This Row],[RAD/PACT by 2025]]="yes",0,VLOOKUP(IntComp[[#This Row],[DEVELOPMENT]],Data[],10,FALSE)))</f>
        <v>0</v>
      </c>
      <c r="L299" s="63">
        <f ca="1">IF(IntComp[[#This Row],[RAD/PACT by 2025]]="Yes",0,(IntComp[[#This Row],['# Int. Compactors to Replace]]*'Unit Costs'!$B$8)*(1+((IntComp[[#This Row],[est. Year]]-YEAR(TODAY()))*$L$2)))</f>
        <v>0</v>
      </c>
      <c r="M299" s="67">
        <f>SUM(INDEX(IntComp['# to Replace],1):IntComp[[#This Row],['# to Replace]])</f>
        <v>0</v>
      </c>
      <c r="N299" s="67">
        <f>ROUNDDOWN(IntComp[[#This Row],[Count]]/100,0)+$N$1</f>
        <v>2020</v>
      </c>
      <c r="O299" s="86">
        <f t="shared" ca="1" si="4"/>
        <v>136332433.21950009</v>
      </c>
    </row>
    <row r="300" spans="1:15" x14ac:dyDescent="0.25">
      <c r="A300" s="13" t="s">
        <v>101</v>
      </c>
      <c r="B300" s="1" t="str">
        <f>VLOOKUP(A300,Data[],2,FALSE)</f>
        <v>MANHATTAN</v>
      </c>
      <c r="C300" s="9" t="s">
        <v>106</v>
      </c>
      <c r="D300" s="9">
        <f>VLOOKUP(IntComp[[#This Row],[DEVELOPMENT]],Data[],31,FALSE)</f>
        <v>0</v>
      </c>
      <c r="E300" s="9" t="str">
        <f>VLOOKUP(IntComp[[#This Row],[DEVELOPMENT]],Data[],8,FALSE)</f>
        <v>Zone 3</v>
      </c>
      <c r="F300" s="9" t="str">
        <f>VLOOKUP(IntComp[[#This Row],[DEVELOPMENT]],Data[],9,FALSE)</f>
        <v>$</v>
      </c>
      <c r="G300" s="9"/>
      <c r="H300" s="9">
        <f>IFERROR(VLOOKUP(IntComp[[#This Row],[DEVELOPMENT]],Data[],4,FALSE),"")</f>
        <v>2019</v>
      </c>
      <c r="I300" s="9" t="str">
        <f>IF(IntComp[[#This Row],[RAD/PACT]]="","",IF(IntComp[[#This Row],[RAD/PACT]]&lt;=2025,"Yes",""))</f>
        <v>Yes</v>
      </c>
      <c r="J300" s="1" t="str">
        <f ca="1">IF(VLOOKUP(IntComp[[#This Row],[DEVELOPMENT]],Data[],10,FALSE)=0,"",DATEDIF(VLOOKUP(IntComp[[#This Row],[DEVELOPMENT]],Data[],12,FALSE),TODAY(),"Y"))</f>
        <v/>
      </c>
      <c r="K300" s="1">
        <f>IF(IntComp[[#This Row],[RAD/PACT]]="",VLOOKUP(IntComp[[#This Row],[DEVELOPMENT]],Data[],10,FALSE),IF(IntComp[[#This Row],[RAD/PACT by 2025]]="yes",0,VLOOKUP(IntComp[[#This Row],[DEVELOPMENT]],Data[],10,FALSE)))</f>
        <v>0</v>
      </c>
      <c r="L300" s="63">
        <f ca="1">IF(IntComp[[#This Row],[RAD/PACT by 2025]]="Yes",0,(IntComp[[#This Row],['# Int. Compactors to Replace]]*'Unit Costs'!$B$8)*(1+((IntComp[[#This Row],[est. Year]]-YEAR(TODAY()))*$L$2)))</f>
        <v>0</v>
      </c>
      <c r="M300" s="1">
        <f>SUM(INDEX(IntComp['# to Replace],1):IntComp[[#This Row],['# to Replace]])</f>
        <v>0</v>
      </c>
      <c r="N300" s="1">
        <f>ROUNDDOWN(IntComp[[#This Row],[Count]]/100,0)+$N$1</f>
        <v>2020</v>
      </c>
      <c r="O300" s="81">
        <f t="shared" ca="1" si="4"/>
        <v>136332433.21950009</v>
      </c>
    </row>
    <row r="301" spans="1:15" x14ac:dyDescent="0.25">
      <c r="A301" s="13" t="s">
        <v>341</v>
      </c>
      <c r="B301" s="9" t="str">
        <f>VLOOKUP(A301,Data[],2,FALSE)</f>
        <v>MANHATTAN</v>
      </c>
      <c r="C301" s="9" t="s">
        <v>106</v>
      </c>
      <c r="D301" s="9">
        <f>VLOOKUP(IntComp[[#This Row],[DEVELOPMENT]],Data[],31,FALSE)</f>
        <v>3</v>
      </c>
      <c r="E301" s="66">
        <f>VLOOKUP(IntComp[[#This Row],[DEVELOPMENT]],Data[],8,FALSE)</f>
        <v>0</v>
      </c>
      <c r="F301" s="66">
        <f>VLOOKUP(IntComp[[#This Row],[DEVELOPMENT]],Data[],9,FALSE)</f>
        <v>0</v>
      </c>
      <c r="G301" s="66"/>
      <c r="H301" s="66" t="str">
        <f>IFERROR(VLOOKUP(IntComp[[#This Row],[DEVELOPMENT]],Data[],4,FALSE),"")</f>
        <v/>
      </c>
      <c r="I301" s="66" t="str">
        <f>IF(IntComp[[#This Row],[RAD/PACT]]="","",IF(IntComp[[#This Row],[RAD/PACT]]&lt;=2025,"Yes",""))</f>
        <v/>
      </c>
      <c r="J301" s="67" t="str">
        <f ca="1">IF(VLOOKUP(IntComp[[#This Row],[DEVELOPMENT]],Data[],10,FALSE)=0,"",DATEDIF(VLOOKUP(IntComp[[#This Row],[DEVELOPMENT]],Data[],12,FALSE),TODAY(),"Y"))</f>
        <v/>
      </c>
      <c r="K301" s="67">
        <f>IF(IntComp[[#This Row],[RAD/PACT]]="",VLOOKUP(IntComp[[#This Row],[DEVELOPMENT]],Data[],10,FALSE),IF(IntComp[[#This Row],[RAD/PACT by 2025]]="yes",0,VLOOKUP(IntComp[[#This Row],[DEVELOPMENT]],Data[],10,FALSE)))</f>
        <v>0</v>
      </c>
      <c r="L301" s="63">
        <f ca="1">IF(IntComp[[#This Row],[RAD/PACT by 2025]]="Yes",0,(IntComp[[#This Row],['# Int. Compactors to Replace]]*'Unit Costs'!$B$8)*(1+((IntComp[[#This Row],[est. Year]]-YEAR(TODAY()))*$L$2)))</f>
        <v>220960.18349999996</v>
      </c>
      <c r="M301" s="67">
        <f>SUM(INDEX(IntComp['# to Replace],1):IntComp[[#This Row],['# to Replace]])</f>
        <v>0</v>
      </c>
      <c r="N301" s="67">
        <f>ROUNDDOWN(IntComp[[#This Row],[Count]]/100,0)+$N$1</f>
        <v>2020</v>
      </c>
      <c r="O301" s="86">
        <f t="shared" ca="1" si="4"/>
        <v>136553393.40300009</v>
      </c>
    </row>
    <row r="302" spans="1:15" x14ac:dyDescent="0.25">
      <c r="A302" s="13" t="s">
        <v>342</v>
      </c>
      <c r="B302" s="9" t="str">
        <f>VLOOKUP(A302,Data[],2,FALSE)</f>
        <v>MANHATTAN</v>
      </c>
      <c r="C302" s="9" t="s">
        <v>106</v>
      </c>
      <c r="D302" s="9">
        <f>VLOOKUP(IntComp[[#This Row],[DEVELOPMENT]],Data[],31,FALSE)</f>
        <v>1</v>
      </c>
      <c r="E302" s="66">
        <f>VLOOKUP(IntComp[[#This Row],[DEVELOPMENT]],Data[],8,FALSE)</f>
        <v>0</v>
      </c>
      <c r="F302" s="66">
        <f>VLOOKUP(IntComp[[#This Row],[DEVELOPMENT]],Data[],9,FALSE)</f>
        <v>0</v>
      </c>
      <c r="G302" s="66"/>
      <c r="H302" s="66" t="str">
        <f>IFERROR(VLOOKUP(IntComp[[#This Row],[DEVELOPMENT]],Data[],4,FALSE),"")</f>
        <v/>
      </c>
      <c r="I302" s="66" t="str">
        <f>IF(IntComp[[#This Row],[RAD/PACT]]="","",IF(IntComp[[#This Row],[RAD/PACT]]&lt;=2025,"Yes",""))</f>
        <v/>
      </c>
      <c r="J302" s="67" t="str">
        <f ca="1">IF(VLOOKUP(IntComp[[#This Row],[DEVELOPMENT]],Data[],10,FALSE)=0,"",DATEDIF(VLOOKUP(IntComp[[#This Row],[DEVELOPMENT]],Data[],12,FALSE),TODAY(),"Y"))</f>
        <v/>
      </c>
      <c r="K302" s="67">
        <f>IF(IntComp[[#This Row],[RAD/PACT]]="",VLOOKUP(IntComp[[#This Row],[DEVELOPMENT]],Data[],10,FALSE),IF(IntComp[[#This Row],[RAD/PACT by 2025]]="yes",0,VLOOKUP(IntComp[[#This Row],[DEVELOPMENT]],Data[],10,FALSE)))</f>
        <v>0</v>
      </c>
      <c r="L302" s="63">
        <f ca="1">IF(IntComp[[#This Row],[RAD/PACT by 2025]]="Yes",0,(IntComp[[#This Row],['# Int. Compactors to Replace]]*'Unit Costs'!$B$8)*(1+((IntComp[[#This Row],[est. Year]]-YEAR(TODAY()))*$L$2)))</f>
        <v>73653.394499999995</v>
      </c>
      <c r="M302" s="67">
        <f>SUM(INDEX(IntComp['# to Replace],1):IntComp[[#This Row],['# to Replace]])</f>
        <v>0</v>
      </c>
      <c r="N302" s="67">
        <f>ROUNDDOWN(IntComp[[#This Row],[Count]]/100,0)+$N$1</f>
        <v>2020</v>
      </c>
      <c r="O302" s="86">
        <f t="shared" ca="1" si="4"/>
        <v>136627046.79750007</v>
      </c>
    </row>
    <row r="303" spans="1:15" x14ac:dyDescent="0.25">
      <c r="A303" s="13" t="s">
        <v>343</v>
      </c>
      <c r="B303" s="9" t="str">
        <f>VLOOKUP(A303,Data[],2,FALSE)</f>
        <v>MANHATTAN</v>
      </c>
      <c r="C303" s="9" t="s">
        <v>106</v>
      </c>
      <c r="D303" s="9">
        <f>VLOOKUP(IntComp[[#This Row],[DEVELOPMENT]],Data[],31,FALSE)</f>
        <v>2</v>
      </c>
      <c r="E303" s="66">
        <f>VLOOKUP(IntComp[[#This Row],[DEVELOPMENT]],Data[],8,FALSE)</f>
        <v>0</v>
      </c>
      <c r="F303" s="66">
        <f>VLOOKUP(IntComp[[#This Row],[DEVELOPMENT]],Data[],9,FALSE)</f>
        <v>0</v>
      </c>
      <c r="G303" s="66"/>
      <c r="H303" s="66">
        <f>IFERROR(VLOOKUP(IntComp[[#This Row],[DEVELOPMENT]],Data[],4,FALSE),"")</f>
        <v>2019</v>
      </c>
      <c r="I303" s="66" t="str">
        <f>IF(IntComp[[#This Row],[RAD/PACT]]="","",IF(IntComp[[#This Row],[RAD/PACT]]&lt;=2025,"Yes",""))</f>
        <v>Yes</v>
      </c>
      <c r="J303" s="67" t="str">
        <f ca="1">IF(VLOOKUP(IntComp[[#This Row],[DEVELOPMENT]],Data[],10,FALSE)=0,"",DATEDIF(VLOOKUP(IntComp[[#This Row],[DEVELOPMENT]],Data[],12,FALSE),TODAY(),"Y"))</f>
        <v/>
      </c>
      <c r="K303" s="67">
        <f>IF(IntComp[[#This Row],[RAD/PACT]]="",VLOOKUP(IntComp[[#This Row],[DEVELOPMENT]],Data[],10,FALSE),IF(IntComp[[#This Row],[RAD/PACT by 2025]]="yes",0,VLOOKUP(IntComp[[#This Row],[DEVELOPMENT]],Data[],10,FALSE)))</f>
        <v>0</v>
      </c>
      <c r="L303" s="63">
        <f ca="1">IF(IntComp[[#This Row],[RAD/PACT by 2025]]="Yes",0,(IntComp[[#This Row],['# Int. Compactors to Replace]]*'Unit Costs'!$B$8)*(1+((IntComp[[#This Row],[est. Year]]-YEAR(TODAY()))*$L$2)))</f>
        <v>0</v>
      </c>
      <c r="M303" s="67">
        <f>SUM(INDEX(IntComp['# to Replace],1):IntComp[[#This Row],['# to Replace]])</f>
        <v>0</v>
      </c>
      <c r="N303" s="67">
        <f>ROUNDDOWN(IntComp[[#This Row],[Count]]/100,0)+$N$1</f>
        <v>2020</v>
      </c>
      <c r="O303" s="86">
        <f t="shared" ca="1" si="4"/>
        <v>136627046.79750007</v>
      </c>
    </row>
    <row r="304" spans="1:15" x14ac:dyDescent="0.25">
      <c r="A304" s="13" t="s">
        <v>344</v>
      </c>
      <c r="B304" s="9" t="str">
        <f>VLOOKUP(A304,Data[],2,FALSE)</f>
        <v>MANHATTAN</v>
      </c>
      <c r="C304" s="9" t="s">
        <v>106</v>
      </c>
      <c r="D304" s="9">
        <f>VLOOKUP(IntComp[[#This Row],[DEVELOPMENT]],Data[],31,FALSE)</f>
        <v>2</v>
      </c>
      <c r="E304" s="66">
        <f>VLOOKUP(IntComp[[#This Row],[DEVELOPMENT]],Data[],8,FALSE)</f>
        <v>0</v>
      </c>
      <c r="F304" s="66">
        <f>VLOOKUP(IntComp[[#This Row],[DEVELOPMENT]],Data[],9,FALSE)</f>
        <v>0</v>
      </c>
      <c r="G304" s="66"/>
      <c r="H304" s="66">
        <f>IFERROR(VLOOKUP(IntComp[[#This Row],[DEVELOPMENT]],Data[],4,FALSE),"")</f>
        <v>2019</v>
      </c>
      <c r="I304" s="66" t="str">
        <f>IF(IntComp[[#This Row],[RAD/PACT]]="","",IF(IntComp[[#This Row],[RAD/PACT]]&lt;=2025,"Yes",""))</f>
        <v>Yes</v>
      </c>
      <c r="J304" s="67" t="str">
        <f ca="1">IF(VLOOKUP(IntComp[[#This Row],[DEVELOPMENT]],Data[],10,FALSE)=0,"",DATEDIF(VLOOKUP(IntComp[[#This Row],[DEVELOPMENT]],Data[],12,FALSE),TODAY(),"Y"))</f>
        <v/>
      </c>
      <c r="K304" s="67">
        <f>IF(IntComp[[#This Row],[RAD/PACT]]="",VLOOKUP(IntComp[[#This Row],[DEVELOPMENT]],Data[],10,FALSE),IF(IntComp[[#This Row],[RAD/PACT by 2025]]="yes",0,VLOOKUP(IntComp[[#This Row],[DEVELOPMENT]],Data[],10,FALSE)))</f>
        <v>0</v>
      </c>
      <c r="L304" s="63">
        <f ca="1">IF(IntComp[[#This Row],[RAD/PACT by 2025]]="Yes",0,(IntComp[[#This Row],['# Int. Compactors to Replace]]*'Unit Costs'!$B$8)*(1+((IntComp[[#This Row],[est. Year]]-YEAR(TODAY()))*$L$2)))</f>
        <v>0</v>
      </c>
      <c r="M304" s="67">
        <f>SUM(INDEX(IntComp['# to Replace],1):IntComp[[#This Row],['# to Replace]])</f>
        <v>0</v>
      </c>
      <c r="N304" s="67">
        <f>ROUNDDOWN(IntComp[[#This Row],[Count]]/100,0)+$N$1</f>
        <v>2020</v>
      </c>
      <c r="O304" s="86">
        <f t="shared" ca="1" si="4"/>
        <v>136627046.79750007</v>
      </c>
    </row>
    <row r="305" spans="1:15" x14ac:dyDescent="0.25">
      <c r="A305" s="13" t="s">
        <v>47</v>
      </c>
      <c r="B305" s="1" t="str">
        <f>VLOOKUP(A305,Data[],2,FALSE)</f>
        <v>BRONX</v>
      </c>
      <c r="C305" s="9" t="s">
        <v>106</v>
      </c>
      <c r="D305" s="9">
        <f>VLOOKUP(IntComp[[#This Row],[DEVELOPMENT]],Data[],31,FALSE)</f>
        <v>5</v>
      </c>
      <c r="E305" s="9" t="str">
        <f>VLOOKUP(IntComp[[#This Row],[DEVELOPMENT]],Data[],8,FALSE)</f>
        <v>Zone 1</v>
      </c>
      <c r="F305" s="9" t="str">
        <f>VLOOKUP(IntComp[[#This Row],[DEVELOPMENT]],Data[],9,FALSE)</f>
        <v>$</v>
      </c>
      <c r="G305" s="9"/>
      <c r="H305" s="9" t="str">
        <f>IFERROR(VLOOKUP(IntComp[[#This Row],[DEVELOPMENT]],Data[],4,FALSE),"")</f>
        <v/>
      </c>
      <c r="I305" s="9" t="str">
        <f>IF(IntComp[[#This Row],[RAD/PACT]]="","",IF(IntComp[[#This Row],[RAD/PACT]]&lt;=2025,"Yes",""))</f>
        <v/>
      </c>
      <c r="J305" s="1" t="str">
        <f ca="1">IF(VLOOKUP(IntComp[[#This Row],[DEVELOPMENT]],Data[],10,FALSE)=0,"",DATEDIF(VLOOKUP(IntComp[[#This Row],[DEVELOPMENT]],Data[],12,FALSE),TODAY(),"Y"))</f>
        <v/>
      </c>
      <c r="K305" s="1">
        <f>IF(IntComp[[#This Row],[RAD/PACT]]="",VLOOKUP(IntComp[[#This Row],[DEVELOPMENT]],Data[],10,FALSE),IF(IntComp[[#This Row],[RAD/PACT by 2025]]="yes",0,VLOOKUP(IntComp[[#This Row],[DEVELOPMENT]],Data[],10,FALSE)))</f>
        <v>0</v>
      </c>
      <c r="L305" s="63">
        <f ca="1">IF(IntComp[[#This Row],[RAD/PACT by 2025]]="Yes",0,(IntComp[[#This Row],['# Int. Compactors to Replace]]*'Unit Costs'!$B$8)*(1+((IntComp[[#This Row],[est. Year]]-YEAR(TODAY()))*$L$2)))</f>
        <v>368266.97249999997</v>
      </c>
      <c r="M305" s="1">
        <f>SUM(INDEX(IntComp['# to Replace],1):IntComp[[#This Row],['# to Replace]])</f>
        <v>0</v>
      </c>
      <c r="N305" s="1">
        <f>ROUNDDOWN(IntComp[[#This Row],[Count]]/100,0)+$N$1</f>
        <v>2020</v>
      </c>
      <c r="O305" s="81">
        <f t="shared" ca="1" si="4"/>
        <v>136995313.77000007</v>
      </c>
    </row>
    <row r="306" spans="1:15" x14ac:dyDescent="0.25">
      <c r="A306" s="13" t="s">
        <v>345</v>
      </c>
      <c r="B306" s="9" t="str">
        <f>VLOOKUP(A306,Data[],2,FALSE)</f>
        <v>BROOKLYN</v>
      </c>
      <c r="C306" s="9" t="s">
        <v>106</v>
      </c>
      <c r="D306" s="9">
        <f>VLOOKUP(IntComp[[#This Row],[DEVELOPMENT]],Data[],31,FALSE)</f>
        <v>0</v>
      </c>
      <c r="E306" s="66">
        <f>VLOOKUP(IntComp[[#This Row],[DEVELOPMENT]],Data[],8,FALSE)</f>
        <v>0</v>
      </c>
      <c r="F306" s="66">
        <f>VLOOKUP(IntComp[[#This Row],[DEVELOPMENT]],Data[],9,FALSE)</f>
        <v>0</v>
      </c>
      <c r="G306" s="66"/>
      <c r="H306" s="66">
        <f>IFERROR(VLOOKUP(IntComp[[#This Row],[DEVELOPMENT]],Data[],4,FALSE),"")</f>
        <v>2019</v>
      </c>
      <c r="I306" s="66" t="str">
        <f>IF(IntComp[[#This Row],[RAD/PACT]]="","",IF(IntComp[[#This Row],[RAD/PACT]]&lt;=2025,"Yes",""))</f>
        <v>Yes</v>
      </c>
      <c r="J306" s="67" t="str">
        <f ca="1">IF(VLOOKUP(IntComp[[#This Row],[DEVELOPMENT]],Data[],10,FALSE)=0,"",DATEDIF(VLOOKUP(IntComp[[#This Row],[DEVELOPMENT]],Data[],12,FALSE),TODAY(),"Y"))</f>
        <v/>
      </c>
      <c r="K306" s="67">
        <f>IF(IntComp[[#This Row],[RAD/PACT]]="",VLOOKUP(IntComp[[#This Row],[DEVELOPMENT]],Data[],10,FALSE),IF(IntComp[[#This Row],[RAD/PACT by 2025]]="yes",0,VLOOKUP(IntComp[[#This Row],[DEVELOPMENT]],Data[],10,FALSE)))</f>
        <v>0</v>
      </c>
      <c r="L306" s="63">
        <f ca="1">IF(IntComp[[#This Row],[RAD/PACT by 2025]]="Yes",0,(IntComp[[#This Row],['# Int. Compactors to Replace]]*'Unit Costs'!$B$8)*(1+((IntComp[[#This Row],[est. Year]]-YEAR(TODAY()))*$L$2)))</f>
        <v>0</v>
      </c>
      <c r="M306" s="67">
        <f>SUM(INDEX(IntComp['# to Replace],1):IntComp[[#This Row],['# to Replace]])</f>
        <v>0</v>
      </c>
      <c r="N306" s="67">
        <f>ROUNDDOWN(IntComp[[#This Row],[Count]]/100,0)+$N$1</f>
        <v>2020</v>
      </c>
      <c r="O306" s="86">
        <f t="shared" ca="1" si="4"/>
        <v>136995313.77000007</v>
      </c>
    </row>
    <row r="307" spans="1:15" x14ac:dyDescent="0.25">
      <c r="A307" s="13" t="s">
        <v>346</v>
      </c>
      <c r="B307" s="9" t="str">
        <f>VLOOKUP(A307,Data[],2,FALSE)</f>
        <v>STATEN ISLAND</v>
      </c>
      <c r="C307" s="9" t="s">
        <v>106</v>
      </c>
      <c r="D307" s="9">
        <f>VLOOKUP(IntComp[[#This Row],[DEVELOPMENT]],Data[],31,FALSE)</f>
        <v>8</v>
      </c>
      <c r="E307" s="66">
        <f>VLOOKUP(IntComp[[#This Row],[DEVELOPMENT]],Data[],8,FALSE)</f>
        <v>0</v>
      </c>
      <c r="F307" s="66">
        <f>VLOOKUP(IntComp[[#This Row],[DEVELOPMENT]],Data[],9,FALSE)</f>
        <v>0</v>
      </c>
      <c r="G307" s="66"/>
      <c r="H307" s="66" t="str">
        <f>IFERROR(VLOOKUP(IntComp[[#This Row],[DEVELOPMENT]],Data[],4,FALSE),"")</f>
        <v/>
      </c>
      <c r="I307" s="66" t="str">
        <f>IF(IntComp[[#This Row],[RAD/PACT]]="","",IF(IntComp[[#This Row],[RAD/PACT]]&lt;=2025,"Yes",""))</f>
        <v/>
      </c>
      <c r="J307" s="67" t="str">
        <f ca="1">IF(VLOOKUP(IntComp[[#This Row],[DEVELOPMENT]],Data[],10,FALSE)=0,"",DATEDIF(VLOOKUP(IntComp[[#This Row],[DEVELOPMENT]],Data[],12,FALSE),TODAY(),"Y"))</f>
        <v/>
      </c>
      <c r="K307" s="67">
        <f>IF(IntComp[[#This Row],[RAD/PACT]]="",VLOOKUP(IntComp[[#This Row],[DEVELOPMENT]],Data[],10,FALSE),IF(IntComp[[#This Row],[RAD/PACT by 2025]]="yes",0,VLOOKUP(IntComp[[#This Row],[DEVELOPMENT]],Data[],10,FALSE)))</f>
        <v>0</v>
      </c>
      <c r="L307" s="63">
        <f ca="1">IF(IntComp[[#This Row],[RAD/PACT by 2025]]="Yes",0,(IntComp[[#This Row],['# Int. Compactors to Replace]]*'Unit Costs'!$B$8)*(1+((IntComp[[#This Row],[est. Year]]-YEAR(TODAY()))*$L$2)))</f>
        <v>589227.15599999996</v>
      </c>
      <c r="M307" s="67">
        <f>SUM(INDEX(IntComp['# to Replace],1):IntComp[[#This Row],['# to Replace]])</f>
        <v>0</v>
      </c>
      <c r="N307" s="67">
        <f>ROUNDDOWN(IntComp[[#This Row],[Count]]/100,0)+$N$1</f>
        <v>2020</v>
      </c>
      <c r="O307" s="86">
        <f t="shared" ca="1" si="4"/>
        <v>137584540.92600006</v>
      </c>
    </row>
    <row r="308" spans="1:15" x14ac:dyDescent="0.25">
      <c r="A308" s="13" t="s">
        <v>347</v>
      </c>
      <c r="B308" s="9" t="str">
        <f>VLOOKUP(A308,Data[],2,FALSE)</f>
        <v>STATEN ISLAND</v>
      </c>
      <c r="C308" s="9" t="s">
        <v>106</v>
      </c>
      <c r="D308" s="9">
        <f>VLOOKUP(IntComp[[#This Row],[DEVELOPMENT]],Data[],31,FALSE)</f>
        <v>0</v>
      </c>
      <c r="E308" s="66">
        <f>VLOOKUP(IntComp[[#This Row],[DEVELOPMENT]],Data[],8,FALSE)</f>
        <v>0</v>
      </c>
      <c r="F308" s="66">
        <f>VLOOKUP(IntComp[[#This Row],[DEVELOPMENT]],Data[],9,FALSE)</f>
        <v>0</v>
      </c>
      <c r="G308" s="66"/>
      <c r="H308" s="66" t="str">
        <f>IFERROR(VLOOKUP(IntComp[[#This Row],[DEVELOPMENT]],Data[],4,FALSE),"")</f>
        <v/>
      </c>
      <c r="I308" s="66" t="str">
        <f>IF(IntComp[[#This Row],[RAD/PACT]]="","",IF(IntComp[[#This Row],[RAD/PACT]]&lt;=2025,"Yes",""))</f>
        <v/>
      </c>
      <c r="J308" s="67" t="str">
        <f ca="1">IF(VLOOKUP(IntComp[[#This Row],[DEVELOPMENT]],Data[],10,FALSE)=0,"",DATEDIF(VLOOKUP(IntComp[[#This Row],[DEVELOPMENT]],Data[],12,FALSE),TODAY(),"Y"))</f>
        <v/>
      </c>
      <c r="K308" s="67">
        <f>IF(IntComp[[#This Row],[RAD/PACT]]="",VLOOKUP(IntComp[[#This Row],[DEVELOPMENT]],Data[],10,FALSE),IF(IntComp[[#This Row],[RAD/PACT by 2025]]="yes",0,VLOOKUP(IntComp[[#This Row],[DEVELOPMENT]],Data[],10,FALSE)))</f>
        <v>0</v>
      </c>
      <c r="L308" s="63">
        <f ca="1">IF(IntComp[[#This Row],[RAD/PACT by 2025]]="Yes",0,(IntComp[[#This Row],['# Int. Compactors to Replace]]*'Unit Costs'!$B$8)*(1+((IntComp[[#This Row],[est. Year]]-YEAR(TODAY()))*$L$2)))</f>
        <v>0</v>
      </c>
      <c r="M308" s="67">
        <f>SUM(INDEX(IntComp['# to Replace],1):IntComp[[#This Row],['# to Replace]])</f>
        <v>0</v>
      </c>
      <c r="N308" s="67">
        <f>ROUNDDOWN(IntComp[[#This Row],[Count]]/100,0)+$N$1</f>
        <v>2020</v>
      </c>
      <c r="O308" s="86">
        <f t="shared" ca="1" si="4"/>
        <v>137584540.92600006</v>
      </c>
    </row>
    <row r="309" spans="1:15" x14ac:dyDescent="0.25">
      <c r="A309" s="13" t="s">
        <v>348</v>
      </c>
      <c r="B309" s="9" t="str">
        <f>VLOOKUP(A309,Data[],2,FALSE)</f>
        <v>BRONX</v>
      </c>
      <c r="C309" s="9" t="s">
        <v>106</v>
      </c>
      <c r="D309" s="9">
        <f>VLOOKUP(IntComp[[#This Row],[DEVELOPMENT]],Data[],31,FALSE)</f>
        <v>7</v>
      </c>
      <c r="E309" s="66">
        <f>VLOOKUP(IntComp[[#This Row],[DEVELOPMENT]],Data[],8,FALSE)</f>
        <v>0</v>
      </c>
      <c r="F309" s="66">
        <f>VLOOKUP(IntComp[[#This Row],[DEVELOPMENT]],Data[],9,FALSE)</f>
        <v>0</v>
      </c>
      <c r="G309" s="66"/>
      <c r="H309" s="66" t="str">
        <f>IFERROR(VLOOKUP(IntComp[[#This Row],[DEVELOPMENT]],Data[],4,FALSE),"")</f>
        <v/>
      </c>
      <c r="I309" s="66" t="str">
        <f>IF(IntComp[[#This Row],[RAD/PACT]]="","",IF(IntComp[[#This Row],[RAD/PACT]]&lt;=2025,"Yes",""))</f>
        <v/>
      </c>
      <c r="J309" s="67" t="str">
        <f ca="1">IF(VLOOKUP(IntComp[[#This Row],[DEVELOPMENT]],Data[],10,FALSE)=0,"",DATEDIF(VLOOKUP(IntComp[[#This Row],[DEVELOPMENT]],Data[],12,FALSE),TODAY(),"Y"))</f>
        <v/>
      </c>
      <c r="K309" s="67">
        <f>IF(IntComp[[#This Row],[RAD/PACT]]="",VLOOKUP(IntComp[[#This Row],[DEVELOPMENT]],Data[],10,FALSE),IF(IntComp[[#This Row],[RAD/PACT by 2025]]="yes",0,VLOOKUP(IntComp[[#This Row],[DEVELOPMENT]],Data[],10,FALSE)))</f>
        <v>0</v>
      </c>
      <c r="L309" s="63">
        <f ca="1">IF(IntComp[[#This Row],[RAD/PACT by 2025]]="Yes",0,(IntComp[[#This Row],['# Int. Compactors to Replace]]*'Unit Costs'!$B$8)*(1+((IntComp[[#This Row],[est. Year]]-YEAR(TODAY()))*$L$2)))</f>
        <v>515573.76149999991</v>
      </c>
      <c r="M309" s="67">
        <f>SUM(INDEX(IntComp['# to Replace],1):IntComp[[#This Row],['# to Replace]])</f>
        <v>0</v>
      </c>
      <c r="N309" s="67">
        <f>ROUNDDOWN(IntComp[[#This Row],[Count]]/100,0)+$N$1</f>
        <v>2020</v>
      </c>
      <c r="O309" s="86">
        <f t="shared" ca="1" si="4"/>
        <v>138100114.68750006</v>
      </c>
    </row>
    <row r="310" spans="1:15" x14ac:dyDescent="0.25">
      <c r="A310" s="13" t="s">
        <v>349</v>
      </c>
      <c r="B310" s="9" t="str">
        <f>VLOOKUP(A310,Data[],2,FALSE)</f>
        <v>BRONX</v>
      </c>
      <c r="C310" s="9" t="s">
        <v>106</v>
      </c>
      <c r="D310" s="9">
        <f>VLOOKUP(IntComp[[#This Row],[DEVELOPMENT]],Data[],31,FALSE)</f>
        <v>1</v>
      </c>
      <c r="E310" s="66">
        <f>VLOOKUP(IntComp[[#This Row],[DEVELOPMENT]],Data[],8,FALSE)</f>
        <v>0</v>
      </c>
      <c r="F310" s="66">
        <f>VLOOKUP(IntComp[[#This Row],[DEVELOPMENT]],Data[],9,FALSE)</f>
        <v>0</v>
      </c>
      <c r="G310" s="66"/>
      <c r="H310" s="66" t="str">
        <f>IFERROR(VLOOKUP(IntComp[[#This Row],[DEVELOPMENT]],Data[],4,FALSE),"")</f>
        <v/>
      </c>
      <c r="I310" s="66" t="str">
        <f>IF(IntComp[[#This Row],[RAD/PACT]]="","",IF(IntComp[[#This Row],[RAD/PACT]]&lt;=2025,"Yes",""))</f>
        <v/>
      </c>
      <c r="J310" s="67" t="str">
        <f ca="1">IF(VLOOKUP(IntComp[[#This Row],[DEVELOPMENT]],Data[],10,FALSE)=0,"",DATEDIF(VLOOKUP(IntComp[[#This Row],[DEVELOPMENT]],Data[],12,FALSE),TODAY(),"Y"))</f>
        <v/>
      </c>
      <c r="K310" s="67">
        <f>IF(IntComp[[#This Row],[RAD/PACT]]="",VLOOKUP(IntComp[[#This Row],[DEVELOPMENT]],Data[],10,FALSE),IF(IntComp[[#This Row],[RAD/PACT by 2025]]="yes",0,VLOOKUP(IntComp[[#This Row],[DEVELOPMENT]],Data[],10,FALSE)))</f>
        <v>0</v>
      </c>
      <c r="L310" s="63">
        <f ca="1">IF(IntComp[[#This Row],[RAD/PACT by 2025]]="Yes",0,(IntComp[[#This Row],['# Int. Compactors to Replace]]*'Unit Costs'!$B$8)*(1+((IntComp[[#This Row],[est. Year]]-YEAR(TODAY()))*$L$2)))</f>
        <v>73653.394499999995</v>
      </c>
      <c r="M310" s="67">
        <f>SUM(INDEX(IntComp['# to Replace],1):IntComp[[#This Row],['# to Replace]])</f>
        <v>0</v>
      </c>
      <c r="N310" s="67">
        <f>ROUNDDOWN(IntComp[[#This Row],[Count]]/100,0)+$N$1</f>
        <v>2020</v>
      </c>
      <c r="O310" s="86">
        <f t="shared" ca="1" si="4"/>
        <v>138173768.08200005</v>
      </c>
    </row>
    <row r="311" spans="1:15" x14ac:dyDescent="0.25">
      <c r="A311" s="13" t="s">
        <v>350</v>
      </c>
      <c r="B311" s="9" t="str">
        <f>VLOOKUP(A311,Data[],2,FALSE)</f>
        <v>BRONX</v>
      </c>
      <c r="C311" s="9" t="s">
        <v>106</v>
      </c>
      <c r="D311" s="9">
        <f>VLOOKUP(IntComp[[#This Row],[DEVELOPMENT]],Data[],31,FALSE)</f>
        <v>1</v>
      </c>
      <c r="E311" s="66" t="str">
        <f>VLOOKUP(IntComp[[#This Row],[DEVELOPMENT]],Data[],8,FALSE)</f>
        <v>Zone 4</v>
      </c>
      <c r="F311" s="66">
        <f>VLOOKUP(IntComp[[#This Row],[DEVELOPMENT]],Data[],9,FALSE)</f>
        <v>0</v>
      </c>
      <c r="G311" s="66"/>
      <c r="H311" s="66" t="str">
        <f>IFERROR(VLOOKUP(IntComp[[#This Row],[DEVELOPMENT]],Data[],4,FALSE),"")</f>
        <v/>
      </c>
      <c r="I311" s="66" t="str">
        <f>IF(IntComp[[#This Row],[RAD/PACT]]="","",IF(IntComp[[#This Row],[RAD/PACT]]&lt;=2025,"Yes",""))</f>
        <v/>
      </c>
      <c r="J311" s="67" t="str">
        <f ca="1">IF(VLOOKUP(IntComp[[#This Row],[DEVELOPMENT]],Data[],10,FALSE)=0,"",DATEDIF(VLOOKUP(IntComp[[#This Row],[DEVELOPMENT]],Data[],12,FALSE),TODAY(),"Y"))</f>
        <v/>
      </c>
      <c r="K311" s="67">
        <f>IF(IntComp[[#This Row],[RAD/PACT]]="",VLOOKUP(IntComp[[#This Row],[DEVELOPMENT]],Data[],10,FALSE),IF(IntComp[[#This Row],[RAD/PACT by 2025]]="yes",0,VLOOKUP(IntComp[[#This Row],[DEVELOPMENT]],Data[],10,FALSE)))</f>
        <v>0</v>
      </c>
      <c r="L311" s="63">
        <f ca="1">IF(IntComp[[#This Row],[RAD/PACT by 2025]]="Yes",0,(IntComp[[#This Row],['# Int. Compactors to Replace]]*'Unit Costs'!$B$8)*(1+((IntComp[[#This Row],[est. Year]]-YEAR(TODAY()))*$L$2)))</f>
        <v>73653.394499999995</v>
      </c>
      <c r="M311" s="67">
        <f>SUM(INDEX(IntComp['# to Replace],1):IntComp[[#This Row],['# to Replace]])</f>
        <v>0</v>
      </c>
      <c r="N311" s="67">
        <f>ROUNDDOWN(IntComp[[#This Row],[Count]]/100,0)+$N$1</f>
        <v>2020</v>
      </c>
      <c r="O311" s="86">
        <f t="shared" ca="1" si="4"/>
        <v>138247421.47650003</v>
      </c>
    </row>
    <row r="312" spans="1:15" x14ac:dyDescent="0.25">
      <c r="A312" s="13" t="s">
        <v>102</v>
      </c>
      <c r="B312" s="1" t="str">
        <f>VLOOKUP(A312,Data[],2,FALSE)</f>
        <v>MANHATTAN</v>
      </c>
      <c r="C312" s="9" t="s">
        <v>106</v>
      </c>
      <c r="D312" s="9">
        <f>VLOOKUP(IntComp[[#This Row],[DEVELOPMENT]],Data[],31,FALSE)</f>
        <v>2</v>
      </c>
      <c r="E312" s="9" t="str">
        <f>VLOOKUP(IntComp[[#This Row],[DEVELOPMENT]],Data[],8,FALSE)</f>
        <v>Zone 2</v>
      </c>
      <c r="F312" s="9" t="str">
        <f>VLOOKUP(IntComp[[#This Row],[DEVELOPMENT]],Data[],9,FALSE)</f>
        <v>$</v>
      </c>
      <c r="G312" s="9"/>
      <c r="H312" s="9" t="str">
        <f>IFERROR(VLOOKUP(IntComp[[#This Row],[DEVELOPMENT]],Data[],4,FALSE),"")</f>
        <v/>
      </c>
      <c r="I312" s="9" t="str">
        <f>IF(IntComp[[#This Row],[RAD/PACT]]="","",IF(IntComp[[#This Row],[RAD/PACT]]&lt;=2025,"Yes",""))</f>
        <v/>
      </c>
      <c r="J312" s="1" t="str">
        <f ca="1">IF(VLOOKUP(IntComp[[#This Row],[DEVELOPMENT]],Data[],10,FALSE)=0,"",DATEDIF(VLOOKUP(IntComp[[#This Row],[DEVELOPMENT]],Data[],12,FALSE),TODAY(),"Y"))</f>
        <v/>
      </c>
      <c r="K312" s="1">
        <f>IF(IntComp[[#This Row],[RAD/PACT]]="",VLOOKUP(IntComp[[#This Row],[DEVELOPMENT]],Data[],10,FALSE),IF(IntComp[[#This Row],[RAD/PACT by 2025]]="yes",0,VLOOKUP(IntComp[[#This Row],[DEVELOPMENT]],Data[],10,FALSE)))</f>
        <v>0</v>
      </c>
      <c r="L312" s="63">
        <f ca="1">IF(IntComp[[#This Row],[RAD/PACT by 2025]]="Yes",0,(IntComp[[#This Row],['# Int. Compactors to Replace]]*'Unit Costs'!$B$8)*(1+((IntComp[[#This Row],[est. Year]]-YEAR(TODAY()))*$L$2)))</f>
        <v>147306.78899999999</v>
      </c>
      <c r="M312" s="1">
        <f>SUM(INDEX(IntComp['# to Replace],1):IntComp[[#This Row],['# to Replace]])</f>
        <v>0</v>
      </c>
      <c r="N312" s="1">
        <f>ROUNDDOWN(IntComp[[#This Row],[Count]]/100,0)+$N$1</f>
        <v>2020</v>
      </c>
      <c r="O312" s="81">
        <f t="shared" ca="1" si="4"/>
        <v>138394728.26550004</v>
      </c>
    </row>
    <row r="313" spans="1:15" x14ac:dyDescent="0.25">
      <c r="A313" s="13" t="s">
        <v>351</v>
      </c>
      <c r="B313" s="9" t="str">
        <f>VLOOKUP(A313,Data[],2,FALSE)</f>
        <v>BROOKLYN</v>
      </c>
      <c r="C313" s="9" t="s">
        <v>106</v>
      </c>
      <c r="D313" s="9">
        <f>VLOOKUP(IntComp[[#This Row],[DEVELOPMENT]],Data[],31,FALSE)</f>
        <v>32</v>
      </c>
      <c r="E313" s="66">
        <f>VLOOKUP(IntComp[[#This Row],[DEVELOPMENT]],Data[],8,FALSE)</f>
        <v>0</v>
      </c>
      <c r="F313" s="66">
        <f>VLOOKUP(IntComp[[#This Row],[DEVELOPMENT]],Data[],9,FALSE)</f>
        <v>0</v>
      </c>
      <c r="G313" s="66"/>
      <c r="H313" s="66" t="str">
        <f>IFERROR(VLOOKUP(IntComp[[#This Row],[DEVELOPMENT]],Data[],4,FALSE),"")</f>
        <v/>
      </c>
      <c r="I313" s="66" t="str">
        <f>IF(IntComp[[#This Row],[RAD/PACT]]="","",IF(IntComp[[#This Row],[RAD/PACT]]&lt;=2025,"Yes",""))</f>
        <v/>
      </c>
      <c r="J313" s="67" t="str">
        <f ca="1">IF(VLOOKUP(IntComp[[#This Row],[DEVELOPMENT]],Data[],10,FALSE)=0,"",DATEDIF(VLOOKUP(IntComp[[#This Row],[DEVELOPMENT]],Data[],12,FALSE),TODAY(),"Y"))</f>
        <v/>
      </c>
      <c r="K313" s="67">
        <f>IF(IntComp[[#This Row],[RAD/PACT]]="",VLOOKUP(IntComp[[#This Row],[DEVELOPMENT]],Data[],10,FALSE),IF(IntComp[[#This Row],[RAD/PACT by 2025]]="yes",0,VLOOKUP(IntComp[[#This Row],[DEVELOPMENT]],Data[],10,FALSE)))</f>
        <v>0</v>
      </c>
      <c r="L313" s="63">
        <f ca="1">IF(IntComp[[#This Row],[RAD/PACT by 2025]]="Yes",0,(IntComp[[#This Row],['# Int. Compactors to Replace]]*'Unit Costs'!$B$8)*(1+((IntComp[[#This Row],[est. Year]]-YEAR(TODAY()))*$L$2)))</f>
        <v>2356908.6239999998</v>
      </c>
      <c r="M313" s="67">
        <f>SUM(INDEX(IntComp['# to Replace],1):IntComp[[#This Row],['# to Replace]])</f>
        <v>0</v>
      </c>
      <c r="N313" s="67">
        <f>ROUNDDOWN(IntComp[[#This Row],[Count]]/100,0)+$N$1</f>
        <v>2020</v>
      </c>
      <c r="O313" s="86">
        <f t="shared" ca="1" si="4"/>
        <v>140751636.88950005</v>
      </c>
    </row>
    <row r="314" spans="1:15" x14ac:dyDescent="0.25">
      <c r="A314" s="13" t="s">
        <v>352</v>
      </c>
      <c r="B314" s="9" t="str">
        <f>VLOOKUP(A314,Data[],2,FALSE)</f>
        <v>BROOKLYN</v>
      </c>
      <c r="C314" s="9" t="s">
        <v>106</v>
      </c>
      <c r="D314" s="9">
        <f>VLOOKUP(IntComp[[#This Row],[DEVELOPMENT]],Data[],31,FALSE)</f>
        <v>5</v>
      </c>
      <c r="E314" s="66">
        <f>VLOOKUP(IntComp[[#This Row],[DEVELOPMENT]],Data[],8,FALSE)</f>
        <v>0</v>
      </c>
      <c r="F314" s="66">
        <f>VLOOKUP(IntComp[[#This Row],[DEVELOPMENT]],Data[],9,FALSE)</f>
        <v>0</v>
      </c>
      <c r="G314" s="66"/>
      <c r="H314" s="66">
        <f>IFERROR(VLOOKUP(IntComp[[#This Row],[DEVELOPMENT]],Data[],4,FALSE),"")</f>
        <v>2019</v>
      </c>
      <c r="I314" s="66" t="str">
        <f>IF(IntComp[[#This Row],[RAD/PACT]]="","",IF(IntComp[[#This Row],[RAD/PACT]]&lt;=2025,"Yes",""))</f>
        <v>Yes</v>
      </c>
      <c r="J314" s="67" t="str">
        <f ca="1">IF(VLOOKUP(IntComp[[#This Row],[DEVELOPMENT]],Data[],10,FALSE)=0,"",DATEDIF(VLOOKUP(IntComp[[#This Row],[DEVELOPMENT]],Data[],12,FALSE),TODAY(),"Y"))</f>
        <v/>
      </c>
      <c r="K314" s="67">
        <f>IF(IntComp[[#This Row],[RAD/PACT]]="",VLOOKUP(IntComp[[#This Row],[DEVELOPMENT]],Data[],10,FALSE),IF(IntComp[[#This Row],[RAD/PACT by 2025]]="yes",0,VLOOKUP(IntComp[[#This Row],[DEVELOPMENT]],Data[],10,FALSE)))</f>
        <v>0</v>
      </c>
      <c r="L314" s="63">
        <f ca="1">IF(IntComp[[#This Row],[RAD/PACT by 2025]]="Yes",0,(IntComp[[#This Row],['# Int. Compactors to Replace]]*'Unit Costs'!$B$8)*(1+((IntComp[[#This Row],[est. Year]]-YEAR(TODAY()))*$L$2)))</f>
        <v>0</v>
      </c>
      <c r="M314" s="67">
        <f>SUM(INDEX(IntComp['# to Replace],1):IntComp[[#This Row],['# to Replace]])</f>
        <v>0</v>
      </c>
      <c r="N314" s="67">
        <f>ROUNDDOWN(IntComp[[#This Row],[Count]]/100,0)+$N$1</f>
        <v>2020</v>
      </c>
      <c r="O314" s="86">
        <f t="shared" ca="1" si="4"/>
        <v>140751636.88950005</v>
      </c>
    </row>
    <row r="315" spans="1:15" x14ac:dyDescent="0.25">
      <c r="A315" s="13" t="s">
        <v>353</v>
      </c>
      <c r="B315" s="9" t="str">
        <f>VLOOKUP(A315,Data[],2,FALSE)</f>
        <v>BROOKLYN</v>
      </c>
      <c r="C315" s="9" t="s">
        <v>106</v>
      </c>
      <c r="D315" s="9">
        <f>VLOOKUP(IntComp[[#This Row],[DEVELOPMENT]],Data[],31,FALSE)</f>
        <v>134</v>
      </c>
      <c r="E315" s="66">
        <f>VLOOKUP(IntComp[[#This Row],[DEVELOPMENT]],Data[],8,FALSE)</f>
        <v>0</v>
      </c>
      <c r="F315" s="66">
        <f>VLOOKUP(IntComp[[#This Row],[DEVELOPMENT]],Data[],9,FALSE)</f>
        <v>0</v>
      </c>
      <c r="G315" s="66"/>
      <c r="H315" s="66">
        <f>IFERROR(VLOOKUP(IntComp[[#This Row],[DEVELOPMENT]],Data[],4,FALSE),"")</f>
        <v>2020</v>
      </c>
      <c r="I315" s="66" t="str">
        <f>IF(IntComp[[#This Row],[RAD/PACT]]="","",IF(IntComp[[#This Row],[RAD/PACT]]&lt;=2025,"Yes",""))</f>
        <v>Yes</v>
      </c>
      <c r="J315" s="67" t="str">
        <f ca="1">IF(VLOOKUP(IntComp[[#This Row],[DEVELOPMENT]],Data[],10,FALSE)=0,"",DATEDIF(VLOOKUP(IntComp[[#This Row],[DEVELOPMENT]],Data[],12,FALSE),TODAY(),"Y"))</f>
        <v/>
      </c>
      <c r="K315" s="67">
        <f>IF(IntComp[[#This Row],[RAD/PACT]]="",VLOOKUP(IntComp[[#This Row],[DEVELOPMENT]],Data[],10,FALSE),IF(IntComp[[#This Row],[RAD/PACT by 2025]]="yes",0,VLOOKUP(IntComp[[#This Row],[DEVELOPMENT]],Data[],10,FALSE)))</f>
        <v>0</v>
      </c>
      <c r="L315" s="63">
        <f ca="1">IF(IntComp[[#This Row],[RAD/PACT by 2025]]="Yes",0,(IntComp[[#This Row],['# Int. Compactors to Replace]]*'Unit Costs'!$B$8)*(1+((IntComp[[#This Row],[est. Year]]-YEAR(TODAY()))*$L$2)))</f>
        <v>0</v>
      </c>
      <c r="M315" s="67">
        <f>SUM(INDEX(IntComp['# to Replace],1):IntComp[[#This Row],['# to Replace]])</f>
        <v>0</v>
      </c>
      <c r="N315" s="67">
        <f>ROUNDDOWN(IntComp[[#This Row],[Count]]/100,0)+$N$1</f>
        <v>2020</v>
      </c>
      <c r="O315" s="86">
        <f t="shared" ca="1" si="4"/>
        <v>140751636.88950005</v>
      </c>
    </row>
    <row r="316" spans="1:15" x14ac:dyDescent="0.25">
      <c r="A316" s="13" t="s">
        <v>116</v>
      </c>
      <c r="B316" s="1" t="str">
        <f>VLOOKUP(A316,Data[],2,FALSE)</f>
        <v>MANHATTAN</v>
      </c>
      <c r="C316" s="9" t="s">
        <v>106</v>
      </c>
      <c r="D316" s="9">
        <f>VLOOKUP(IntComp[[#This Row],[DEVELOPMENT]],Data[],31,FALSE)</f>
        <v>5</v>
      </c>
      <c r="E316" s="9" t="str">
        <f>VLOOKUP(IntComp[[#This Row],[DEVELOPMENT]],Data[],8,FALSE)</f>
        <v>Zone 2</v>
      </c>
      <c r="F316" s="9" t="str">
        <f>VLOOKUP(IntComp[[#This Row],[DEVELOPMENT]],Data[],9,FALSE)</f>
        <v>$</v>
      </c>
      <c r="G316" s="9"/>
      <c r="H316" s="9" t="str">
        <f>IFERROR(VLOOKUP(IntComp[[#This Row],[DEVELOPMENT]],Data[],4,FALSE),"")</f>
        <v/>
      </c>
      <c r="I316" s="9" t="str">
        <f>IF(IntComp[[#This Row],[RAD/PACT]]="","",IF(IntComp[[#This Row],[RAD/PACT]]&lt;=2025,"Yes",""))</f>
        <v/>
      </c>
      <c r="J316" s="1" t="str">
        <f ca="1">IF(VLOOKUP(IntComp[[#This Row],[DEVELOPMENT]],Data[],10,FALSE)=0,"",DATEDIF(VLOOKUP(IntComp[[#This Row],[DEVELOPMENT]],Data[],12,FALSE),TODAY(),"Y"))</f>
        <v/>
      </c>
      <c r="K316" s="1">
        <f>IF(IntComp[[#This Row],[RAD/PACT]]="",VLOOKUP(IntComp[[#This Row],[DEVELOPMENT]],Data[],10,FALSE),IF(IntComp[[#This Row],[RAD/PACT by 2025]]="yes",0,VLOOKUP(IntComp[[#This Row],[DEVELOPMENT]],Data[],10,FALSE)))</f>
        <v>0</v>
      </c>
      <c r="L316" s="63">
        <f ca="1">IF(IntComp[[#This Row],[RAD/PACT by 2025]]="Yes",0,(IntComp[[#This Row],['# Int. Compactors to Replace]]*'Unit Costs'!$B$8)*(1+((IntComp[[#This Row],[est. Year]]-YEAR(TODAY()))*$L$2)))</f>
        <v>368266.97249999997</v>
      </c>
      <c r="M316" s="1">
        <f>SUM(INDEX(IntComp['# to Replace],1):IntComp[[#This Row],['# to Replace]])</f>
        <v>0</v>
      </c>
      <c r="N316" s="1">
        <f>ROUNDDOWN(IntComp[[#This Row],[Count]]/100,0)+$N$1</f>
        <v>2020</v>
      </c>
      <c r="O316" s="81">
        <f t="shared" ca="1" si="4"/>
        <v>141119903.86200005</v>
      </c>
    </row>
    <row r="317" spans="1:15" x14ac:dyDescent="0.25">
      <c r="A317" s="13" t="s">
        <v>354</v>
      </c>
      <c r="B317" s="9" t="str">
        <f>VLOOKUP(A317,Data[],2,FALSE)</f>
        <v>MANHATTAN</v>
      </c>
      <c r="C317" s="9" t="s">
        <v>106</v>
      </c>
      <c r="D317" s="9">
        <f>VLOOKUP(IntComp[[#This Row],[DEVELOPMENT]],Data[],31,FALSE)</f>
        <v>4</v>
      </c>
      <c r="E317" s="66" t="str">
        <f>VLOOKUP(IntComp[[#This Row],[DEVELOPMENT]],Data[],8,FALSE)</f>
        <v>Zone 4</v>
      </c>
      <c r="F317" s="66">
        <f>VLOOKUP(IntComp[[#This Row],[DEVELOPMENT]],Data[],9,FALSE)</f>
        <v>0</v>
      </c>
      <c r="G317" s="66"/>
      <c r="H317" s="66">
        <f>IFERROR(VLOOKUP(IntComp[[#This Row],[DEVELOPMENT]],Data[],4,FALSE),"")</f>
        <v>2019</v>
      </c>
      <c r="I317" s="66" t="str">
        <f>IF(IntComp[[#This Row],[RAD/PACT]]="","",IF(IntComp[[#This Row],[RAD/PACT]]&lt;=2025,"Yes",""))</f>
        <v>Yes</v>
      </c>
      <c r="J317" s="67" t="str">
        <f ca="1">IF(VLOOKUP(IntComp[[#This Row],[DEVELOPMENT]],Data[],10,FALSE)=0,"",DATEDIF(VLOOKUP(IntComp[[#This Row],[DEVELOPMENT]],Data[],12,FALSE),TODAY(),"Y"))</f>
        <v/>
      </c>
      <c r="K317" s="67">
        <f>IF(IntComp[[#This Row],[RAD/PACT]]="",VLOOKUP(IntComp[[#This Row],[DEVELOPMENT]],Data[],10,FALSE),IF(IntComp[[#This Row],[RAD/PACT by 2025]]="yes",0,VLOOKUP(IntComp[[#This Row],[DEVELOPMENT]],Data[],10,FALSE)))</f>
        <v>0</v>
      </c>
      <c r="L317" s="63">
        <f ca="1">IF(IntComp[[#This Row],[RAD/PACT by 2025]]="Yes",0,(IntComp[[#This Row],['# Int. Compactors to Replace]]*'Unit Costs'!$B$8)*(1+((IntComp[[#This Row],[est. Year]]-YEAR(TODAY()))*$L$2)))</f>
        <v>0</v>
      </c>
      <c r="M317" s="67">
        <f>SUM(INDEX(IntComp['# to Replace],1):IntComp[[#This Row],['# to Replace]])</f>
        <v>0</v>
      </c>
      <c r="N317" s="67">
        <f>ROUNDDOWN(IntComp[[#This Row],[Count]]/100,0)+$N$1</f>
        <v>2020</v>
      </c>
      <c r="O317" s="86">
        <f t="shared" ca="1" si="4"/>
        <v>141119903.86200005</v>
      </c>
    </row>
    <row r="318" spans="1:15" x14ac:dyDescent="0.25">
      <c r="A318" s="13" t="s">
        <v>355</v>
      </c>
      <c r="B318" s="9" t="str">
        <f>VLOOKUP(A318,Data[],2,FALSE)</f>
        <v>QUEENS</v>
      </c>
      <c r="C318" s="9" t="s">
        <v>106</v>
      </c>
      <c r="D318" s="9">
        <f>VLOOKUP(IntComp[[#This Row],[DEVELOPMENT]],Data[],31,FALSE)</f>
        <v>56</v>
      </c>
      <c r="E318" s="66">
        <f>VLOOKUP(IntComp[[#This Row],[DEVELOPMENT]],Data[],8,FALSE)</f>
        <v>0</v>
      </c>
      <c r="F318" s="66">
        <f>VLOOKUP(IntComp[[#This Row],[DEVELOPMENT]],Data[],9,FALSE)</f>
        <v>0</v>
      </c>
      <c r="G318" s="66"/>
      <c r="H318" s="66" t="str">
        <f>IFERROR(VLOOKUP(IntComp[[#This Row],[DEVELOPMENT]],Data[],4,FALSE),"")</f>
        <v/>
      </c>
      <c r="I318" s="66" t="str">
        <f>IF(IntComp[[#This Row],[RAD/PACT]]="","",IF(IntComp[[#This Row],[RAD/PACT]]&lt;=2025,"Yes",""))</f>
        <v/>
      </c>
      <c r="J318" s="67" t="str">
        <f ca="1">IF(VLOOKUP(IntComp[[#This Row],[DEVELOPMENT]],Data[],10,FALSE)=0,"",DATEDIF(VLOOKUP(IntComp[[#This Row],[DEVELOPMENT]],Data[],12,FALSE),TODAY(),"Y"))</f>
        <v/>
      </c>
      <c r="K318" s="67">
        <f>IF(IntComp[[#This Row],[RAD/PACT]]="",VLOOKUP(IntComp[[#This Row],[DEVELOPMENT]],Data[],10,FALSE),IF(IntComp[[#This Row],[RAD/PACT by 2025]]="yes",0,VLOOKUP(IntComp[[#This Row],[DEVELOPMENT]],Data[],10,FALSE)))</f>
        <v>0</v>
      </c>
      <c r="L318" s="63">
        <f ca="1">IF(IntComp[[#This Row],[RAD/PACT by 2025]]="Yes",0,(IntComp[[#This Row],['# Int. Compactors to Replace]]*'Unit Costs'!$B$8)*(1+((IntComp[[#This Row],[est. Year]]-YEAR(TODAY()))*$L$2)))</f>
        <v>4124590.0919999992</v>
      </c>
      <c r="M318" s="67">
        <f>SUM(INDEX(IntComp['# to Replace],1):IntComp[[#This Row],['# to Replace]])</f>
        <v>0</v>
      </c>
      <c r="N318" s="67">
        <f>ROUNDDOWN(IntComp[[#This Row],[Count]]/100,0)+$N$1</f>
        <v>2020</v>
      </c>
      <c r="O318" s="86">
        <f t="shared" ca="1" si="4"/>
        <v>145244493.95400006</v>
      </c>
    </row>
    <row r="319" spans="1:15" x14ac:dyDescent="0.25">
      <c r="A319" s="13" t="s">
        <v>356</v>
      </c>
      <c r="B319" s="9" t="str">
        <f>VLOOKUP(A319,Data[],2,FALSE)</f>
        <v>BROOKLYN</v>
      </c>
      <c r="C319" s="9" t="s">
        <v>106</v>
      </c>
      <c r="D319" s="9">
        <f>VLOOKUP(IntComp[[#This Row],[DEVELOPMENT]],Data[],31,FALSE)</f>
        <v>2</v>
      </c>
      <c r="E319" s="66">
        <f>VLOOKUP(IntComp[[#This Row],[DEVELOPMENT]],Data[],8,FALSE)</f>
        <v>0</v>
      </c>
      <c r="F319" s="66">
        <f>VLOOKUP(IntComp[[#This Row],[DEVELOPMENT]],Data[],9,FALSE)</f>
        <v>0</v>
      </c>
      <c r="G319" s="66"/>
      <c r="H319" s="66" t="str">
        <f>IFERROR(VLOOKUP(IntComp[[#This Row],[DEVELOPMENT]],Data[],4,FALSE),"")</f>
        <v/>
      </c>
      <c r="I319" s="66" t="str">
        <f>IF(IntComp[[#This Row],[RAD/PACT]]="","",IF(IntComp[[#This Row],[RAD/PACT]]&lt;=2025,"Yes",""))</f>
        <v/>
      </c>
      <c r="J319" s="67" t="str">
        <f ca="1">IF(VLOOKUP(IntComp[[#This Row],[DEVELOPMENT]],Data[],10,FALSE)=0,"",DATEDIF(VLOOKUP(IntComp[[#This Row],[DEVELOPMENT]],Data[],12,FALSE),TODAY(),"Y"))</f>
        <v/>
      </c>
      <c r="K319" s="67">
        <f>IF(IntComp[[#This Row],[RAD/PACT]]="",VLOOKUP(IntComp[[#This Row],[DEVELOPMENT]],Data[],10,FALSE),IF(IntComp[[#This Row],[RAD/PACT by 2025]]="yes",0,VLOOKUP(IntComp[[#This Row],[DEVELOPMENT]],Data[],10,FALSE)))</f>
        <v>0</v>
      </c>
      <c r="L319" s="63">
        <f ca="1">IF(IntComp[[#This Row],[RAD/PACT by 2025]]="Yes",0,(IntComp[[#This Row],['# Int. Compactors to Replace]]*'Unit Costs'!$B$8)*(1+((IntComp[[#This Row],[est. Year]]-YEAR(TODAY()))*$L$2)))</f>
        <v>147306.78899999999</v>
      </c>
      <c r="M319" s="67">
        <f>SUM(INDEX(IntComp['# to Replace],1):IntComp[[#This Row],['# to Replace]])</f>
        <v>0</v>
      </c>
      <c r="N319" s="67">
        <f>ROUNDDOWN(IntComp[[#This Row],[Count]]/100,0)+$N$1</f>
        <v>2020</v>
      </c>
      <c r="O319" s="86">
        <f t="shared" ca="1" si="4"/>
        <v>145391800.74300006</v>
      </c>
    </row>
    <row r="320" spans="1:15" x14ac:dyDescent="0.25">
      <c r="A320" s="13" t="s">
        <v>357</v>
      </c>
      <c r="B320" s="9" t="str">
        <f>VLOOKUP(A320,Data[],2,FALSE)</f>
        <v>MANHATTAN</v>
      </c>
      <c r="C320" s="9" t="s">
        <v>106</v>
      </c>
      <c r="D320" s="9">
        <f>VLOOKUP(IntComp[[#This Row],[DEVELOPMENT]],Data[],31,FALSE)</f>
        <v>0</v>
      </c>
      <c r="E320" s="66" t="str">
        <f>VLOOKUP(IntComp[[#This Row],[DEVELOPMENT]],Data[],8,FALSE)</f>
        <v>Zone 4</v>
      </c>
      <c r="F320" s="66">
        <f>VLOOKUP(IntComp[[#This Row],[DEVELOPMENT]],Data[],9,FALSE)</f>
        <v>0</v>
      </c>
      <c r="G320" s="66"/>
      <c r="H320" s="66" t="str">
        <f>IFERROR(VLOOKUP(IntComp[[#This Row],[DEVELOPMENT]],Data[],4,FALSE),"")</f>
        <v/>
      </c>
      <c r="I320" s="66" t="str">
        <f>IF(IntComp[[#This Row],[RAD/PACT]]="","",IF(IntComp[[#This Row],[RAD/PACT]]&lt;=2025,"Yes",""))</f>
        <v/>
      </c>
      <c r="J320" s="67" t="str">
        <f ca="1">IF(VLOOKUP(IntComp[[#This Row],[DEVELOPMENT]],Data[],10,FALSE)=0,"",DATEDIF(VLOOKUP(IntComp[[#This Row],[DEVELOPMENT]],Data[],12,FALSE),TODAY(),"Y"))</f>
        <v/>
      </c>
      <c r="K320" s="67">
        <f>IF(IntComp[[#This Row],[RAD/PACT]]="",VLOOKUP(IntComp[[#This Row],[DEVELOPMENT]],Data[],10,FALSE),IF(IntComp[[#This Row],[RAD/PACT by 2025]]="yes",0,VLOOKUP(IntComp[[#This Row],[DEVELOPMENT]],Data[],10,FALSE)))</f>
        <v>0</v>
      </c>
      <c r="L320" s="63">
        <f ca="1">IF(IntComp[[#This Row],[RAD/PACT by 2025]]="Yes",0,(IntComp[[#This Row],['# Int. Compactors to Replace]]*'Unit Costs'!$B$8)*(1+((IntComp[[#This Row],[est. Year]]-YEAR(TODAY()))*$L$2)))</f>
        <v>0</v>
      </c>
      <c r="M320" s="67">
        <f>SUM(INDEX(IntComp['# to Replace],1):IntComp[[#This Row],['# to Replace]])</f>
        <v>0</v>
      </c>
      <c r="N320" s="67">
        <f>ROUNDDOWN(IntComp[[#This Row],[Count]]/100,0)+$N$1</f>
        <v>2020</v>
      </c>
      <c r="O320" s="86">
        <f t="shared" ca="1" si="4"/>
        <v>145391800.74300006</v>
      </c>
    </row>
    <row r="321" spans="1:15" x14ac:dyDescent="0.25">
      <c r="A321" s="13" t="s">
        <v>358</v>
      </c>
      <c r="B321" s="9" t="str">
        <f>VLOOKUP(A321,Data[],2,FALSE)</f>
        <v>MANHATTAN</v>
      </c>
      <c r="C321" s="9" t="s">
        <v>106</v>
      </c>
      <c r="D321" s="9">
        <f>VLOOKUP(IntComp[[#This Row],[DEVELOPMENT]],Data[],31,FALSE)</f>
        <v>1</v>
      </c>
      <c r="E321" s="66" t="str">
        <f>VLOOKUP(IntComp[[#This Row],[DEVELOPMENT]],Data[],8,FALSE)</f>
        <v>Zone 4</v>
      </c>
      <c r="F321" s="66">
        <f>VLOOKUP(IntComp[[#This Row],[DEVELOPMENT]],Data[],9,FALSE)</f>
        <v>0</v>
      </c>
      <c r="G321" s="66"/>
      <c r="H321" s="66" t="str">
        <f>IFERROR(VLOOKUP(IntComp[[#This Row],[DEVELOPMENT]],Data[],4,FALSE),"")</f>
        <v/>
      </c>
      <c r="I321" s="66" t="str">
        <f>IF(IntComp[[#This Row],[RAD/PACT]]="","",IF(IntComp[[#This Row],[RAD/PACT]]&lt;=2025,"Yes",""))</f>
        <v/>
      </c>
      <c r="J321" s="67" t="str">
        <f ca="1">IF(VLOOKUP(IntComp[[#This Row],[DEVELOPMENT]],Data[],10,FALSE)=0,"",DATEDIF(VLOOKUP(IntComp[[#This Row],[DEVELOPMENT]],Data[],12,FALSE),TODAY(),"Y"))</f>
        <v/>
      </c>
      <c r="K321" s="67">
        <f>IF(IntComp[[#This Row],[RAD/PACT]]="",VLOOKUP(IntComp[[#This Row],[DEVELOPMENT]],Data[],10,FALSE),IF(IntComp[[#This Row],[RAD/PACT by 2025]]="yes",0,VLOOKUP(IntComp[[#This Row],[DEVELOPMENT]],Data[],10,FALSE)))</f>
        <v>0</v>
      </c>
      <c r="L321" s="63">
        <f ca="1">IF(IntComp[[#This Row],[RAD/PACT by 2025]]="Yes",0,(IntComp[[#This Row],['# Int. Compactors to Replace]]*'Unit Costs'!$B$8)*(1+((IntComp[[#This Row],[est. Year]]-YEAR(TODAY()))*$L$2)))</f>
        <v>73653.394499999995</v>
      </c>
      <c r="M321" s="67">
        <f>SUM(INDEX(IntComp['# to Replace],1):IntComp[[#This Row],['# to Replace]])</f>
        <v>0</v>
      </c>
      <c r="N321" s="67">
        <f>ROUNDDOWN(IntComp[[#This Row],[Count]]/100,0)+$N$1</f>
        <v>2020</v>
      </c>
      <c r="O321" s="86">
        <f t="shared" ca="1" si="4"/>
        <v>145465454.13750005</v>
      </c>
    </row>
    <row r="322" spans="1:15" x14ac:dyDescent="0.25">
      <c r="A322" s="13" t="s">
        <v>359</v>
      </c>
      <c r="B322" s="9" t="str">
        <f>VLOOKUP(A322,Data[],2,FALSE)</f>
        <v>MANHATTAN</v>
      </c>
      <c r="C322" s="9" t="s">
        <v>106</v>
      </c>
      <c r="D322" s="9">
        <f>VLOOKUP(IntComp[[#This Row],[DEVELOPMENT]],Data[],31,FALSE)</f>
        <v>2</v>
      </c>
      <c r="E322" s="66" t="str">
        <f>VLOOKUP(IntComp[[#This Row],[DEVELOPMENT]],Data[],8,FALSE)</f>
        <v>Zone 4</v>
      </c>
      <c r="F322" s="66">
        <f>VLOOKUP(IntComp[[#This Row],[DEVELOPMENT]],Data[],9,FALSE)</f>
        <v>0</v>
      </c>
      <c r="G322" s="66"/>
      <c r="H322" s="66" t="str">
        <f>IFERROR(VLOOKUP(IntComp[[#This Row],[DEVELOPMENT]],Data[],4,FALSE),"")</f>
        <v/>
      </c>
      <c r="I322" s="66" t="str">
        <f>IF(IntComp[[#This Row],[RAD/PACT]]="","",IF(IntComp[[#This Row],[RAD/PACT]]&lt;=2025,"Yes",""))</f>
        <v/>
      </c>
      <c r="J322" s="67" t="str">
        <f ca="1">IF(VLOOKUP(IntComp[[#This Row],[DEVELOPMENT]],Data[],10,FALSE)=0,"",DATEDIF(VLOOKUP(IntComp[[#This Row],[DEVELOPMENT]],Data[],12,FALSE),TODAY(),"Y"))</f>
        <v/>
      </c>
      <c r="K322" s="67">
        <f>IF(IntComp[[#This Row],[RAD/PACT]]="",VLOOKUP(IntComp[[#This Row],[DEVELOPMENT]],Data[],10,FALSE),IF(IntComp[[#This Row],[RAD/PACT by 2025]]="yes",0,VLOOKUP(IntComp[[#This Row],[DEVELOPMENT]],Data[],10,FALSE)))</f>
        <v>0</v>
      </c>
      <c r="L322" s="63">
        <f ca="1">IF(IntComp[[#This Row],[RAD/PACT by 2025]]="Yes",0,(IntComp[[#This Row],['# Int. Compactors to Replace]]*'Unit Costs'!$B$8)*(1+((IntComp[[#This Row],[est. Year]]-YEAR(TODAY()))*$L$2)))</f>
        <v>147306.78899999999</v>
      </c>
      <c r="M322" s="67">
        <f>SUM(INDEX(IntComp['# to Replace],1):IntComp[[#This Row],['# to Replace]])</f>
        <v>0</v>
      </c>
      <c r="N322" s="67">
        <f>ROUNDDOWN(IntComp[[#This Row],[Count]]/100,0)+$N$1</f>
        <v>2020</v>
      </c>
      <c r="O322" s="86">
        <f t="shared" ca="1" si="4"/>
        <v>145612760.92650005</v>
      </c>
    </row>
    <row r="323" spans="1:15" x14ac:dyDescent="0.25">
      <c r="A323" s="13" t="s">
        <v>360</v>
      </c>
      <c r="B323" s="9" t="str">
        <f>VLOOKUP(A323,Data[],2,FALSE)</f>
        <v>MANHATTAN</v>
      </c>
      <c r="C323" s="9" t="s">
        <v>106</v>
      </c>
      <c r="D323" s="9">
        <f>VLOOKUP(IntComp[[#This Row],[DEVELOPMENT]],Data[],31,FALSE)</f>
        <v>2</v>
      </c>
      <c r="E323" s="66">
        <f>VLOOKUP(IntComp[[#This Row],[DEVELOPMENT]],Data[],8,FALSE)</f>
        <v>0</v>
      </c>
      <c r="F323" s="66">
        <f>VLOOKUP(IntComp[[#This Row],[DEVELOPMENT]],Data[],9,FALSE)</f>
        <v>0</v>
      </c>
      <c r="G323" s="66"/>
      <c r="H323" s="66" t="str">
        <f>IFERROR(VLOOKUP(IntComp[[#This Row],[DEVELOPMENT]],Data[],4,FALSE),"")</f>
        <v/>
      </c>
      <c r="I323" s="66" t="str">
        <f>IF(IntComp[[#This Row],[RAD/PACT]]="","",IF(IntComp[[#This Row],[RAD/PACT]]&lt;=2025,"Yes",""))</f>
        <v/>
      </c>
      <c r="J323" s="67" t="str">
        <f ca="1">IF(VLOOKUP(IntComp[[#This Row],[DEVELOPMENT]],Data[],10,FALSE)=0,"",DATEDIF(VLOOKUP(IntComp[[#This Row],[DEVELOPMENT]],Data[],12,FALSE),TODAY(),"Y"))</f>
        <v/>
      </c>
      <c r="K323" s="67">
        <f>IF(IntComp[[#This Row],[RAD/PACT]]="",VLOOKUP(IntComp[[#This Row],[DEVELOPMENT]],Data[],10,FALSE),IF(IntComp[[#This Row],[RAD/PACT by 2025]]="yes",0,VLOOKUP(IntComp[[#This Row],[DEVELOPMENT]],Data[],10,FALSE)))</f>
        <v>0</v>
      </c>
      <c r="L323" s="63">
        <f ca="1">IF(IntComp[[#This Row],[RAD/PACT by 2025]]="Yes",0,(IntComp[[#This Row],['# Int. Compactors to Replace]]*'Unit Costs'!$B$8)*(1+((IntComp[[#This Row],[est. Year]]-YEAR(TODAY()))*$L$2)))</f>
        <v>147306.78899999999</v>
      </c>
      <c r="M323" s="67">
        <f>SUM(INDEX(IntComp['# to Replace],1):IntComp[[#This Row],['# to Replace]])</f>
        <v>0</v>
      </c>
      <c r="N323" s="67">
        <f>ROUNDDOWN(IntComp[[#This Row],[Count]]/100,0)+$N$1</f>
        <v>2020</v>
      </c>
      <c r="O323" s="86">
        <f t="shared" ca="1" si="4"/>
        <v>145760067.71550006</v>
      </c>
    </row>
    <row r="324" spans="1:15" x14ac:dyDescent="0.25">
      <c r="A324" s="64" t="s">
        <v>361</v>
      </c>
      <c r="B324" s="39" t="str">
        <f>VLOOKUP(A324,Data[],2,FALSE)</f>
        <v>BROOKLYN</v>
      </c>
      <c r="C324" s="39" t="s">
        <v>106</v>
      </c>
      <c r="D324" s="39">
        <f>VLOOKUP(IntComp[[#This Row],[DEVELOPMENT]],Data[],31,FALSE)</f>
        <v>6</v>
      </c>
      <c r="E324" s="68">
        <f>VLOOKUP(IntComp[[#This Row],[DEVELOPMENT]],Data[],8,FALSE)</f>
        <v>0</v>
      </c>
      <c r="F324" s="68">
        <f>VLOOKUP(IntComp[[#This Row],[DEVELOPMENT]],Data[],9,FALSE)</f>
        <v>0</v>
      </c>
      <c r="G324" s="68"/>
      <c r="H324" s="68" t="str">
        <f>IFERROR(VLOOKUP(IntComp[[#This Row],[DEVELOPMENT]],Data[],4,FALSE),"")</f>
        <v/>
      </c>
      <c r="I324" s="68" t="str">
        <f>IF(IntComp[[#This Row],[RAD/PACT]]="","",IF(IntComp[[#This Row],[RAD/PACT]]&lt;=2025,"Yes",""))</f>
        <v/>
      </c>
      <c r="J324" s="79" t="str">
        <f ca="1">IF(VLOOKUP(IntComp[[#This Row],[DEVELOPMENT]],Data[],10,FALSE)=0,"",DATEDIF(VLOOKUP(IntComp[[#This Row],[DEVELOPMENT]],Data[],12,FALSE),TODAY(),"Y"))</f>
        <v/>
      </c>
      <c r="K324" s="79">
        <f>IF(IntComp[[#This Row],[RAD/PACT]]="",VLOOKUP(IntComp[[#This Row],[DEVELOPMENT]],Data[],10,FALSE),IF(IntComp[[#This Row],[RAD/PACT by 2025]]="yes",0,VLOOKUP(IntComp[[#This Row],[DEVELOPMENT]],Data[],10,FALSE)))</f>
        <v>0</v>
      </c>
      <c r="L324" s="69">
        <f ca="1">IF(IntComp[[#This Row],[RAD/PACT by 2025]]="Yes",0,(IntComp[[#This Row],['# Int. Compactors to Replace]]*'Unit Costs'!$B$8)*(1+((IntComp[[#This Row],[est. Year]]-YEAR(TODAY()))*$L$2)))</f>
        <v>441920.36699999991</v>
      </c>
      <c r="M324" s="79">
        <f>SUM(INDEX(IntComp['# to Replace],1):IntComp[[#This Row],['# to Replace]])</f>
        <v>0</v>
      </c>
      <c r="N324" s="79">
        <f>ROUNDDOWN(IntComp[[#This Row],[Count]]/100,0)+$N$1</f>
        <v>2020</v>
      </c>
      <c r="O324" s="129">
        <f t="shared" ref="O324" ca="1" si="5">IF(N324=N323,L324+O323,L324)</f>
        <v>146201988.08250007</v>
      </c>
    </row>
  </sheetData>
  <conditionalFormatting sqref="A1:XFD1048576">
    <cfRule type="containsErrors" dxfId="25" priority="13">
      <formula>ISERROR(A1)</formula>
    </cfRule>
  </conditionalFormatting>
  <conditionalFormatting sqref="O1:O1048576">
    <cfRule type="expression" dxfId="24" priority="1">
      <formula>O1&gt;O2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6F27DEB7D5A4419344E83479ED9DFB" ma:contentTypeVersion="14" ma:contentTypeDescription="Create a new document." ma:contentTypeScope="" ma:versionID="36b5fe45a7ae687c9e4b1b4e01243010">
  <xsd:schema xmlns:xsd="http://www.w3.org/2001/XMLSchema" xmlns:xs="http://www.w3.org/2001/XMLSchema" xmlns:p="http://schemas.microsoft.com/office/2006/metadata/properties" xmlns:ns1="http://schemas.microsoft.com/sharepoint/v3" xmlns:ns2="a21937cc-9329-4c2e-bbda-ee5182c2f08f" xmlns:ns3="ffb7ac5d-57c2-40b6-a6f5-5a41a4e26fe7" targetNamespace="http://schemas.microsoft.com/office/2006/metadata/properties" ma:root="true" ma:fieldsID="3a6b54a4c245aaf21961d2319a43830a" ns1:_="" ns2:_="" ns3:_="">
    <xsd:import namespace="http://schemas.microsoft.com/sharepoint/v3"/>
    <xsd:import namespace="a21937cc-9329-4c2e-bbda-ee5182c2f08f"/>
    <xsd:import namespace="ffb7ac5d-57c2-40b6-a6f5-5a41a4e26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937cc-9329-4c2e-bbda-ee5182c2f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7ac5d-57c2-40b6-a6f5-5a41a4e26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C05D3E-FC77-4B4D-AD61-3900E70954F7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8D5B19B3-5358-4187-A4FC-597F69729A87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a21937cc-9329-4c2e-bbda-ee5182c2f08f"/>
    <ds:schemaRef ds:uri="ffb7ac5d-57c2-40b6-a6f5-5a41a4e26fe7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F0BE198-08C2-47E7-B3A2-EC975A4881D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7750D26-3D59-461F-902F-3BFAF2C05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1937cc-9329-4c2e-bbda-ee5182c2f08f"/>
    <ds:schemaRef ds:uri="ffb7ac5d-57c2-40b6-a6f5-5a41a4e26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NRR</vt:lpstr>
      <vt:lpstr>all</vt:lpstr>
      <vt:lpstr>FWD</vt:lpstr>
      <vt:lpstr>EHD</vt:lpstr>
      <vt:lpstr>NRR Extension</vt:lpstr>
      <vt:lpstr>year pivot</vt:lpstr>
      <vt:lpstr>borough pivot</vt:lpstr>
      <vt:lpstr>NRR round pivot</vt:lpstr>
      <vt:lpstr>Int. Compactor Pipeline</vt:lpstr>
      <vt:lpstr>Waste Yards</vt:lpstr>
      <vt:lpstr>Ext. Compactor Pipeline</vt:lpstr>
      <vt:lpstr>CPD Information</vt:lpstr>
      <vt:lpstr>Unit Costs</vt:lpstr>
      <vt:lpstr>Development Data</vt:lpstr>
      <vt:lpstr>Data 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Cuzzo, Marialisa</dc:creator>
  <cp:keywords/>
  <dc:description/>
  <cp:lastModifiedBy>Burgio, Kathryn</cp:lastModifiedBy>
  <cp:revision/>
  <dcterms:created xsi:type="dcterms:W3CDTF">2019-08-20T18:19:25Z</dcterms:created>
  <dcterms:modified xsi:type="dcterms:W3CDTF">2019-09-23T22:52:37Z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0x0101002F6F27DEB7D5A4419344E83479ED9DFB</vt:lpwstr>
  </property>
</Properties>
</file>